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Zack/Desktop/HPIS/Equity Research/TEO/"/>
    </mc:Choice>
  </mc:AlternateContent>
  <xr:revisionPtr revIDLastSave="0" documentId="13_ncr:1_{E2E25506-9601-E946-BC9F-89FAAB274D02}" xr6:coauthVersionLast="36" xr6:coauthVersionMax="36" xr10:uidLastSave="{00000000-0000-0000-0000-000000000000}"/>
  <bookViews>
    <workbookView xWindow="0" yWindow="460" windowWidth="28780" windowHeight="16020" tabRatio="812" xr2:uid="{00000000-000D-0000-FFFF-FFFF00000000}"/>
  </bookViews>
  <sheets>
    <sheet name="Summary" sheetId="1" r:id="rId1"/>
    <sheet name="Annual Fins" sheetId="14" r:id="rId2"/>
    <sheet name="Quarterly Fins" sheetId="12" r:id="rId3"/>
    <sheet name="Trading Model" sheetId="15" r:id="rId4"/>
    <sheet name="Valuation" sheetId="16" r:id="rId5"/>
    <sheet name="DCF" sheetId="17" r:id="rId6"/>
    <sheet name="Stock Info" sheetId="11" r:id="rId7"/>
    <sheet name="News" sheetId="13" r:id="rId8"/>
    <sheet name="Risks" sheetId="9" r:id="rId9"/>
    <sheet name="Team" sheetId="10" r:id="rId10"/>
    <sheet name="Stock Price Data" sheetId="8" r:id="rId11"/>
    <sheet name="Annual Fins Data" sheetId="20" r:id="rId12"/>
    <sheet name="Quarterly Fins Data" sheetId="21" r:id="rId13"/>
    <sheet name="Dividends Data" sheetId="22" r:id="rId14"/>
  </sheets>
  <definedNames>
    <definedName name="Dividends">'Dividends Data'!$A$2:$B$82</definedName>
    <definedName name="_xlnm.Print_Area" localSheetId="1">'Annual Fins'!$B$3:$Q$66</definedName>
    <definedName name="_xlnm.Print_Area" localSheetId="5">DCF!$B$3:$O$67</definedName>
    <definedName name="_xlnm.Print_Area" localSheetId="7">News!$B$3:$O$11</definedName>
    <definedName name="_xlnm.Print_Area" localSheetId="2">'Quarterly Fins'!$B$3:$P$62</definedName>
    <definedName name="_xlnm.Print_Area" localSheetId="8">Risks!$B$2:$G$56</definedName>
    <definedName name="_xlnm.Print_Area" localSheetId="6">'Stock Info'!$B$3:$M$36</definedName>
    <definedName name="_xlnm.Print_Area" localSheetId="0">Summary!$B$3:$P$41</definedName>
    <definedName name="_xlnm.Print_Area" localSheetId="9">Team!$B$3:$J$38</definedName>
    <definedName name="_xlnm.Print_Area" localSheetId="3">'Trading Model'!$B$2:$P$54</definedName>
    <definedName name="_xlnm.Print_Area" localSheetId="4">Valuation!$B$2:$Q$57</definedName>
  </definedNames>
  <calcPr calcId="181029" iterate="1" concurrentCalc="0"/>
</workbook>
</file>

<file path=xl/calcChain.xml><?xml version="1.0" encoding="utf-8"?>
<calcChain xmlns="http://schemas.openxmlformats.org/spreadsheetml/2006/main">
  <c r="M32" i="16" l="1"/>
  <c r="L32" i="16"/>
  <c r="M39" i="16"/>
  <c r="L39" i="16"/>
  <c r="N6" i="15"/>
  <c r="N5" i="15"/>
  <c r="N10" i="13"/>
  <c r="N8" i="13"/>
  <c r="N6" i="13"/>
  <c r="H9" i="1"/>
  <c r="E56" i="12"/>
  <c r="F56" i="12"/>
  <c r="G56" i="12"/>
  <c r="H56" i="12"/>
  <c r="I56" i="12"/>
  <c r="J56" i="12"/>
  <c r="K56" i="12"/>
  <c r="L56" i="12"/>
  <c r="M56" i="12"/>
  <c r="D56" i="12"/>
  <c r="E55" i="12"/>
  <c r="F55" i="12"/>
  <c r="G55" i="12"/>
  <c r="H55" i="12"/>
  <c r="I55" i="12"/>
  <c r="J55" i="12"/>
  <c r="K55" i="12"/>
  <c r="L55" i="12"/>
  <c r="M55" i="12"/>
  <c r="D55" i="12"/>
  <c r="D54" i="12"/>
  <c r="E54" i="12"/>
  <c r="F54" i="12"/>
  <c r="G54" i="12"/>
  <c r="H54" i="12"/>
  <c r="I54" i="12"/>
  <c r="J54" i="12"/>
  <c r="K54" i="12"/>
  <c r="L54" i="12"/>
  <c r="M54" i="12"/>
  <c r="E53" i="12"/>
  <c r="F53" i="12"/>
  <c r="G53" i="12"/>
  <c r="H53" i="12"/>
  <c r="I53" i="12"/>
  <c r="J53" i="12"/>
  <c r="K53" i="12"/>
  <c r="L53" i="12"/>
  <c r="M53" i="12"/>
  <c r="D53" i="12"/>
  <c r="E52" i="12"/>
  <c r="F52" i="12"/>
  <c r="G52" i="12"/>
  <c r="H52" i="12"/>
  <c r="I52" i="12"/>
  <c r="J52" i="12"/>
  <c r="K52" i="12"/>
  <c r="L52" i="12"/>
  <c r="M52" i="12"/>
  <c r="D52" i="12"/>
  <c r="M51" i="12"/>
  <c r="E51" i="12"/>
  <c r="F51" i="12"/>
  <c r="G51" i="12"/>
  <c r="H51" i="12"/>
  <c r="I51" i="12"/>
  <c r="J51" i="12"/>
  <c r="K51" i="12"/>
  <c r="L51" i="12"/>
  <c r="D51" i="12"/>
  <c r="E50" i="12"/>
  <c r="F50" i="12"/>
  <c r="G50" i="12"/>
  <c r="H50" i="12"/>
  <c r="I50" i="12"/>
  <c r="J50" i="12"/>
  <c r="K50" i="12"/>
  <c r="L50" i="12"/>
  <c r="M50" i="12"/>
  <c r="D50" i="12"/>
  <c r="E34" i="12"/>
  <c r="F34" i="12"/>
  <c r="G34" i="12"/>
  <c r="H34" i="12"/>
  <c r="I34" i="12"/>
  <c r="J34" i="12"/>
  <c r="K34" i="12"/>
  <c r="L34" i="12"/>
  <c r="M34" i="12"/>
  <c r="D34" i="12"/>
  <c r="E32" i="12"/>
  <c r="F32" i="12"/>
  <c r="G32" i="12"/>
  <c r="H32" i="12"/>
  <c r="I32" i="12"/>
  <c r="J32" i="12"/>
  <c r="K32" i="12"/>
  <c r="L32" i="12"/>
  <c r="M32" i="12"/>
  <c r="D32" i="12"/>
  <c r="E33" i="12"/>
  <c r="F33" i="12"/>
  <c r="G33" i="12"/>
  <c r="H33" i="12"/>
  <c r="I33" i="12"/>
  <c r="J33" i="12"/>
  <c r="K33" i="12"/>
  <c r="L33" i="12"/>
  <c r="M33" i="12"/>
  <c r="D33" i="12"/>
  <c r="E31" i="12"/>
  <c r="F31" i="12"/>
  <c r="G31" i="12"/>
  <c r="H31" i="12"/>
  <c r="I31" i="12"/>
  <c r="J31" i="12"/>
  <c r="K31" i="12"/>
  <c r="L31" i="12"/>
  <c r="M31" i="12"/>
  <c r="D31" i="12"/>
  <c r="E30" i="12"/>
  <c r="F30" i="12"/>
  <c r="G30" i="12"/>
  <c r="H30" i="12"/>
  <c r="I30" i="12"/>
  <c r="J30" i="12"/>
  <c r="K30" i="12"/>
  <c r="L30" i="12"/>
  <c r="M30" i="12"/>
  <c r="D30" i="12"/>
  <c r="E29" i="12"/>
  <c r="F29" i="12"/>
  <c r="G29" i="12"/>
  <c r="H29" i="12"/>
  <c r="I29" i="12"/>
  <c r="J29" i="12"/>
  <c r="K29" i="12"/>
  <c r="L29" i="12"/>
  <c r="M29" i="12"/>
  <c r="D29" i="12"/>
  <c r="E28" i="12"/>
  <c r="F28" i="12"/>
  <c r="G28" i="12"/>
  <c r="H28" i="12"/>
  <c r="I28" i="12"/>
  <c r="J28" i="12"/>
  <c r="K28" i="12"/>
  <c r="L28" i="12"/>
  <c r="M28" i="12"/>
  <c r="D28" i="12"/>
  <c r="E27" i="12"/>
  <c r="F27" i="12"/>
  <c r="G27" i="12"/>
  <c r="H27" i="12"/>
  <c r="I27" i="12"/>
  <c r="J27" i="12"/>
  <c r="K27" i="12"/>
  <c r="L27" i="12"/>
  <c r="M27" i="12"/>
  <c r="D27" i="12"/>
  <c r="E60" i="14"/>
  <c r="F60" i="14"/>
  <c r="G60" i="14"/>
  <c r="H60" i="14"/>
  <c r="I60" i="14"/>
  <c r="J60" i="14"/>
  <c r="K60" i="14"/>
  <c r="L60" i="14"/>
  <c r="M60" i="14"/>
  <c r="N60" i="14"/>
  <c r="D60" i="14"/>
  <c r="E59" i="14"/>
  <c r="F59" i="14"/>
  <c r="G59" i="14"/>
  <c r="H59" i="14"/>
  <c r="I59" i="14"/>
  <c r="J59" i="14"/>
  <c r="K59" i="14"/>
  <c r="L59" i="14"/>
  <c r="M59" i="14"/>
  <c r="N59" i="14"/>
  <c r="D59" i="14"/>
  <c r="E58" i="14"/>
  <c r="F58" i="14"/>
  <c r="G58" i="14"/>
  <c r="H58" i="14"/>
  <c r="I58" i="14"/>
  <c r="J58" i="14"/>
  <c r="K58" i="14"/>
  <c r="L58" i="14"/>
  <c r="M58" i="14"/>
  <c r="N58" i="14"/>
  <c r="D58" i="14"/>
  <c r="E57" i="14"/>
  <c r="F57" i="14"/>
  <c r="G57" i="14"/>
  <c r="H57" i="14"/>
  <c r="I57" i="14"/>
  <c r="J57" i="14"/>
  <c r="K57" i="14"/>
  <c r="L57" i="14"/>
  <c r="M57" i="14"/>
  <c r="N57" i="14"/>
  <c r="D57" i="14"/>
  <c r="E56" i="14"/>
  <c r="F56" i="14"/>
  <c r="G56" i="14"/>
  <c r="H56" i="14"/>
  <c r="I56" i="14"/>
  <c r="J56" i="14"/>
  <c r="K56" i="14"/>
  <c r="L56" i="14"/>
  <c r="M56" i="14"/>
  <c r="N56" i="14"/>
  <c r="D56" i="14"/>
  <c r="E55" i="14"/>
  <c r="F55" i="14"/>
  <c r="G55" i="14"/>
  <c r="H55" i="14"/>
  <c r="I55" i="14"/>
  <c r="J55" i="14"/>
  <c r="K55" i="14"/>
  <c r="L55" i="14"/>
  <c r="M55" i="14"/>
  <c r="N55" i="14"/>
  <c r="D55" i="14"/>
  <c r="E54" i="14"/>
  <c r="F54" i="14"/>
  <c r="G54" i="14"/>
  <c r="H54" i="14"/>
  <c r="I54" i="14"/>
  <c r="J54" i="14"/>
  <c r="K54" i="14"/>
  <c r="L54" i="14"/>
  <c r="M54" i="14"/>
  <c r="N54" i="14"/>
  <c r="D54" i="14"/>
  <c r="N38" i="14"/>
  <c r="E38" i="14"/>
  <c r="F38" i="14"/>
  <c r="G38" i="14"/>
  <c r="H38" i="14"/>
  <c r="I38" i="14"/>
  <c r="J38" i="14"/>
  <c r="K38" i="14"/>
  <c r="L38" i="14"/>
  <c r="M38" i="14"/>
  <c r="D38" i="14"/>
  <c r="N37" i="14"/>
  <c r="E37" i="14"/>
  <c r="F37" i="14"/>
  <c r="G37" i="14"/>
  <c r="H37" i="14"/>
  <c r="I37" i="14"/>
  <c r="J37" i="14"/>
  <c r="K37" i="14"/>
  <c r="L37" i="14"/>
  <c r="M37" i="14"/>
  <c r="D37" i="14"/>
  <c r="N35" i="14"/>
  <c r="N34" i="14"/>
  <c r="N33" i="14"/>
  <c r="N32" i="14"/>
  <c r="N31" i="14"/>
  <c r="E31" i="14"/>
  <c r="F31" i="14"/>
  <c r="G31" i="14"/>
  <c r="H31" i="14"/>
  <c r="I31" i="14"/>
  <c r="J31" i="14"/>
  <c r="K31" i="14"/>
  <c r="L31" i="14"/>
  <c r="M31" i="14"/>
  <c r="D31" i="14"/>
  <c r="E30" i="14"/>
  <c r="F30" i="14"/>
  <c r="G30" i="14"/>
  <c r="H30" i="14"/>
  <c r="I30" i="14"/>
  <c r="J30" i="14"/>
  <c r="K30" i="14"/>
  <c r="L30" i="14"/>
  <c r="M30" i="14"/>
  <c r="D30" i="14"/>
  <c r="E29" i="14"/>
  <c r="F29" i="14"/>
  <c r="G29" i="14"/>
  <c r="H29" i="14"/>
  <c r="I29" i="14"/>
  <c r="J29" i="14"/>
  <c r="K29" i="14"/>
  <c r="L29" i="14"/>
  <c r="M29" i="14"/>
  <c r="D29" i="14"/>
  <c r="E11" i="14"/>
  <c r="F11" i="14"/>
  <c r="G11" i="14"/>
  <c r="H11" i="14"/>
  <c r="I11" i="14"/>
  <c r="J11" i="14"/>
  <c r="K11" i="14"/>
  <c r="L11" i="14"/>
  <c r="M11" i="14"/>
  <c r="N11" i="14"/>
  <c r="D11" i="14"/>
  <c r="E10" i="14"/>
  <c r="F10" i="14"/>
  <c r="G10" i="14"/>
  <c r="H10" i="14"/>
  <c r="I10" i="14"/>
  <c r="J10" i="14"/>
  <c r="K10" i="14"/>
  <c r="L10" i="14"/>
  <c r="M10" i="14"/>
  <c r="N10" i="14"/>
  <c r="D10" i="14"/>
  <c r="E9" i="14"/>
  <c r="F9" i="14"/>
  <c r="G9" i="14"/>
  <c r="H9" i="14"/>
  <c r="I9" i="14"/>
  <c r="J9" i="14"/>
  <c r="K9" i="14"/>
  <c r="L9" i="14"/>
  <c r="M9" i="14"/>
  <c r="N9" i="14"/>
  <c r="D9" i="14"/>
  <c r="E8" i="14"/>
  <c r="F8" i="14"/>
  <c r="G8" i="14"/>
  <c r="H8" i="14"/>
  <c r="I8" i="14"/>
  <c r="J8" i="14"/>
  <c r="K8" i="14"/>
  <c r="L8" i="14"/>
  <c r="M8" i="14"/>
  <c r="N8" i="14"/>
  <c r="D8" i="14"/>
  <c r="E7" i="14"/>
  <c r="F7" i="14"/>
  <c r="G7" i="14"/>
  <c r="H7" i="14"/>
  <c r="I7" i="14"/>
  <c r="J7" i="14"/>
  <c r="K7" i="14"/>
  <c r="L7" i="14"/>
  <c r="M7" i="14"/>
  <c r="N7" i="14"/>
  <c r="D7" i="14"/>
  <c r="E6" i="16"/>
  <c r="F6" i="16"/>
  <c r="G6" i="16"/>
  <c r="H6" i="16"/>
  <c r="I6" i="16"/>
  <c r="J6" i="16"/>
  <c r="K6" i="16"/>
  <c r="L6" i="16"/>
  <c r="M6" i="16"/>
  <c r="N6" i="16"/>
  <c r="D6" i="16"/>
  <c r="E6" i="15"/>
  <c r="F6" i="15"/>
  <c r="G6" i="15"/>
  <c r="H6" i="15"/>
  <c r="I6" i="15"/>
  <c r="J6" i="15"/>
  <c r="K6" i="15"/>
  <c r="L6" i="15"/>
  <c r="M6" i="15"/>
  <c r="E5" i="15"/>
  <c r="F5" i="15"/>
  <c r="G5" i="15"/>
  <c r="H5" i="15"/>
  <c r="I5" i="15"/>
  <c r="J5" i="15"/>
  <c r="K5" i="15"/>
  <c r="L5" i="15"/>
  <c r="M5" i="15"/>
  <c r="D6" i="15"/>
  <c r="D5" i="15"/>
  <c r="E26" i="12"/>
  <c r="F26" i="12"/>
  <c r="G26" i="12"/>
  <c r="H26" i="12"/>
  <c r="I26" i="12"/>
  <c r="J26" i="12"/>
  <c r="K26" i="12"/>
  <c r="L26" i="12"/>
  <c r="M26" i="12"/>
  <c r="D26" i="12"/>
  <c r="E25" i="12"/>
  <c r="F25" i="12"/>
  <c r="G25" i="12"/>
  <c r="H25" i="12"/>
  <c r="I25" i="12"/>
  <c r="J25" i="12"/>
  <c r="K25" i="12"/>
  <c r="L25" i="12"/>
  <c r="M25" i="12"/>
  <c r="D25" i="12"/>
  <c r="E24" i="12"/>
  <c r="F24" i="12"/>
  <c r="G24" i="12"/>
  <c r="H24" i="12"/>
  <c r="I24" i="12"/>
  <c r="J24" i="12"/>
  <c r="K24" i="12"/>
  <c r="L24" i="12"/>
  <c r="M24" i="12"/>
  <c r="D24" i="12"/>
  <c r="E23" i="12"/>
  <c r="F23" i="12"/>
  <c r="G23" i="12"/>
  <c r="H23" i="12"/>
  <c r="I23" i="12"/>
  <c r="J23" i="12"/>
  <c r="K23" i="12"/>
  <c r="L23" i="12"/>
  <c r="M23" i="12"/>
  <c r="D23" i="12"/>
  <c r="E22" i="12"/>
  <c r="F22" i="12"/>
  <c r="G22" i="12"/>
  <c r="H22" i="12"/>
  <c r="I22" i="12"/>
  <c r="J22" i="12"/>
  <c r="K22" i="12"/>
  <c r="L22" i="12"/>
  <c r="M22" i="12"/>
  <c r="D22" i="12"/>
  <c r="E12" i="12"/>
  <c r="F12" i="12"/>
  <c r="G12" i="12"/>
  <c r="H12" i="12"/>
  <c r="I12" i="12"/>
  <c r="J12" i="12"/>
  <c r="K12" i="12"/>
  <c r="L12" i="12"/>
  <c r="M12" i="12"/>
  <c r="N12" i="12"/>
  <c r="D12" i="12"/>
  <c r="E35" i="14"/>
  <c r="F35" i="14"/>
  <c r="G35" i="14"/>
  <c r="H35" i="14"/>
  <c r="I35" i="14"/>
  <c r="J35" i="14"/>
  <c r="K35" i="14"/>
  <c r="L35" i="14"/>
  <c r="M35" i="14"/>
  <c r="D35" i="14"/>
  <c r="E34" i="14"/>
  <c r="F34" i="14"/>
  <c r="G34" i="14"/>
  <c r="H34" i="14"/>
  <c r="I34" i="14"/>
  <c r="J34" i="14"/>
  <c r="K34" i="14"/>
  <c r="L34" i="14"/>
  <c r="M34" i="14"/>
  <c r="D34" i="14"/>
  <c r="E33" i="14"/>
  <c r="F33" i="14"/>
  <c r="G33" i="14"/>
  <c r="H33" i="14"/>
  <c r="I33" i="14"/>
  <c r="J33" i="14"/>
  <c r="K33" i="14"/>
  <c r="L33" i="14"/>
  <c r="M33" i="14"/>
  <c r="D33" i="14"/>
  <c r="E32" i="14"/>
  <c r="F32" i="14"/>
  <c r="G32" i="14"/>
  <c r="H32" i="14"/>
  <c r="I32" i="14"/>
  <c r="J32" i="14"/>
  <c r="K32" i="14"/>
  <c r="L32" i="14"/>
  <c r="M32" i="14"/>
  <c r="D32" i="14"/>
  <c r="N30" i="14"/>
  <c r="N29" i="14"/>
  <c r="N28" i="14"/>
  <c r="E28" i="14"/>
  <c r="F28" i="14"/>
  <c r="G28" i="14"/>
  <c r="H28" i="14"/>
  <c r="I28" i="14"/>
  <c r="J28" i="14"/>
  <c r="K28" i="14"/>
  <c r="L28" i="14"/>
  <c r="M28" i="14"/>
  <c r="D28" i="14"/>
  <c r="N27" i="14"/>
  <c r="E27" i="14"/>
  <c r="F27" i="14"/>
  <c r="G27" i="14"/>
  <c r="H27" i="14"/>
  <c r="I27" i="14"/>
  <c r="J27" i="14"/>
  <c r="K27" i="14"/>
  <c r="L27" i="14"/>
  <c r="M27" i="14"/>
  <c r="D27" i="14"/>
  <c r="N26" i="14"/>
  <c r="E26" i="14"/>
  <c r="F26" i="14"/>
  <c r="G26" i="14"/>
  <c r="H26" i="14"/>
  <c r="I26" i="14"/>
  <c r="J26" i="14"/>
  <c r="K26" i="14"/>
  <c r="L26" i="14"/>
  <c r="M26" i="14"/>
  <c r="D26" i="14"/>
  <c r="E12" i="14"/>
  <c r="F12" i="14"/>
  <c r="G12" i="14"/>
  <c r="H12" i="14"/>
  <c r="I12" i="14"/>
  <c r="J12" i="14"/>
  <c r="K12" i="14"/>
  <c r="L12" i="14"/>
  <c r="M12" i="14"/>
  <c r="N12" i="14"/>
  <c r="D12" i="14"/>
  <c r="O4" i="1"/>
  <c r="H7" i="16"/>
  <c r="H8" i="16"/>
  <c r="H9" i="16"/>
  <c r="H10" i="16"/>
  <c r="F53" i="17"/>
  <c r="I7" i="16"/>
  <c r="I8" i="16"/>
  <c r="I9" i="16"/>
  <c r="I10" i="16"/>
  <c r="G53" i="17"/>
  <c r="J7" i="16"/>
  <c r="J8" i="16"/>
  <c r="J9" i="16"/>
  <c r="J10" i="16"/>
  <c r="H53" i="17"/>
  <c r="K7" i="16"/>
  <c r="K8" i="16"/>
  <c r="K9" i="16"/>
  <c r="K10" i="16"/>
  <c r="I53" i="17"/>
  <c r="L7" i="16"/>
  <c r="L8" i="16"/>
  <c r="L9" i="16"/>
  <c r="L10" i="16"/>
  <c r="J53" i="17"/>
  <c r="M7" i="16"/>
  <c r="M8" i="16"/>
  <c r="M9" i="16"/>
  <c r="M10" i="16"/>
  <c r="K53" i="17"/>
  <c r="G7" i="16"/>
  <c r="G8" i="16"/>
  <c r="G9" i="16"/>
  <c r="G10" i="16"/>
  <c r="E53" i="17"/>
  <c r="E4" i="12"/>
  <c r="E11" i="12"/>
  <c r="F11" i="12"/>
  <c r="G11" i="12"/>
  <c r="H11" i="12"/>
  <c r="I11" i="12"/>
  <c r="J11" i="12"/>
  <c r="K11" i="12"/>
  <c r="L11" i="12"/>
  <c r="M11" i="12"/>
  <c r="N11" i="12"/>
  <c r="D11" i="12"/>
  <c r="E10" i="12"/>
  <c r="F10" i="12"/>
  <c r="G10" i="12"/>
  <c r="H10" i="12"/>
  <c r="I10" i="12"/>
  <c r="J10" i="12"/>
  <c r="K10" i="12"/>
  <c r="L10" i="12"/>
  <c r="M10" i="12"/>
  <c r="N10" i="12"/>
  <c r="D10" i="12"/>
  <c r="E9" i="12"/>
  <c r="F9" i="12"/>
  <c r="G9" i="12"/>
  <c r="H9" i="12"/>
  <c r="I9" i="12"/>
  <c r="J9" i="12"/>
  <c r="K9" i="12"/>
  <c r="L9" i="12"/>
  <c r="M9" i="12"/>
  <c r="N9" i="12"/>
  <c r="D9" i="12"/>
  <c r="E8" i="12"/>
  <c r="F8" i="12"/>
  <c r="G8" i="12"/>
  <c r="H8" i="12"/>
  <c r="I8" i="12"/>
  <c r="J8" i="12"/>
  <c r="K8" i="12"/>
  <c r="L8" i="12"/>
  <c r="M8" i="12"/>
  <c r="N8" i="12"/>
  <c r="D8" i="12"/>
  <c r="E7" i="12"/>
  <c r="F7" i="12"/>
  <c r="G7" i="12"/>
  <c r="H7" i="12"/>
  <c r="I7" i="12"/>
  <c r="J7" i="12"/>
  <c r="K7" i="12"/>
  <c r="L7" i="12"/>
  <c r="M7" i="12"/>
  <c r="N7" i="12"/>
  <c r="D7" i="12"/>
  <c r="E6" i="12"/>
  <c r="F6" i="12"/>
  <c r="G6" i="12"/>
  <c r="H6" i="12"/>
  <c r="I6" i="12"/>
  <c r="J6" i="12"/>
  <c r="K6" i="12"/>
  <c r="L6" i="12"/>
  <c r="M6" i="12"/>
  <c r="N6" i="12"/>
  <c r="D6" i="12"/>
  <c r="N5" i="12"/>
  <c r="E5" i="12"/>
  <c r="F5" i="12"/>
  <c r="G5" i="12"/>
  <c r="H5" i="12"/>
  <c r="I5" i="12"/>
  <c r="J5" i="12"/>
  <c r="K5" i="12"/>
  <c r="L5" i="12"/>
  <c r="M5" i="12"/>
  <c r="D5" i="12"/>
  <c r="G37" i="10"/>
  <c r="H37" i="10"/>
  <c r="I37" i="10"/>
  <c r="F37" i="10"/>
  <c r="D7" i="11"/>
  <c r="M10" i="11"/>
  <c r="K28" i="17"/>
  <c r="J28" i="17"/>
  <c r="I28" i="17"/>
  <c r="H28" i="17"/>
  <c r="G28" i="17"/>
  <c r="F28" i="17"/>
  <c r="E28" i="17"/>
  <c r="K23" i="17"/>
  <c r="J23" i="17"/>
  <c r="I23" i="17"/>
  <c r="H23" i="17"/>
  <c r="G23" i="17"/>
  <c r="F23" i="17"/>
  <c r="E23" i="17"/>
  <c r="J7" i="17"/>
  <c r="J31" i="17"/>
  <c r="J32" i="17"/>
  <c r="J33" i="17"/>
  <c r="J34" i="17"/>
  <c r="J35" i="17"/>
  <c r="J43" i="17"/>
  <c r="I7" i="17"/>
  <c r="I31" i="17"/>
  <c r="I32" i="17"/>
  <c r="I33" i="17"/>
  <c r="I34" i="17"/>
  <c r="I35" i="17"/>
  <c r="I43" i="17"/>
  <c r="H7" i="17"/>
  <c r="H31" i="17"/>
  <c r="H32" i="17"/>
  <c r="H33" i="17"/>
  <c r="H34" i="17"/>
  <c r="H35" i="17"/>
  <c r="H43" i="17"/>
  <c r="G7" i="17"/>
  <c r="G31" i="17"/>
  <c r="G32" i="17"/>
  <c r="G33" i="17"/>
  <c r="G34" i="17"/>
  <c r="G35" i="17"/>
  <c r="G43" i="17"/>
  <c r="F7" i="17"/>
  <c r="F31" i="17"/>
  <c r="F32" i="17"/>
  <c r="F33" i="17"/>
  <c r="F34" i="17"/>
  <c r="F35" i="17"/>
  <c r="F43" i="17"/>
  <c r="E7" i="17"/>
  <c r="E31" i="17"/>
  <c r="E32" i="17"/>
  <c r="E33" i="17"/>
  <c r="E34" i="17"/>
  <c r="E35" i="17"/>
  <c r="E43" i="17"/>
  <c r="K7" i="17"/>
  <c r="K31" i="17"/>
  <c r="K32" i="17"/>
  <c r="K33" i="17"/>
  <c r="K34" i="17"/>
  <c r="K35" i="17"/>
  <c r="K43" i="17"/>
  <c r="J41" i="17"/>
  <c r="I41" i="17"/>
  <c r="H41" i="17"/>
  <c r="G41" i="17"/>
  <c r="F41" i="17"/>
  <c r="E41" i="17"/>
  <c r="J40" i="17"/>
  <c r="I40" i="17"/>
  <c r="H40" i="17"/>
  <c r="G40" i="17"/>
  <c r="F40" i="17"/>
  <c r="E40" i="17"/>
  <c r="J39" i="17"/>
  <c r="I39" i="17"/>
  <c r="H39" i="17"/>
  <c r="G39" i="17"/>
  <c r="F39" i="17"/>
  <c r="E39" i="17"/>
  <c r="J38" i="17"/>
  <c r="I38" i="17"/>
  <c r="H38" i="17"/>
  <c r="G38" i="17"/>
  <c r="F38" i="17"/>
  <c r="E38" i="17"/>
  <c r="J37" i="17"/>
  <c r="I37" i="17"/>
  <c r="H37" i="17"/>
  <c r="G37" i="17"/>
  <c r="F37" i="17"/>
  <c r="E37" i="17"/>
  <c r="K41" i="17"/>
  <c r="K40" i="17"/>
  <c r="K39" i="17"/>
  <c r="K38" i="17"/>
  <c r="K37" i="17"/>
  <c r="L5" i="1"/>
  <c r="H3" i="8"/>
  <c r="H4" i="8"/>
  <c r="H5" i="8"/>
  <c r="H6" i="8"/>
  <c r="H7" i="8"/>
  <c r="H8" i="8"/>
  <c r="K8" i="8"/>
  <c r="K7" i="8"/>
  <c r="K6" i="8"/>
  <c r="K5" i="8"/>
  <c r="K4" i="8"/>
  <c r="I3" i="8"/>
  <c r="I4" i="8"/>
  <c r="I5" i="8"/>
  <c r="I6" i="8"/>
  <c r="I7" i="8"/>
  <c r="I8" i="8"/>
  <c r="H9" i="8"/>
  <c r="J9" i="8"/>
  <c r="K9" i="8"/>
  <c r="L9" i="8"/>
  <c r="M9" i="8"/>
  <c r="I9" i="8"/>
  <c r="H10" i="8"/>
  <c r="J10" i="8"/>
  <c r="K10" i="8"/>
  <c r="L10" i="8"/>
  <c r="M10" i="8"/>
  <c r="I10" i="8"/>
  <c r="H11" i="8"/>
  <c r="J11" i="8"/>
  <c r="K11" i="8"/>
  <c r="L11" i="8"/>
  <c r="M11" i="8"/>
  <c r="I11" i="8"/>
  <c r="H12" i="8"/>
  <c r="J12" i="8"/>
  <c r="K12" i="8"/>
  <c r="L12" i="8"/>
  <c r="M12" i="8"/>
  <c r="I12" i="8"/>
  <c r="H13" i="8"/>
  <c r="J13" i="8"/>
  <c r="K13" i="8"/>
  <c r="L13" i="8"/>
  <c r="M13" i="8"/>
  <c r="H14" i="8"/>
  <c r="I13" i="8"/>
  <c r="J14" i="8"/>
  <c r="K14" i="8"/>
  <c r="L14" i="8"/>
  <c r="M14" i="8"/>
  <c r="I14" i="8"/>
  <c r="H15" i="8"/>
  <c r="J15" i="8"/>
  <c r="K15" i="8"/>
  <c r="L15" i="8"/>
  <c r="M15" i="8"/>
  <c r="I15" i="8"/>
  <c r="H16" i="8"/>
  <c r="J16" i="8"/>
  <c r="K16" i="8"/>
  <c r="L16" i="8"/>
  <c r="M16" i="8"/>
  <c r="I16" i="8"/>
  <c r="H17" i="8"/>
  <c r="J17" i="8"/>
  <c r="K17" i="8"/>
  <c r="L17" i="8"/>
  <c r="M17" i="8"/>
  <c r="I17" i="8"/>
  <c r="H18" i="8"/>
  <c r="J18" i="8"/>
  <c r="K18" i="8"/>
  <c r="L18" i="8"/>
  <c r="M18" i="8"/>
  <c r="I18" i="8"/>
  <c r="H19" i="8"/>
  <c r="J19" i="8"/>
  <c r="K19" i="8"/>
  <c r="L19" i="8"/>
  <c r="M19" i="8"/>
  <c r="I19" i="8"/>
  <c r="H20" i="8"/>
  <c r="J20" i="8"/>
  <c r="K20" i="8"/>
  <c r="L20" i="8"/>
  <c r="M20" i="8"/>
  <c r="I20" i="8"/>
  <c r="H21" i="8"/>
  <c r="J21" i="8"/>
  <c r="K21" i="8"/>
  <c r="L21" i="8"/>
  <c r="M21" i="8"/>
  <c r="I21" i="8"/>
  <c r="H22" i="8"/>
  <c r="J22" i="8"/>
  <c r="K22" i="8"/>
  <c r="L22" i="8"/>
  <c r="M22" i="8"/>
  <c r="I22" i="8"/>
  <c r="H23" i="8"/>
  <c r="J23" i="8"/>
  <c r="K23" i="8"/>
  <c r="L23" i="8"/>
  <c r="M23" i="8"/>
  <c r="I23" i="8"/>
  <c r="H24" i="8"/>
  <c r="J24" i="8"/>
  <c r="K24" i="8"/>
  <c r="L24" i="8"/>
  <c r="M24" i="8"/>
  <c r="I24" i="8"/>
  <c r="H25" i="8"/>
  <c r="J25" i="8"/>
  <c r="K25" i="8"/>
  <c r="L25" i="8"/>
  <c r="M25" i="8"/>
  <c r="I25" i="8"/>
  <c r="H26" i="8"/>
  <c r="J26" i="8"/>
  <c r="K26" i="8"/>
  <c r="L26" i="8"/>
  <c r="M26" i="8"/>
  <c r="I26" i="8"/>
  <c r="H27" i="8"/>
  <c r="J27" i="8"/>
  <c r="K27" i="8"/>
  <c r="L27" i="8"/>
  <c r="M27" i="8"/>
  <c r="I27" i="8"/>
  <c r="H28" i="8"/>
  <c r="J28" i="8"/>
  <c r="K28" i="8"/>
  <c r="L28" i="8"/>
  <c r="M28" i="8"/>
  <c r="I28" i="8"/>
  <c r="H29" i="8"/>
  <c r="J29" i="8"/>
  <c r="K29" i="8"/>
  <c r="L29" i="8"/>
  <c r="M29" i="8"/>
  <c r="I29" i="8"/>
  <c r="H30" i="8"/>
  <c r="J30" i="8"/>
  <c r="K30" i="8"/>
  <c r="L30" i="8"/>
  <c r="M30" i="8"/>
  <c r="I30" i="8"/>
  <c r="H31" i="8"/>
  <c r="J31" i="8"/>
  <c r="K31" i="8"/>
  <c r="L31" i="8"/>
  <c r="M31" i="8"/>
  <c r="I31" i="8"/>
  <c r="H32" i="8"/>
  <c r="J32" i="8"/>
  <c r="K32" i="8"/>
  <c r="L32" i="8"/>
  <c r="M32" i="8"/>
  <c r="I32" i="8"/>
  <c r="H33" i="8"/>
  <c r="J33" i="8"/>
  <c r="K33" i="8"/>
  <c r="L33" i="8"/>
  <c r="M33" i="8"/>
  <c r="I33" i="8"/>
  <c r="H34" i="8"/>
  <c r="J34" i="8"/>
  <c r="K34" i="8"/>
  <c r="L34" i="8"/>
  <c r="M34" i="8"/>
  <c r="I34" i="8"/>
  <c r="H35" i="8"/>
  <c r="J35" i="8"/>
  <c r="K35" i="8"/>
  <c r="L35" i="8"/>
  <c r="M35" i="8"/>
  <c r="I35" i="8"/>
  <c r="H36" i="8"/>
  <c r="J36" i="8"/>
  <c r="K36" i="8"/>
  <c r="L36" i="8"/>
  <c r="M36" i="8"/>
  <c r="I36" i="8"/>
  <c r="H37" i="8"/>
  <c r="J37" i="8"/>
  <c r="K37" i="8"/>
  <c r="L37" i="8"/>
  <c r="M37" i="8"/>
  <c r="I37" i="8"/>
  <c r="H38" i="8"/>
  <c r="J38" i="8"/>
  <c r="K38" i="8"/>
  <c r="L38" i="8"/>
  <c r="M38" i="8"/>
  <c r="H39" i="8"/>
  <c r="I38" i="8"/>
  <c r="J39" i="8"/>
  <c r="K39" i="8"/>
  <c r="L39" i="8"/>
  <c r="M39" i="8"/>
  <c r="I39" i="8"/>
  <c r="H40" i="8"/>
  <c r="J40" i="8"/>
  <c r="K40" i="8"/>
  <c r="L40" i="8"/>
  <c r="M40" i="8"/>
  <c r="I40" i="8"/>
  <c r="H41" i="8"/>
  <c r="J41" i="8"/>
  <c r="K41" i="8"/>
  <c r="L41" i="8"/>
  <c r="M41" i="8"/>
  <c r="H42" i="8"/>
  <c r="I41" i="8"/>
  <c r="J42" i="8"/>
  <c r="K42" i="8"/>
  <c r="L42" i="8"/>
  <c r="M42" i="8"/>
  <c r="I42" i="8"/>
  <c r="H43" i="8"/>
  <c r="J43" i="8"/>
  <c r="K43" i="8"/>
  <c r="L43" i="8"/>
  <c r="M43" i="8"/>
  <c r="I43" i="8"/>
  <c r="H44" i="8"/>
  <c r="J44" i="8"/>
  <c r="K44" i="8"/>
  <c r="L44" i="8"/>
  <c r="M44" i="8"/>
  <c r="I44" i="8"/>
  <c r="H45" i="8"/>
  <c r="J45" i="8"/>
  <c r="K45" i="8"/>
  <c r="L45" i="8"/>
  <c r="M45" i="8"/>
  <c r="I45" i="8"/>
  <c r="H46" i="8"/>
  <c r="J46" i="8"/>
  <c r="K46" i="8"/>
  <c r="L46" i="8"/>
  <c r="M46" i="8"/>
  <c r="I46" i="8"/>
  <c r="H47" i="8"/>
  <c r="J47" i="8"/>
  <c r="K47" i="8"/>
  <c r="L47" i="8"/>
  <c r="M47" i="8"/>
  <c r="I47" i="8"/>
  <c r="H48" i="8"/>
  <c r="J48" i="8"/>
  <c r="K48" i="8"/>
  <c r="L48" i="8"/>
  <c r="M48" i="8"/>
  <c r="I48" i="8"/>
  <c r="H49" i="8"/>
  <c r="J49" i="8"/>
  <c r="K49" i="8"/>
  <c r="L49" i="8"/>
  <c r="M49" i="8"/>
  <c r="I49" i="8"/>
  <c r="H50" i="8"/>
  <c r="J50" i="8"/>
  <c r="K50" i="8"/>
  <c r="L50" i="8"/>
  <c r="M50" i="8"/>
  <c r="I50" i="8"/>
  <c r="H51" i="8"/>
  <c r="J51" i="8"/>
  <c r="K51" i="8"/>
  <c r="L51" i="8"/>
  <c r="M51" i="8"/>
  <c r="I51" i="8"/>
  <c r="H52" i="8"/>
  <c r="J52" i="8"/>
  <c r="K52" i="8"/>
  <c r="L52" i="8"/>
  <c r="M52" i="8"/>
  <c r="I52" i="8"/>
  <c r="H53" i="8"/>
  <c r="J53" i="8"/>
  <c r="K53" i="8"/>
  <c r="L53" i="8"/>
  <c r="M53" i="8"/>
  <c r="H54" i="8"/>
  <c r="I53" i="8"/>
  <c r="J54" i="8"/>
  <c r="K54" i="8"/>
  <c r="L54" i="8"/>
  <c r="M54" i="8"/>
  <c r="I54" i="8"/>
  <c r="H55" i="8"/>
  <c r="J55" i="8"/>
  <c r="K55" i="8"/>
  <c r="L55" i="8"/>
  <c r="M55" i="8"/>
  <c r="I55" i="8"/>
  <c r="H56" i="8"/>
  <c r="J56" i="8"/>
  <c r="K56" i="8"/>
  <c r="L56" i="8"/>
  <c r="M56" i="8"/>
  <c r="H57" i="8"/>
  <c r="I56" i="8"/>
  <c r="J57" i="8"/>
  <c r="K57" i="8"/>
  <c r="L57" i="8"/>
  <c r="M57" i="8"/>
  <c r="I57" i="8"/>
  <c r="H58" i="8"/>
  <c r="J58" i="8"/>
  <c r="K58" i="8"/>
  <c r="L58" i="8"/>
  <c r="M58" i="8"/>
  <c r="I58" i="8"/>
  <c r="H59" i="8"/>
  <c r="J59" i="8"/>
  <c r="K59" i="8"/>
  <c r="L59" i="8"/>
  <c r="M59" i="8"/>
  <c r="I59" i="8"/>
  <c r="H60" i="8"/>
  <c r="J60" i="8"/>
  <c r="K60" i="8"/>
  <c r="L60" i="8"/>
  <c r="M60" i="8"/>
  <c r="I60" i="8"/>
  <c r="H61" i="8"/>
  <c r="J61" i="8"/>
  <c r="K61" i="8"/>
  <c r="L61" i="8"/>
  <c r="M61" i="8"/>
  <c r="I61" i="8"/>
  <c r="H62" i="8"/>
  <c r="J62" i="8"/>
  <c r="K62" i="8"/>
  <c r="L62" i="8"/>
  <c r="M62" i="8"/>
  <c r="I62" i="8"/>
  <c r="H63" i="8"/>
  <c r="J63" i="8"/>
  <c r="K63" i="8"/>
  <c r="L63" i="8"/>
  <c r="M63" i="8"/>
  <c r="I63" i="8"/>
  <c r="H64" i="8"/>
  <c r="J64" i="8"/>
  <c r="K64" i="8"/>
  <c r="L64" i="8"/>
  <c r="M64" i="8"/>
  <c r="I64" i="8"/>
  <c r="H65" i="8"/>
  <c r="J65" i="8"/>
  <c r="K65" i="8"/>
  <c r="L65" i="8"/>
  <c r="M65" i="8"/>
  <c r="I65" i="8"/>
  <c r="H66" i="8"/>
  <c r="J66" i="8"/>
  <c r="K66" i="8"/>
  <c r="L66" i="8"/>
  <c r="M66" i="8"/>
  <c r="I66" i="8"/>
  <c r="H67" i="8"/>
  <c r="J67" i="8"/>
  <c r="K67" i="8"/>
  <c r="L67" i="8"/>
  <c r="M67" i="8"/>
  <c r="I67" i="8"/>
  <c r="H68" i="8"/>
  <c r="J68" i="8"/>
  <c r="K68" i="8"/>
  <c r="L68" i="8"/>
  <c r="M68" i="8"/>
  <c r="I68" i="8"/>
  <c r="H69" i="8"/>
  <c r="J69" i="8"/>
  <c r="K69" i="8"/>
  <c r="L69" i="8"/>
  <c r="M69" i="8"/>
  <c r="I69" i="8"/>
  <c r="H70" i="8"/>
  <c r="J70" i="8"/>
  <c r="K70" i="8"/>
  <c r="L70" i="8"/>
  <c r="M70" i="8"/>
  <c r="I70" i="8"/>
  <c r="H71" i="8"/>
  <c r="J71" i="8"/>
  <c r="K71" i="8"/>
  <c r="L71" i="8"/>
  <c r="M71" i="8"/>
  <c r="I71" i="8"/>
  <c r="H72" i="8"/>
  <c r="J72" i="8"/>
  <c r="K72" i="8"/>
  <c r="L72" i="8"/>
  <c r="M72" i="8"/>
  <c r="I72" i="8"/>
  <c r="H73" i="8"/>
  <c r="J73" i="8"/>
  <c r="K73" i="8"/>
  <c r="L73" i="8"/>
  <c r="M73" i="8"/>
  <c r="I73" i="8"/>
  <c r="H74" i="8"/>
  <c r="J74" i="8"/>
  <c r="K74" i="8"/>
  <c r="L74" i="8"/>
  <c r="M74" i="8"/>
  <c r="I74" i="8"/>
  <c r="H75" i="8"/>
  <c r="J75" i="8"/>
  <c r="K75" i="8"/>
  <c r="L75" i="8"/>
  <c r="M75" i="8"/>
  <c r="I75" i="8"/>
  <c r="H76" i="8"/>
  <c r="J76" i="8"/>
  <c r="K76" i="8"/>
  <c r="L76" i="8"/>
  <c r="M76" i="8"/>
  <c r="I76" i="8"/>
  <c r="H77" i="8"/>
  <c r="J77" i="8"/>
  <c r="K77" i="8"/>
  <c r="L77" i="8"/>
  <c r="M77" i="8"/>
  <c r="I77" i="8"/>
  <c r="H78" i="8"/>
  <c r="J78" i="8"/>
  <c r="K78" i="8"/>
  <c r="L78" i="8"/>
  <c r="M78" i="8"/>
  <c r="I78" i="8"/>
  <c r="H79" i="8"/>
  <c r="J79" i="8"/>
  <c r="K79" i="8"/>
  <c r="L79" i="8"/>
  <c r="M79" i="8"/>
  <c r="I79" i="8"/>
  <c r="H80" i="8"/>
  <c r="J80" i="8"/>
  <c r="K80" i="8"/>
  <c r="L80" i="8"/>
  <c r="M80" i="8"/>
  <c r="I80" i="8"/>
  <c r="H81" i="8"/>
  <c r="J81" i="8"/>
  <c r="K81" i="8"/>
  <c r="L81" i="8"/>
  <c r="M81" i="8"/>
  <c r="I81" i="8"/>
  <c r="H82" i="8"/>
  <c r="J82" i="8"/>
  <c r="K82" i="8"/>
  <c r="L82" i="8"/>
  <c r="M82" i="8"/>
  <c r="I82" i="8"/>
  <c r="H83" i="8"/>
  <c r="J83" i="8"/>
  <c r="K83" i="8"/>
  <c r="L83" i="8"/>
  <c r="M83" i="8"/>
  <c r="I83" i="8"/>
  <c r="H84" i="8"/>
  <c r="J84" i="8"/>
  <c r="K84" i="8"/>
  <c r="L84" i="8"/>
  <c r="M84" i="8"/>
  <c r="I84" i="8"/>
  <c r="H85" i="8"/>
  <c r="J85" i="8"/>
  <c r="K85" i="8"/>
  <c r="L85" i="8"/>
  <c r="M85" i="8"/>
  <c r="I85" i="8"/>
  <c r="H86" i="8"/>
  <c r="J86" i="8"/>
  <c r="K86" i="8"/>
  <c r="L86" i="8"/>
  <c r="M86" i="8"/>
  <c r="I86" i="8"/>
  <c r="H87" i="8"/>
  <c r="J87" i="8"/>
  <c r="K87" i="8"/>
  <c r="L87" i="8"/>
  <c r="M87" i="8"/>
  <c r="I87" i="8"/>
  <c r="H88" i="8"/>
  <c r="J88" i="8"/>
  <c r="K88" i="8"/>
  <c r="L88" i="8"/>
  <c r="M88" i="8"/>
  <c r="I88" i="8"/>
  <c r="H89" i="8"/>
  <c r="J89" i="8"/>
  <c r="K89" i="8"/>
  <c r="L89" i="8"/>
  <c r="M89" i="8"/>
  <c r="I89" i="8"/>
  <c r="H90" i="8"/>
  <c r="J90" i="8"/>
  <c r="K90" i="8"/>
  <c r="L90" i="8"/>
  <c r="M90" i="8"/>
  <c r="I90" i="8"/>
  <c r="H91" i="8"/>
  <c r="J91" i="8"/>
  <c r="K91" i="8"/>
  <c r="L91" i="8"/>
  <c r="M91" i="8"/>
  <c r="I91" i="8"/>
  <c r="H92" i="8"/>
  <c r="J92" i="8"/>
  <c r="K92" i="8"/>
  <c r="L92" i="8"/>
  <c r="M92" i="8"/>
  <c r="I92" i="8"/>
  <c r="H93" i="8"/>
  <c r="J93" i="8"/>
  <c r="K93" i="8"/>
  <c r="L93" i="8"/>
  <c r="M93" i="8"/>
  <c r="I93" i="8"/>
  <c r="H94" i="8"/>
  <c r="J94" i="8"/>
  <c r="K94" i="8"/>
  <c r="L94" i="8"/>
  <c r="M94" i="8"/>
  <c r="I94" i="8"/>
  <c r="H95" i="8"/>
  <c r="J95" i="8"/>
  <c r="K95" i="8"/>
  <c r="L95" i="8"/>
  <c r="M95" i="8"/>
  <c r="I95" i="8"/>
  <c r="H96" i="8"/>
  <c r="J96" i="8"/>
  <c r="K96" i="8"/>
  <c r="L96" i="8"/>
  <c r="M96" i="8"/>
  <c r="I96" i="8"/>
  <c r="H97" i="8"/>
  <c r="J97" i="8"/>
  <c r="K97" i="8"/>
  <c r="L97" i="8"/>
  <c r="M97" i="8"/>
  <c r="I97" i="8"/>
  <c r="H98" i="8"/>
  <c r="J98" i="8"/>
  <c r="K98" i="8"/>
  <c r="L98" i="8"/>
  <c r="M98" i="8"/>
  <c r="I98" i="8"/>
  <c r="H99" i="8"/>
  <c r="J99" i="8"/>
  <c r="K99" i="8"/>
  <c r="L99" i="8"/>
  <c r="M99" i="8"/>
  <c r="I99" i="8"/>
  <c r="H100" i="8"/>
  <c r="J100" i="8"/>
  <c r="K100" i="8"/>
  <c r="L100" i="8"/>
  <c r="M100" i="8"/>
  <c r="I100" i="8"/>
  <c r="H101" i="8"/>
  <c r="J101" i="8"/>
  <c r="K101" i="8"/>
  <c r="L101" i="8"/>
  <c r="M101" i="8"/>
  <c r="I101" i="8"/>
  <c r="H102" i="8"/>
  <c r="J102" i="8"/>
  <c r="K102" i="8"/>
  <c r="L102" i="8"/>
  <c r="M102" i="8"/>
  <c r="I102" i="8"/>
  <c r="H103" i="8"/>
  <c r="J103" i="8"/>
  <c r="K103" i="8"/>
  <c r="L103" i="8"/>
  <c r="M103" i="8"/>
  <c r="I103" i="8"/>
  <c r="H104" i="8"/>
  <c r="J104" i="8"/>
  <c r="K104" i="8"/>
  <c r="L104" i="8"/>
  <c r="M104" i="8"/>
  <c r="I104" i="8"/>
  <c r="H105" i="8"/>
  <c r="J105" i="8"/>
  <c r="K105" i="8"/>
  <c r="L105" i="8"/>
  <c r="M105" i="8"/>
  <c r="I105" i="8"/>
  <c r="H106" i="8"/>
  <c r="J106" i="8"/>
  <c r="K106" i="8"/>
  <c r="L106" i="8"/>
  <c r="M106" i="8"/>
  <c r="I106" i="8"/>
  <c r="H107" i="8"/>
  <c r="J107" i="8"/>
  <c r="K107" i="8"/>
  <c r="L107" i="8"/>
  <c r="M107" i="8"/>
  <c r="I107" i="8"/>
  <c r="H108" i="8"/>
  <c r="J108" i="8"/>
  <c r="K108" i="8"/>
  <c r="L108" i="8"/>
  <c r="M108" i="8"/>
  <c r="I108" i="8"/>
  <c r="H109" i="8"/>
  <c r="J109" i="8"/>
  <c r="K109" i="8"/>
  <c r="L109" i="8"/>
  <c r="M109" i="8"/>
  <c r="I109" i="8"/>
  <c r="H110" i="8"/>
  <c r="J110" i="8"/>
  <c r="K110" i="8"/>
  <c r="L110" i="8"/>
  <c r="M110" i="8"/>
  <c r="I110" i="8"/>
  <c r="H111" i="8"/>
  <c r="J111" i="8"/>
  <c r="K111" i="8"/>
  <c r="L111" i="8"/>
  <c r="M111" i="8"/>
  <c r="I111" i="8"/>
  <c r="H112" i="8"/>
  <c r="J112" i="8"/>
  <c r="K112" i="8"/>
  <c r="L112" i="8"/>
  <c r="M112" i="8"/>
  <c r="I112" i="8"/>
  <c r="H113" i="8"/>
  <c r="J113" i="8"/>
  <c r="K113" i="8"/>
  <c r="L113" i="8"/>
  <c r="M113" i="8"/>
  <c r="I113" i="8"/>
  <c r="H114" i="8"/>
  <c r="J114" i="8"/>
  <c r="K114" i="8"/>
  <c r="L114" i="8"/>
  <c r="M114" i="8"/>
  <c r="I114" i="8"/>
  <c r="H115" i="8"/>
  <c r="J115" i="8"/>
  <c r="K115" i="8"/>
  <c r="L115" i="8"/>
  <c r="M115" i="8"/>
  <c r="I115" i="8"/>
  <c r="H116" i="8"/>
  <c r="J116" i="8"/>
  <c r="K116" i="8"/>
  <c r="L116" i="8"/>
  <c r="M116" i="8"/>
  <c r="I116" i="8"/>
  <c r="H117" i="8"/>
  <c r="J117" i="8"/>
  <c r="K117" i="8"/>
  <c r="L117" i="8"/>
  <c r="M117" i="8"/>
  <c r="I117" i="8"/>
  <c r="H118" i="8"/>
  <c r="J118" i="8"/>
  <c r="K118" i="8"/>
  <c r="L118" i="8"/>
  <c r="M118" i="8"/>
  <c r="I118" i="8"/>
  <c r="H119" i="8"/>
  <c r="J119" i="8"/>
  <c r="K119" i="8"/>
  <c r="L119" i="8"/>
  <c r="M119" i="8"/>
  <c r="I119" i="8"/>
  <c r="H120" i="8"/>
  <c r="J120" i="8"/>
  <c r="K120" i="8"/>
  <c r="L120" i="8"/>
  <c r="M120" i="8"/>
  <c r="I120" i="8"/>
  <c r="H121" i="8"/>
  <c r="J121" i="8"/>
  <c r="K121" i="8"/>
  <c r="L121" i="8"/>
  <c r="M121" i="8"/>
  <c r="I121" i="8"/>
  <c r="H122" i="8"/>
  <c r="J122" i="8"/>
  <c r="K122" i="8"/>
  <c r="L122" i="8"/>
  <c r="M122" i="8"/>
  <c r="I122" i="8"/>
  <c r="H123" i="8"/>
  <c r="J123" i="8"/>
  <c r="K123" i="8"/>
  <c r="L123" i="8"/>
  <c r="M123" i="8"/>
  <c r="I123" i="8"/>
  <c r="H124" i="8"/>
  <c r="J124" i="8"/>
  <c r="K124" i="8"/>
  <c r="L124" i="8"/>
  <c r="M124" i="8"/>
  <c r="I124" i="8"/>
  <c r="H125" i="8"/>
  <c r="J125" i="8"/>
  <c r="K125" i="8"/>
  <c r="L125" i="8"/>
  <c r="M125" i="8"/>
  <c r="I125" i="8"/>
  <c r="H126" i="8"/>
  <c r="J126" i="8"/>
  <c r="K126" i="8"/>
  <c r="L126" i="8"/>
  <c r="M126" i="8"/>
  <c r="I126" i="8"/>
  <c r="H127" i="8"/>
  <c r="J127" i="8"/>
  <c r="K127" i="8"/>
  <c r="L127" i="8"/>
  <c r="M127" i="8"/>
  <c r="I127" i="8"/>
  <c r="H128" i="8"/>
  <c r="J128" i="8"/>
  <c r="K128" i="8"/>
  <c r="L128" i="8"/>
  <c r="M128" i="8"/>
  <c r="H129" i="8"/>
  <c r="I128" i="8"/>
  <c r="J129" i="8"/>
  <c r="K129" i="8"/>
  <c r="L129" i="8"/>
  <c r="M129" i="8"/>
  <c r="I129" i="8"/>
  <c r="H130" i="8"/>
  <c r="J130" i="8"/>
  <c r="K130" i="8"/>
  <c r="L130" i="8"/>
  <c r="M130" i="8"/>
  <c r="I130" i="8"/>
  <c r="H131" i="8"/>
  <c r="J131" i="8"/>
  <c r="K131" i="8"/>
  <c r="L131" i="8"/>
  <c r="M131" i="8"/>
  <c r="H132" i="8"/>
  <c r="I131" i="8"/>
  <c r="J132" i="8"/>
  <c r="K132" i="8"/>
  <c r="L132" i="8"/>
  <c r="M132" i="8"/>
  <c r="I132" i="8"/>
  <c r="H133" i="8"/>
  <c r="J133" i="8"/>
  <c r="K133" i="8"/>
  <c r="L133" i="8"/>
  <c r="M133" i="8"/>
  <c r="I133" i="8"/>
  <c r="H134" i="8"/>
  <c r="J134" i="8"/>
  <c r="K134" i="8"/>
  <c r="L134" i="8"/>
  <c r="M134" i="8"/>
  <c r="I134" i="8"/>
  <c r="H135" i="8"/>
  <c r="J135" i="8"/>
  <c r="K135" i="8"/>
  <c r="L135" i="8"/>
  <c r="M135" i="8"/>
  <c r="I135" i="8"/>
  <c r="H136" i="8"/>
  <c r="J136" i="8"/>
  <c r="K136" i="8"/>
  <c r="L136" i="8"/>
  <c r="M136" i="8"/>
  <c r="I136" i="8"/>
  <c r="H137" i="8"/>
  <c r="J137" i="8"/>
  <c r="K137" i="8"/>
  <c r="L137" i="8"/>
  <c r="M137" i="8"/>
  <c r="I137" i="8"/>
  <c r="H138" i="8"/>
  <c r="J138" i="8"/>
  <c r="K138" i="8"/>
  <c r="L138" i="8"/>
  <c r="M138" i="8"/>
  <c r="I138" i="8"/>
  <c r="H139" i="8"/>
  <c r="J139" i="8"/>
  <c r="K139" i="8"/>
  <c r="L139" i="8"/>
  <c r="M139" i="8"/>
  <c r="H140" i="8"/>
  <c r="I139" i="8"/>
  <c r="J140" i="8"/>
  <c r="K140" i="8"/>
  <c r="L140" i="8"/>
  <c r="M140" i="8"/>
  <c r="I140" i="8"/>
  <c r="H141" i="8"/>
  <c r="J141" i="8"/>
  <c r="K141" i="8"/>
  <c r="L141" i="8"/>
  <c r="M141" i="8"/>
  <c r="I141" i="8"/>
  <c r="H142" i="8"/>
  <c r="J142" i="8"/>
  <c r="K142" i="8"/>
  <c r="L142" i="8"/>
  <c r="M142" i="8"/>
  <c r="I142" i="8"/>
  <c r="H143" i="8"/>
  <c r="J143" i="8"/>
  <c r="K143" i="8"/>
  <c r="L143" i="8"/>
  <c r="M143" i="8"/>
  <c r="I143" i="8"/>
  <c r="H144" i="8"/>
  <c r="J144" i="8"/>
  <c r="K144" i="8"/>
  <c r="L144" i="8"/>
  <c r="M144" i="8"/>
  <c r="I144" i="8"/>
  <c r="H145" i="8"/>
  <c r="J145" i="8"/>
  <c r="K145" i="8"/>
  <c r="L145" i="8"/>
  <c r="M145" i="8"/>
  <c r="I145" i="8"/>
  <c r="H146" i="8"/>
  <c r="J146" i="8"/>
  <c r="K146" i="8"/>
  <c r="L146" i="8"/>
  <c r="M146" i="8"/>
  <c r="I146" i="8"/>
  <c r="H147" i="8"/>
  <c r="J147" i="8"/>
  <c r="K147" i="8"/>
  <c r="L147" i="8"/>
  <c r="M147" i="8"/>
  <c r="I147" i="8"/>
  <c r="H148" i="8"/>
  <c r="J148" i="8"/>
  <c r="K148" i="8"/>
  <c r="L148" i="8"/>
  <c r="M148" i="8"/>
  <c r="I148" i="8"/>
  <c r="H149" i="8"/>
  <c r="J149" i="8"/>
  <c r="K149" i="8"/>
  <c r="L149" i="8"/>
  <c r="M149" i="8"/>
  <c r="I149" i="8"/>
  <c r="H150" i="8"/>
  <c r="J150" i="8"/>
  <c r="K150" i="8"/>
  <c r="L150" i="8"/>
  <c r="M150" i="8"/>
  <c r="I150" i="8"/>
  <c r="H151" i="8"/>
  <c r="J151" i="8"/>
  <c r="K151" i="8"/>
  <c r="L151" i="8"/>
  <c r="M151" i="8"/>
  <c r="I151" i="8"/>
  <c r="H152" i="8"/>
  <c r="J152" i="8"/>
  <c r="K152" i="8"/>
  <c r="L152" i="8"/>
  <c r="M152" i="8"/>
  <c r="I152" i="8"/>
  <c r="H153" i="8"/>
  <c r="J153" i="8"/>
  <c r="K153" i="8"/>
  <c r="L153" i="8"/>
  <c r="M153" i="8"/>
  <c r="I153" i="8"/>
  <c r="H154" i="8"/>
  <c r="J154" i="8"/>
  <c r="K154" i="8"/>
  <c r="L154" i="8"/>
  <c r="M154" i="8"/>
  <c r="I154" i="8"/>
  <c r="H155" i="8"/>
  <c r="J155" i="8"/>
  <c r="K155" i="8"/>
  <c r="L155" i="8"/>
  <c r="M155" i="8"/>
  <c r="H156" i="8"/>
  <c r="I155" i="8"/>
  <c r="J156" i="8"/>
  <c r="K156" i="8"/>
  <c r="L156" i="8"/>
  <c r="M156" i="8"/>
  <c r="I156" i="8"/>
  <c r="H157" i="8"/>
  <c r="J157" i="8"/>
  <c r="K157" i="8"/>
  <c r="L157" i="8"/>
  <c r="M157" i="8"/>
  <c r="I157" i="8"/>
  <c r="H158" i="8"/>
  <c r="J158" i="8"/>
  <c r="K158" i="8"/>
  <c r="L158" i="8"/>
  <c r="M158" i="8"/>
  <c r="I158" i="8"/>
  <c r="H159" i="8"/>
  <c r="J159" i="8"/>
  <c r="K159" i="8"/>
  <c r="L159" i="8"/>
  <c r="M159" i="8"/>
  <c r="I159" i="8"/>
  <c r="H160" i="8"/>
  <c r="J160" i="8"/>
  <c r="K160" i="8"/>
  <c r="L160" i="8"/>
  <c r="M160" i="8"/>
  <c r="I160" i="8"/>
  <c r="H161" i="8"/>
  <c r="J161" i="8"/>
  <c r="K161" i="8"/>
  <c r="L161" i="8"/>
  <c r="M161" i="8"/>
  <c r="H162" i="8"/>
  <c r="I161" i="8"/>
  <c r="J162" i="8"/>
  <c r="K162" i="8"/>
  <c r="L162" i="8"/>
  <c r="M162" i="8"/>
  <c r="I162" i="8"/>
  <c r="H163" i="8"/>
  <c r="J163" i="8"/>
  <c r="K163" i="8"/>
  <c r="L163" i="8"/>
  <c r="M163" i="8"/>
  <c r="H164" i="8"/>
  <c r="I163" i="8"/>
  <c r="J164" i="8"/>
  <c r="K164" i="8"/>
  <c r="L164" i="8"/>
  <c r="M164" i="8"/>
  <c r="I164" i="8"/>
  <c r="H165" i="8"/>
  <c r="J165" i="8"/>
  <c r="K165" i="8"/>
  <c r="L165" i="8"/>
  <c r="M165" i="8"/>
  <c r="I165" i="8"/>
  <c r="H166" i="8"/>
  <c r="J166" i="8"/>
  <c r="K166" i="8"/>
  <c r="L166" i="8"/>
  <c r="M166" i="8"/>
  <c r="I166" i="8"/>
  <c r="H167" i="8"/>
  <c r="J167" i="8"/>
  <c r="K167" i="8"/>
  <c r="L167" i="8"/>
  <c r="M167" i="8"/>
  <c r="I167" i="8"/>
  <c r="H168" i="8"/>
  <c r="J168" i="8"/>
  <c r="K168" i="8"/>
  <c r="L168" i="8"/>
  <c r="M168" i="8"/>
  <c r="I168" i="8"/>
  <c r="H169" i="8"/>
  <c r="J169" i="8"/>
  <c r="K169" i="8"/>
  <c r="L169" i="8"/>
  <c r="M169" i="8"/>
  <c r="I169" i="8"/>
  <c r="H170" i="8"/>
  <c r="J170" i="8"/>
  <c r="K170" i="8"/>
  <c r="L170" i="8"/>
  <c r="M170" i="8"/>
  <c r="I170" i="8"/>
  <c r="H171" i="8"/>
  <c r="J171" i="8"/>
  <c r="K171" i="8"/>
  <c r="L171" i="8"/>
  <c r="M171" i="8"/>
  <c r="I171" i="8"/>
  <c r="H172" i="8"/>
  <c r="J172" i="8"/>
  <c r="K172" i="8"/>
  <c r="L172" i="8"/>
  <c r="M172" i="8"/>
  <c r="I172" i="8"/>
  <c r="H173" i="8"/>
  <c r="J173" i="8"/>
  <c r="K173" i="8"/>
  <c r="L173" i="8"/>
  <c r="M173" i="8"/>
  <c r="I173" i="8"/>
  <c r="H174" i="8"/>
  <c r="J174" i="8"/>
  <c r="K174" i="8"/>
  <c r="L174" i="8"/>
  <c r="M174" i="8"/>
  <c r="I174" i="8"/>
  <c r="H175" i="8"/>
  <c r="J175" i="8"/>
  <c r="K175" i="8"/>
  <c r="L175" i="8"/>
  <c r="M175" i="8"/>
  <c r="I175" i="8"/>
  <c r="H176" i="8"/>
  <c r="J176" i="8"/>
  <c r="K176" i="8"/>
  <c r="L176" i="8"/>
  <c r="M176" i="8"/>
  <c r="I176" i="8"/>
  <c r="H177" i="8"/>
  <c r="J177" i="8"/>
  <c r="K177" i="8"/>
  <c r="L177" i="8"/>
  <c r="M177" i="8"/>
  <c r="I177" i="8"/>
  <c r="H178" i="8"/>
  <c r="J178" i="8"/>
  <c r="K178" i="8"/>
  <c r="L178" i="8"/>
  <c r="M178" i="8"/>
  <c r="I178" i="8"/>
  <c r="H179" i="8"/>
  <c r="J179" i="8"/>
  <c r="K179" i="8"/>
  <c r="L179" i="8"/>
  <c r="M179" i="8"/>
  <c r="I179" i="8"/>
  <c r="H180" i="8"/>
  <c r="J180" i="8"/>
  <c r="K180" i="8"/>
  <c r="L180" i="8"/>
  <c r="M180" i="8"/>
  <c r="I180" i="8"/>
  <c r="H181" i="8"/>
  <c r="J181" i="8"/>
  <c r="K181" i="8"/>
  <c r="L181" i="8"/>
  <c r="M181" i="8"/>
  <c r="I181" i="8"/>
  <c r="H182" i="8"/>
  <c r="J182" i="8"/>
  <c r="K182" i="8"/>
  <c r="L182" i="8"/>
  <c r="M182" i="8"/>
  <c r="I182" i="8"/>
  <c r="H183" i="8"/>
  <c r="J183" i="8"/>
  <c r="K183" i="8"/>
  <c r="L183" i="8"/>
  <c r="M183" i="8"/>
  <c r="I183" i="8"/>
  <c r="H184" i="8"/>
  <c r="J184" i="8"/>
  <c r="K184" i="8"/>
  <c r="L184" i="8"/>
  <c r="M184" i="8"/>
  <c r="I184" i="8"/>
  <c r="H185" i="8"/>
  <c r="J185" i="8"/>
  <c r="K185" i="8"/>
  <c r="L185" i="8"/>
  <c r="M185" i="8"/>
  <c r="I185" i="8"/>
  <c r="H186" i="8"/>
  <c r="J186" i="8"/>
  <c r="K186" i="8"/>
  <c r="L186" i="8"/>
  <c r="M186" i="8"/>
  <c r="I186" i="8"/>
  <c r="H187" i="8"/>
  <c r="J187" i="8"/>
  <c r="K187" i="8"/>
  <c r="L187" i="8"/>
  <c r="M187" i="8"/>
  <c r="I187" i="8"/>
  <c r="H188" i="8"/>
  <c r="J188" i="8"/>
  <c r="K188" i="8"/>
  <c r="L188" i="8"/>
  <c r="M188" i="8"/>
  <c r="I188" i="8"/>
  <c r="H189" i="8"/>
  <c r="J189" i="8"/>
  <c r="K189" i="8"/>
  <c r="L189" i="8"/>
  <c r="M189" i="8"/>
  <c r="I189" i="8"/>
  <c r="H190" i="8"/>
  <c r="J190" i="8"/>
  <c r="K190" i="8"/>
  <c r="L190" i="8"/>
  <c r="M190" i="8"/>
  <c r="I190" i="8"/>
  <c r="H191" i="8"/>
  <c r="J191" i="8"/>
  <c r="K191" i="8"/>
  <c r="L191" i="8"/>
  <c r="M191" i="8"/>
  <c r="I191" i="8"/>
  <c r="H192" i="8"/>
  <c r="J192" i="8"/>
  <c r="K192" i="8"/>
  <c r="L192" i="8"/>
  <c r="M192" i="8"/>
  <c r="I192" i="8"/>
  <c r="H193" i="8"/>
  <c r="J193" i="8"/>
  <c r="K193" i="8"/>
  <c r="L193" i="8"/>
  <c r="M193" i="8"/>
  <c r="I193" i="8"/>
  <c r="H194" i="8"/>
  <c r="J194" i="8"/>
  <c r="K194" i="8"/>
  <c r="L194" i="8"/>
  <c r="M194" i="8"/>
  <c r="I194" i="8"/>
  <c r="H195" i="8"/>
  <c r="J195" i="8"/>
  <c r="K195" i="8"/>
  <c r="L195" i="8"/>
  <c r="M195" i="8"/>
  <c r="I195" i="8"/>
  <c r="H196" i="8"/>
  <c r="J196" i="8"/>
  <c r="K196" i="8"/>
  <c r="L196" i="8"/>
  <c r="M196" i="8"/>
  <c r="I196" i="8"/>
  <c r="H197" i="8"/>
  <c r="J197" i="8"/>
  <c r="K197" i="8"/>
  <c r="L197" i="8"/>
  <c r="M197" i="8"/>
  <c r="I197" i="8"/>
  <c r="H198" i="8"/>
  <c r="J198" i="8"/>
  <c r="K198" i="8"/>
  <c r="L198" i="8"/>
  <c r="M198" i="8"/>
  <c r="I198" i="8"/>
  <c r="H199" i="8"/>
  <c r="J199" i="8"/>
  <c r="K199" i="8"/>
  <c r="L199" i="8"/>
  <c r="M199" i="8"/>
  <c r="I199" i="8"/>
  <c r="H200" i="8"/>
  <c r="J200" i="8"/>
  <c r="K200" i="8"/>
  <c r="L200" i="8"/>
  <c r="M200" i="8"/>
  <c r="I200" i="8"/>
  <c r="H201" i="8"/>
  <c r="J201" i="8"/>
  <c r="K201" i="8"/>
  <c r="L201" i="8"/>
  <c r="M201" i="8"/>
  <c r="I201" i="8"/>
  <c r="H202" i="8"/>
  <c r="J202" i="8"/>
  <c r="K202" i="8"/>
  <c r="L202" i="8"/>
  <c r="M202" i="8"/>
  <c r="I202" i="8"/>
  <c r="H203" i="8"/>
  <c r="J203" i="8"/>
  <c r="K203" i="8"/>
  <c r="L203" i="8"/>
  <c r="M203" i="8"/>
  <c r="I203" i="8"/>
  <c r="H204" i="8"/>
  <c r="J204" i="8"/>
  <c r="K204" i="8"/>
  <c r="L204" i="8"/>
  <c r="M204" i="8"/>
  <c r="I204" i="8"/>
  <c r="H205" i="8"/>
  <c r="J205" i="8"/>
  <c r="K205" i="8"/>
  <c r="L205" i="8"/>
  <c r="M205" i="8"/>
  <c r="I205" i="8"/>
  <c r="H206" i="8"/>
  <c r="J206" i="8"/>
  <c r="K206" i="8"/>
  <c r="L206" i="8"/>
  <c r="M206" i="8"/>
  <c r="I206" i="8"/>
  <c r="H207" i="8"/>
  <c r="J207" i="8"/>
  <c r="K207" i="8"/>
  <c r="L207" i="8"/>
  <c r="M207" i="8"/>
  <c r="I207" i="8"/>
  <c r="H208" i="8"/>
  <c r="J208" i="8"/>
  <c r="K208" i="8"/>
  <c r="L208" i="8"/>
  <c r="M208" i="8"/>
  <c r="I208" i="8"/>
  <c r="H209" i="8"/>
  <c r="J209" i="8"/>
  <c r="K209" i="8"/>
  <c r="L209" i="8"/>
  <c r="M209" i="8"/>
  <c r="I209" i="8"/>
  <c r="H210" i="8"/>
  <c r="J210" i="8"/>
  <c r="K210" i="8"/>
  <c r="L210" i="8"/>
  <c r="M210" i="8"/>
  <c r="I210" i="8"/>
  <c r="H211" i="8"/>
  <c r="J211" i="8"/>
  <c r="K211" i="8"/>
  <c r="L211" i="8"/>
  <c r="M211" i="8"/>
  <c r="I211" i="8"/>
  <c r="H212" i="8"/>
  <c r="J212" i="8"/>
  <c r="K212" i="8"/>
  <c r="L212" i="8"/>
  <c r="M212" i="8"/>
  <c r="I212" i="8"/>
  <c r="H213" i="8"/>
  <c r="J213" i="8"/>
  <c r="K213" i="8"/>
  <c r="L213" i="8"/>
  <c r="M213" i="8"/>
  <c r="I213" i="8"/>
  <c r="H214" i="8"/>
  <c r="J214" i="8"/>
  <c r="K214" i="8"/>
  <c r="L214" i="8"/>
  <c r="M214" i="8"/>
  <c r="I214" i="8"/>
  <c r="H215" i="8"/>
  <c r="J215" i="8"/>
  <c r="K215" i="8"/>
  <c r="L215" i="8"/>
  <c r="M215" i="8"/>
  <c r="I215" i="8"/>
  <c r="H216" i="8"/>
  <c r="J216" i="8"/>
  <c r="K216" i="8"/>
  <c r="L216" i="8"/>
  <c r="M216" i="8"/>
  <c r="I216" i="8"/>
  <c r="H217" i="8"/>
  <c r="J217" i="8"/>
  <c r="K217" i="8"/>
  <c r="L217" i="8"/>
  <c r="M217" i="8"/>
  <c r="I217" i="8"/>
  <c r="H218" i="8"/>
  <c r="J218" i="8"/>
  <c r="K218" i="8"/>
  <c r="L218" i="8"/>
  <c r="M218" i="8"/>
  <c r="I218" i="8"/>
  <c r="H219" i="8"/>
  <c r="J219" i="8"/>
  <c r="K219" i="8"/>
  <c r="L219" i="8"/>
  <c r="M219" i="8"/>
  <c r="I219" i="8"/>
  <c r="H220" i="8"/>
  <c r="J220" i="8"/>
  <c r="K220" i="8"/>
  <c r="L220" i="8"/>
  <c r="M220" i="8"/>
  <c r="I220" i="8"/>
  <c r="H221" i="8"/>
  <c r="J221" i="8"/>
  <c r="K221" i="8"/>
  <c r="L221" i="8"/>
  <c r="M221" i="8"/>
  <c r="I221" i="8"/>
  <c r="H222" i="8"/>
  <c r="J222" i="8"/>
  <c r="K222" i="8"/>
  <c r="L222" i="8"/>
  <c r="M222" i="8"/>
  <c r="I222" i="8"/>
  <c r="H223" i="8"/>
  <c r="J223" i="8"/>
  <c r="K223" i="8"/>
  <c r="L223" i="8"/>
  <c r="M223" i="8"/>
  <c r="I223" i="8"/>
  <c r="H224" i="8"/>
  <c r="J224" i="8"/>
  <c r="K224" i="8"/>
  <c r="L224" i="8"/>
  <c r="M224" i="8"/>
  <c r="I224" i="8"/>
  <c r="H225" i="8"/>
  <c r="J225" i="8"/>
  <c r="K225" i="8"/>
  <c r="L225" i="8"/>
  <c r="M225" i="8"/>
  <c r="I225" i="8"/>
  <c r="H226" i="8"/>
  <c r="J226" i="8"/>
  <c r="K226" i="8"/>
  <c r="L226" i="8"/>
  <c r="M226" i="8"/>
  <c r="I226" i="8"/>
  <c r="H227" i="8"/>
  <c r="J227" i="8"/>
  <c r="K227" i="8"/>
  <c r="L227" i="8"/>
  <c r="M227" i="8"/>
  <c r="I227" i="8"/>
  <c r="H228" i="8"/>
  <c r="J228" i="8"/>
  <c r="K228" i="8"/>
  <c r="L228" i="8"/>
  <c r="M228" i="8"/>
  <c r="I228" i="8"/>
  <c r="H229" i="8"/>
  <c r="J229" i="8"/>
  <c r="K229" i="8"/>
  <c r="L229" i="8"/>
  <c r="M229" i="8"/>
  <c r="I229" i="8"/>
  <c r="H230" i="8"/>
  <c r="J230" i="8"/>
  <c r="K230" i="8"/>
  <c r="L230" i="8"/>
  <c r="M230" i="8"/>
  <c r="I230" i="8"/>
  <c r="H231" i="8"/>
  <c r="J231" i="8"/>
  <c r="K231" i="8"/>
  <c r="L231" i="8"/>
  <c r="M231" i="8"/>
  <c r="H232" i="8"/>
  <c r="I231" i="8"/>
  <c r="J232" i="8"/>
  <c r="K232" i="8"/>
  <c r="L232" i="8"/>
  <c r="M232" i="8"/>
  <c r="I232" i="8"/>
  <c r="H233" i="8"/>
  <c r="J233" i="8"/>
  <c r="K233" i="8"/>
  <c r="L233" i="8"/>
  <c r="M233" i="8"/>
  <c r="I233" i="8"/>
  <c r="H234" i="8"/>
  <c r="J234" i="8"/>
  <c r="K234" i="8"/>
  <c r="L234" i="8"/>
  <c r="M234" i="8"/>
  <c r="I234" i="8"/>
  <c r="H235" i="8"/>
  <c r="J235" i="8"/>
  <c r="K235" i="8"/>
  <c r="L235" i="8"/>
  <c r="M235" i="8"/>
  <c r="H236" i="8"/>
  <c r="I235" i="8"/>
  <c r="J236" i="8"/>
  <c r="K236" i="8"/>
  <c r="L236" i="8"/>
  <c r="M236" i="8"/>
  <c r="I236" i="8"/>
  <c r="H237" i="8"/>
  <c r="J237" i="8"/>
  <c r="K237" i="8"/>
  <c r="L237" i="8"/>
  <c r="M237" i="8"/>
  <c r="I237" i="8"/>
  <c r="H238" i="8"/>
  <c r="J238" i="8"/>
  <c r="K238" i="8"/>
  <c r="L238" i="8"/>
  <c r="M238" i="8"/>
  <c r="I238" i="8"/>
  <c r="H239" i="8"/>
  <c r="J239" i="8"/>
  <c r="K239" i="8"/>
  <c r="L239" i="8"/>
  <c r="M239" i="8"/>
  <c r="I239" i="8"/>
  <c r="H240" i="8"/>
  <c r="J240" i="8"/>
  <c r="K240" i="8"/>
  <c r="L240" i="8"/>
  <c r="M240" i="8"/>
  <c r="I240" i="8"/>
  <c r="H241" i="8"/>
  <c r="J241" i="8"/>
  <c r="K241" i="8"/>
  <c r="L241" i="8"/>
  <c r="M241" i="8"/>
  <c r="I241" i="8"/>
  <c r="H242" i="8"/>
  <c r="J242" i="8"/>
  <c r="K242" i="8"/>
  <c r="L242" i="8"/>
  <c r="M242" i="8"/>
  <c r="I242" i="8"/>
  <c r="H243" i="8"/>
  <c r="J243" i="8"/>
  <c r="K243" i="8"/>
  <c r="L243" i="8"/>
  <c r="M243" i="8"/>
  <c r="I243" i="8"/>
  <c r="H244" i="8"/>
  <c r="J244" i="8"/>
  <c r="K244" i="8"/>
  <c r="L244" i="8"/>
  <c r="M244" i="8"/>
  <c r="I244" i="8"/>
  <c r="H245" i="8"/>
  <c r="J245" i="8"/>
  <c r="K245" i="8"/>
  <c r="L245" i="8"/>
  <c r="M245" i="8"/>
  <c r="I245" i="8"/>
  <c r="H246" i="8"/>
  <c r="J246" i="8"/>
  <c r="K246" i="8"/>
  <c r="L246" i="8"/>
  <c r="M246" i="8"/>
  <c r="I246" i="8"/>
  <c r="H247" i="8"/>
  <c r="J247" i="8"/>
  <c r="K247" i="8"/>
  <c r="L247" i="8"/>
  <c r="M247" i="8"/>
  <c r="I247" i="8"/>
  <c r="H248" i="8"/>
  <c r="J248" i="8"/>
  <c r="K248" i="8"/>
  <c r="L248" i="8"/>
  <c r="M248" i="8"/>
  <c r="I248" i="8"/>
  <c r="H249" i="8"/>
  <c r="J249" i="8"/>
  <c r="K249" i="8"/>
  <c r="L249" i="8"/>
  <c r="M249" i="8"/>
  <c r="I249" i="8"/>
  <c r="H250" i="8"/>
  <c r="J250" i="8"/>
  <c r="K250" i="8"/>
  <c r="L250" i="8"/>
  <c r="M250" i="8"/>
  <c r="I250" i="8"/>
  <c r="H251" i="8"/>
  <c r="J251" i="8"/>
  <c r="K251" i="8"/>
  <c r="L251" i="8"/>
  <c r="M251" i="8"/>
  <c r="I251" i="8"/>
  <c r="H252" i="8"/>
  <c r="J252" i="8"/>
  <c r="K252" i="8"/>
  <c r="L252" i="8"/>
  <c r="M252" i="8"/>
  <c r="I252" i="8"/>
  <c r="H253" i="8"/>
  <c r="J253" i="8"/>
  <c r="K253" i="8"/>
  <c r="L253" i="8"/>
  <c r="M253" i="8"/>
  <c r="I253" i="8"/>
  <c r="H254" i="8"/>
  <c r="J254" i="8"/>
  <c r="K254" i="8"/>
  <c r="L254" i="8"/>
  <c r="M254" i="8"/>
  <c r="I254" i="8"/>
  <c r="H255" i="8"/>
  <c r="J255" i="8"/>
  <c r="K255" i="8"/>
  <c r="L255" i="8"/>
  <c r="M255" i="8"/>
  <c r="I255" i="8"/>
  <c r="H256" i="8"/>
  <c r="J256" i="8"/>
  <c r="K256" i="8"/>
  <c r="L256" i="8"/>
  <c r="M256" i="8"/>
  <c r="I256" i="8"/>
  <c r="H257" i="8"/>
  <c r="J257" i="8"/>
  <c r="K257" i="8"/>
  <c r="L257" i="8"/>
  <c r="M257" i="8"/>
  <c r="I257" i="8"/>
  <c r="H258" i="8"/>
  <c r="J258" i="8"/>
  <c r="K258" i="8"/>
  <c r="L258" i="8"/>
  <c r="M258" i="8"/>
  <c r="I258" i="8"/>
  <c r="H259" i="8"/>
  <c r="J259" i="8"/>
  <c r="K259" i="8"/>
  <c r="L259" i="8"/>
  <c r="M259" i="8"/>
  <c r="I259" i="8"/>
  <c r="H260" i="8"/>
  <c r="J260" i="8"/>
  <c r="K260" i="8"/>
  <c r="L260" i="8"/>
  <c r="M260" i="8"/>
  <c r="I260" i="8"/>
  <c r="H261" i="8"/>
  <c r="J261" i="8"/>
  <c r="K261" i="8"/>
  <c r="L261" i="8"/>
  <c r="M261" i="8"/>
  <c r="I261" i="8"/>
  <c r="H262" i="8"/>
  <c r="J262" i="8"/>
  <c r="K262" i="8"/>
  <c r="L262" i="8"/>
  <c r="M262" i="8"/>
  <c r="I262" i="8"/>
  <c r="H263" i="8"/>
  <c r="J263" i="8"/>
  <c r="K263" i="8"/>
  <c r="L263" i="8"/>
  <c r="M263" i="8"/>
  <c r="I263" i="8"/>
  <c r="H264" i="8"/>
  <c r="J264" i="8"/>
  <c r="K264" i="8"/>
  <c r="L264" i="8"/>
  <c r="M264" i="8"/>
  <c r="I264" i="8"/>
  <c r="H265" i="8"/>
  <c r="J265" i="8"/>
  <c r="K265" i="8"/>
  <c r="L265" i="8"/>
  <c r="M265" i="8"/>
  <c r="I265" i="8"/>
  <c r="H266" i="8"/>
  <c r="J266" i="8"/>
  <c r="K266" i="8"/>
  <c r="L266" i="8"/>
  <c r="M266" i="8"/>
  <c r="I266" i="8"/>
  <c r="H267" i="8"/>
  <c r="J267" i="8"/>
  <c r="K267" i="8"/>
  <c r="L267" i="8"/>
  <c r="M267" i="8"/>
  <c r="I267" i="8"/>
  <c r="H268" i="8"/>
  <c r="J268" i="8"/>
  <c r="K268" i="8"/>
  <c r="L268" i="8"/>
  <c r="M268" i="8"/>
  <c r="I268" i="8"/>
  <c r="H269" i="8"/>
  <c r="J269" i="8"/>
  <c r="K269" i="8"/>
  <c r="L269" i="8"/>
  <c r="M269" i="8"/>
  <c r="I269" i="8"/>
  <c r="H270" i="8"/>
  <c r="J270" i="8"/>
  <c r="K270" i="8"/>
  <c r="L270" i="8"/>
  <c r="M270" i="8"/>
  <c r="I270" i="8"/>
  <c r="H271" i="8"/>
  <c r="J271" i="8"/>
  <c r="K271" i="8"/>
  <c r="L271" i="8"/>
  <c r="M271" i="8"/>
  <c r="I271" i="8"/>
  <c r="H272" i="8"/>
  <c r="J272" i="8"/>
  <c r="K272" i="8"/>
  <c r="L272" i="8"/>
  <c r="M272" i="8"/>
  <c r="I272" i="8"/>
  <c r="H273" i="8"/>
  <c r="J273" i="8"/>
  <c r="K273" i="8"/>
  <c r="L273" i="8"/>
  <c r="M273" i="8"/>
  <c r="I273" i="8"/>
  <c r="H274" i="8"/>
  <c r="J274" i="8"/>
  <c r="K274" i="8"/>
  <c r="L274" i="8"/>
  <c r="M274" i="8"/>
  <c r="I274" i="8"/>
  <c r="H275" i="8"/>
  <c r="J275" i="8"/>
  <c r="K275" i="8"/>
  <c r="L275" i="8"/>
  <c r="M275" i="8"/>
  <c r="I275" i="8"/>
  <c r="H276" i="8"/>
  <c r="J276" i="8"/>
  <c r="K276" i="8"/>
  <c r="L276" i="8"/>
  <c r="M276" i="8"/>
  <c r="I276" i="8"/>
  <c r="H277" i="8"/>
  <c r="J277" i="8"/>
  <c r="K277" i="8"/>
  <c r="L277" i="8"/>
  <c r="M277" i="8"/>
  <c r="I277" i="8"/>
  <c r="H278" i="8"/>
  <c r="J278" i="8"/>
  <c r="K278" i="8"/>
  <c r="L278" i="8"/>
  <c r="M278" i="8"/>
  <c r="I278" i="8"/>
  <c r="H279" i="8"/>
  <c r="J279" i="8"/>
  <c r="K279" i="8"/>
  <c r="L279" i="8"/>
  <c r="M279" i="8"/>
  <c r="I279" i="8"/>
  <c r="H280" i="8"/>
  <c r="J280" i="8"/>
  <c r="K280" i="8"/>
  <c r="L280" i="8"/>
  <c r="M280" i="8"/>
  <c r="I280" i="8"/>
  <c r="H281" i="8"/>
  <c r="J281" i="8"/>
  <c r="K281" i="8"/>
  <c r="L281" i="8"/>
  <c r="M281" i="8"/>
  <c r="I281" i="8"/>
  <c r="H282" i="8"/>
  <c r="J282" i="8"/>
  <c r="K282" i="8"/>
  <c r="L282" i="8"/>
  <c r="M282" i="8"/>
  <c r="I282" i="8"/>
  <c r="H283" i="8"/>
  <c r="J283" i="8"/>
  <c r="K283" i="8"/>
  <c r="L283" i="8"/>
  <c r="M283" i="8"/>
  <c r="I283" i="8"/>
  <c r="H284" i="8"/>
  <c r="J284" i="8"/>
  <c r="K284" i="8"/>
  <c r="L284" i="8"/>
  <c r="M284" i="8"/>
  <c r="I284" i="8"/>
  <c r="H285" i="8"/>
  <c r="J285" i="8"/>
  <c r="K285" i="8"/>
  <c r="L285" i="8"/>
  <c r="M285" i="8"/>
  <c r="I285" i="8"/>
  <c r="H286" i="8"/>
  <c r="J286" i="8"/>
  <c r="K286" i="8"/>
  <c r="L286" i="8"/>
  <c r="M286" i="8"/>
  <c r="I286" i="8"/>
  <c r="H287" i="8"/>
  <c r="J287" i="8"/>
  <c r="K287" i="8"/>
  <c r="L287" i="8"/>
  <c r="M287" i="8"/>
  <c r="I287" i="8"/>
  <c r="H288" i="8"/>
  <c r="J288" i="8"/>
  <c r="K288" i="8"/>
  <c r="L288" i="8"/>
  <c r="M288" i="8"/>
  <c r="I288" i="8"/>
  <c r="H289" i="8"/>
  <c r="J289" i="8"/>
  <c r="K289" i="8"/>
  <c r="L289" i="8"/>
  <c r="M289" i="8"/>
  <c r="I289" i="8"/>
  <c r="H290" i="8"/>
  <c r="J290" i="8"/>
  <c r="K290" i="8"/>
  <c r="L290" i="8"/>
  <c r="M290" i="8"/>
  <c r="I290" i="8"/>
  <c r="H291" i="8"/>
  <c r="J291" i="8"/>
  <c r="K291" i="8"/>
  <c r="L291" i="8"/>
  <c r="M291" i="8"/>
  <c r="I291" i="8"/>
  <c r="H292" i="8"/>
  <c r="J292" i="8"/>
  <c r="K292" i="8"/>
  <c r="L292" i="8"/>
  <c r="M292" i="8"/>
  <c r="I292" i="8"/>
  <c r="H293" i="8"/>
  <c r="J293" i="8"/>
  <c r="K293" i="8"/>
  <c r="L293" i="8"/>
  <c r="M293" i="8"/>
  <c r="I293" i="8"/>
  <c r="H294" i="8"/>
  <c r="J294" i="8"/>
  <c r="K294" i="8"/>
  <c r="L294" i="8"/>
  <c r="M294" i="8"/>
  <c r="I294" i="8"/>
  <c r="H295" i="8"/>
  <c r="J295" i="8"/>
  <c r="K295" i="8"/>
  <c r="L295" i="8"/>
  <c r="M295" i="8"/>
  <c r="I295" i="8"/>
  <c r="H296" i="8"/>
  <c r="J296" i="8"/>
  <c r="K296" i="8"/>
  <c r="L296" i="8"/>
  <c r="M296" i="8"/>
  <c r="I296" i="8"/>
  <c r="H297" i="8"/>
  <c r="J297" i="8"/>
  <c r="K297" i="8"/>
  <c r="L297" i="8"/>
  <c r="M297" i="8"/>
  <c r="I297" i="8"/>
  <c r="H298" i="8"/>
  <c r="J298" i="8"/>
  <c r="K298" i="8"/>
  <c r="L298" i="8"/>
  <c r="M298" i="8"/>
  <c r="I298" i="8"/>
  <c r="H299" i="8"/>
  <c r="J299" i="8"/>
  <c r="K299" i="8"/>
  <c r="L299" i="8"/>
  <c r="M299" i="8"/>
  <c r="I299" i="8"/>
  <c r="H300" i="8"/>
  <c r="J300" i="8"/>
  <c r="K300" i="8"/>
  <c r="L300" i="8"/>
  <c r="M300" i="8"/>
  <c r="I300" i="8"/>
  <c r="H301" i="8"/>
  <c r="J301" i="8"/>
  <c r="K301" i="8"/>
  <c r="L301" i="8"/>
  <c r="M301" i="8"/>
  <c r="I301" i="8"/>
  <c r="H302" i="8"/>
  <c r="J302" i="8"/>
  <c r="K302" i="8"/>
  <c r="L302" i="8"/>
  <c r="M302" i="8"/>
  <c r="I302" i="8"/>
  <c r="H303" i="8"/>
  <c r="J303" i="8"/>
  <c r="K303" i="8"/>
  <c r="L303" i="8"/>
  <c r="M303" i="8"/>
  <c r="I303" i="8"/>
  <c r="H304" i="8"/>
  <c r="J304" i="8"/>
  <c r="K304" i="8"/>
  <c r="L304" i="8"/>
  <c r="M304" i="8"/>
  <c r="I304" i="8"/>
  <c r="H305" i="8"/>
  <c r="J305" i="8"/>
  <c r="K305" i="8"/>
  <c r="L305" i="8"/>
  <c r="M305" i="8"/>
  <c r="I305" i="8"/>
  <c r="H306" i="8"/>
  <c r="J306" i="8"/>
  <c r="K306" i="8"/>
  <c r="L306" i="8"/>
  <c r="M306" i="8"/>
  <c r="I306" i="8"/>
  <c r="H307" i="8"/>
  <c r="J307" i="8"/>
  <c r="K307" i="8"/>
  <c r="L307" i="8"/>
  <c r="M307" i="8"/>
  <c r="I307" i="8"/>
  <c r="H308" i="8"/>
  <c r="J308" i="8"/>
  <c r="K308" i="8"/>
  <c r="L308" i="8"/>
  <c r="M308" i="8"/>
  <c r="I308" i="8"/>
  <c r="H309" i="8"/>
  <c r="J309" i="8"/>
  <c r="K309" i="8"/>
  <c r="L309" i="8"/>
  <c r="M309" i="8"/>
  <c r="I309" i="8"/>
  <c r="H310" i="8"/>
  <c r="J310" i="8"/>
  <c r="K310" i="8"/>
  <c r="L310" i="8"/>
  <c r="M310" i="8"/>
  <c r="I310" i="8"/>
  <c r="H311" i="8"/>
  <c r="J311" i="8"/>
  <c r="K311" i="8"/>
  <c r="L311" i="8"/>
  <c r="M311" i="8"/>
  <c r="I311" i="8"/>
  <c r="H312" i="8"/>
  <c r="J312" i="8"/>
  <c r="K312" i="8"/>
  <c r="L312" i="8"/>
  <c r="M312" i="8"/>
  <c r="I312" i="8"/>
  <c r="H313" i="8"/>
  <c r="J313" i="8"/>
  <c r="K313" i="8"/>
  <c r="L313" i="8"/>
  <c r="M313" i="8"/>
  <c r="I313" i="8"/>
  <c r="H314" i="8"/>
  <c r="J314" i="8"/>
  <c r="K314" i="8"/>
  <c r="L314" i="8"/>
  <c r="M314" i="8"/>
  <c r="I314" i="8"/>
  <c r="H315" i="8"/>
  <c r="J315" i="8"/>
  <c r="K315" i="8"/>
  <c r="L315" i="8"/>
  <c r="M315" i="8"/>
  <c r="I315" i="8"/>
  <c r="H316" i="8"/>
  <c r="J316" i="8"/>
  <c r="K316" i="8"/>
  <c r="L316" i="8"/>
  <c r="M316" i="8"/>
  <c r="I316" i="8"/>
  <c r="H317" i="8"/>
  <c r="J317" i="8"/>
  <c r="K317" i="8"/>
  <c r="L317" i="8"/>
  <c r="M317" i="8"/>
  <c r="I317" i="8"/>
  <c r="H318" i="8"/>
  <c r="J318" i="8"/>
  <c r="K318" i="8"/>
  <c r="L318" i="8"/>
  <c r="M318" i="8"/>
  <c r="I318" i="8"/>
  <c r="H319" i="8"/>
  <c r="J319" i="8"/>
  <c r="K319" i="8"/>
  <c r="L319" i="8"/>
  <c r="M319" i="8"/>
  <c r="I319" i="8"/>
  <c r="H320" i="8"/>
  <c r="J320" i="8"/>
  <c r="K320" i="8"/>
  <c r="L320" i="8"/>
  <c r="M320" i="8"/>
  <c r="I320" i="8"/>
  <c r="H321" i="8"/>
  <c r="J321" i="8"/>
  <c r="K321" i="8"/>
  <c r="L321" i="8"/>
  <c r="M321" i="8"/>
  <c r="I321" i="8"/>
  <c r="H322" i="8"/>
  <c r="J322" i="8"/>
  <c r="K322" i="8"/>
  <c r="L322" i="8"/>
  <c r="M322" i="8"/>
  <c r="I322" i="8"/>
  <c r="H323" i="8"/>
  <c r="J323" i="8"/>
  <c r="K323" i="8"/>
  <c r="L323" i="8"/>
  <c r="M323" i="8"/>
  <c r="I323" i="8"/>
  <c r="H324" i="8"/>
  <c r="J324" i="8"/>
  <c r="K324" i="8"/>
  <c r="L324" i="8"/>
  <c r="M324" i="8"/>
  <c r="I324" i="8"/>
  <c r="H325" i="8"/>
  <c r="J325" i="8"/>
  <c r="K325" i="8"/>
  <c r="L325" i="8"/>
  <c r="M325" i="8"/>
  <c r="I325" i="8"/>
  <c r="H326" i="8"/>
  <c r="J326" i="8"/>
  <c r="K326" i="8"/>
  <c r="L326" i="8"/>
  <c r="M326" i="8"/>
  <c r="I326" i="8"/>
  <c r="H327" i="8"/>
  <c r="J327" i="8"/>
  <c r="K327" i="8"/>
  <c r="L327" i="8"/>
  <c r="M327" i="8"/>
  <c r="I327" i="8"/>
  <c r="H328" i="8"/>
  <c r="J328" i="8"/>
  <c r="K328" i="8"/>
  <c r="L328" i="8"/>
  <c r="M328" i="8"/>
  <c r="I328" i="8"/>
  <c r="H329" i="8"/>
  <c r="J329" i="8"/>
  <c r="K329" i="8"/>
  <c r="L329" i="8"/>
  <c r="M329" i="8"/>
  <c r="I329" i="8"/>
  <c r="H330" i="8"/>
  <c r="J330" i="8"/>
  <c r="K330" i="8"/>
  <c r="L330" i="8"/>
  <c r="M330" i="8"/>
  <c r="I330" i="8"/>
  <c r="H331" i="8"/>
  <c r="J331" i="8"/>
  <c r="K331" i="8"/>
  <c r="L331" i="8"/>
  <c r="M331" i="8"/>
  <c r="I331" i="8"/>
  <c r="H332" i="8"/>
  <c r="J332" i="8"/>
  <c r="K332" i="8"/>
  <c r="L332" i="8"/>
  <c r="M332" i="8"/>
  <c r="I332" i="8"/>
  <c r="H333" i="8"/>
  <c r="J333" i="8"/>
  <c r="K333" i="8"/>
  <c r="L333" i="8"/>
  <c r="M333" i="8"/>
  <c r="I333" i="8"/>
  <c r="H334" i="8"/>
  <c r="J334" i="8"/>
  <c r="K334" i="8"/>
  <c r="L334" i="8"/>
  <c r="M334" i="8"/>
  <c r="I334" i="8"/>
  <c r="H335" i="8"/>
  <c r="J335" i="8"/>
  <c r="K335" i="8"/>
  <c r="L335" i="8"/>
  <c r="M335" i="8"/>
  <c r="I335" i="8"/>
  <c r="H336" i="8"/>
  <c r="J336" i="8"/>
  <c r="K336" i="8"/>
  <c r="L336" i="8"/>
  <c r="M336" i="8"/>
  <c r="I336" i="8"/>
  <c r="H337" i="8"/>
  <c r="J337" i="8"/>
  <c r="K337" i="8"/>
  <c r="L337" i="8"/>
  <c r="M337" i="8"/>
  <c r="I337" i="8"/>
  <c r="H338" i="8"/>
  <c r="J338" i="8"/>
  <c r="K338" i="8"/>
  <c r="L338" i="8"/>
  <c r="M338" i="8"/>
  <c r="I338" i="8"/>
  <c r="H339" i="8"/>
  <c r="J339" i="8"/>
  <c r="K339" i="8"/>
  <c r="L339" i="8"/>
  <c r="M339" i="8"/>
  <c r="I339" i="8"/>
  <c r="H340" i="8"/>
  <c r="J340" i="8"/>
  <c r="K340" i="8"/>
  <c r="L340" i="8"/>
  <c r="M340" i="8"/>
  <c r="I340" i="8"/>
  <c r="H341" i="8"/>
  <c r="J341" i="8"/>
  <c r="K341" i="8"/>
  <c r="L341" i="8"/>
  <c r="M341" i="8"/>
  <c r="I341" i="8"/>
  <c r="H342" i="8"/>
  <c r="J342" i="8"/>
  <c r="K342" i="8"/>
  <c r="L342" i="8"/>
  <c r="M342" i="8"/>
  <c r="I342" i="8"/>
  <c r="H343" i="8"/>
  <c r="J343" i="8"/>
  <c r="K343" i="8"/>
  <c r="L343" i="8"/>
  <c r="M343" i="8"/>
  <c r="I343" i="8"/>
  <c r="H344" i="8"/>
  <c r="J344" i="8"/>
  <c r="K344" i="8"/>
  <c r="L344" i="8"/>
  <c r="M344" i="8"/>
  <c r="I344" i="8"/>
  <c r="H345" i="8"/>
  <c r="J345" i="8"/>
  <c r="K345" i="8"/>
  <c r="L345" i="8"/>
  <c r="M345" i="8"/>
  <c r="I345" i="8"/>
  <c r="H346" i="8"/>
  <c r="J346" i="8"/>
  <c r="K346" i="8"/>
  <c r="L346" i="8"/>
  <c r="M346" i="8"/>
  <c r="I346" i="8"/>
  <c r="H347" i="8"/>
  <c r="J347" i="8"/>
  <c r="K347" i="8"/>
  <c r="L347" i="8"/>
  <c r="M347" i="8"/>
  <c r="I347" i="8"/>
  <c r="H348" i="8"/>
  <c r="J348" i="8"/>
  <c r="K348" i="8"/>
  <c r="L348" i="8"/>
  <c r="M348" i="8"/>
  <c r="I348" i="8"/>
  <c r="H349" i="8"/>
  <c r="J349" i="8"/>
  <c r="K349" i="8"/>
  <c r="L349" i="8"/>
  <c r="M349" i="8"/>
  <c r="I349" i="8"/>
  <c r="H350" i="8"/>
  <c r="J350" i="8"/>
  <c r="K350" i="8"/>
  <c r="L350" i="8"/>
  <c r="M350" i="8"/>
  <c r="I350" i="8"/>
  <c r="H351" i="8"/>
  <c r="J351" i="8"/>
  <c r="K351" i="8"/>
  <c r="L351" i="8"/>
  <c r="M351" i="8"/>
  <c r="I351" i="8"/>
  <c r="H352" i="8"/>
  <c r="J352" i="8"/>
  <c r="K352" i="8"/>
  <c r="L352" i="8"/>
  <c r="M352" i="8"/>
  <c r="I352" i="8"/>
  <c r="H353" i="8"/>
  <c r="J353" i="8"/>
  <c r="K353" i="8"/>
  <c r="L353" i="8"/>
  <c r="M353" i="8"/>
  <c r="I353" i="8"/>
  <c r="H354" i="8"/>
  <c r="J354" i="8"/>
  <c r="K354" i="8"/>
  <c r="L354" i="8"/>
  <c r="M354" i="8"/>
  <c r="I354" i="8"/>
  <c r="H355" i="8"/>
  <c r="J355" i="8"/>
  <c r="K355" i="8"/>
  <c r="L355" i="8"/>
  <c r="M355" i="8"/>
  <c r="I355" i="8"/>
  <c r="H356" i="8"/>
  <c r="J356" i="8"/>
  <c r="K356" i="8"/>
  <c r="L356" i="8"/>
  <c r="M356" i="8"/>
  <c r="I356" i="8"/>
  <c r="H357" i="8"/>
  <c r="J357" i="8"/>
  <c r="K357" i="8"/>
  <c r="L357" i="8"/>
  <c r="M357" i="8"/>
  <c r="I357" i="8"/>
  <c r="H358" i="8"/>
  <c r="J358" i="8"/>
  <c r="K358" i="8"/>
  <c r="L358" i="8"/>
  <c r="M358" i="8"/>
  <c r="I358" i="8"/>
  <c r="H359" i="8"/>
  <c r="J359" i="8"/>
  <c r="K359" i="8"/>
  <c r="L359" i="8"/>
  <c r="M359" i="8"/>
  <c r="I359" i="8"/>
  <c r="H360" i="8"/>
  <c r="J360" i="8"/>
  <c r="K360" i="8"/>
  <c r="L360" i="8"/>
  <c r="M360" i="8"/>
  <c r="I360" i="8"/>
  <c r="H361" i="8"/>
  <c r="J361" i="8"/>
  <c r="K361" i="8"/>
  <c r="L361" i="8"/>
  <c r="M361" i="8"/>
  <c r="I361" i="8"/>
  <c r="H362" i="8"/>
  <c r="J362" i="8"/>
  <c r="K362" i="8"/>
  <c r="L362" i="8"/>
  <c r="M362" i="8"/>
  <c r="I362" i="8"/>
  <c r="H363" i="8"/>
  <c r="J363" i="8"/>
  <c r="K363" i="8"/>
  <c r="L363" i="8"/>
  <c r="M363" i="8"/>
  <c r="I363" i="8"/>
  <c r="H364" i="8"/>
  <c r="J364" i="8"/>
  <c r="K364" i="8"/>
  <c r="L364" i="8"/>
  <c r="M364" i="8"/>
  <c r="I364" i="8"/>
  <c r="H365" i="8"/>
  <c r="J365" i="8"/>
  <c r="K365" i="8"/>
  <c r="L365" i="8"/>
  <c r="M365" i="8"/>
  <c r="I365" i="8"/>
  <c r="H366" i="8"/>
  <c r="J366" i="8"/>
  <c r="K366" i="8"/>
  <c r="L366" i="8"/>
  <c r="M366" i="8"/>
  <c r="I366" i="8"/>
  <c r="H367" i="8"/>
  <c r="J367" i="8"/>
  <c r="K367" i="8"/>
  <c r="L367" i="8"/>
  <c r="M367" i="8"/>
  <c r="I367" i="8"/>
  <c r="H368" i="8"/>
  <c r="J368" i="8"/>
  <c r="K368" i="8"/>
  <c r="L368" i="8"/>
  <c r="M368" i="8"/>
  <c r="I368" i="8"/>
  <c r="H369" i="8"/>
  <c r="J369" i="8"/>
  <c r="K369" i="8"/>
  <c r="L369" i="8"/>
  <c r="M369" i="8"/>
  <c r="I369" i="8"/>
  <c r="H370" i="8"/>
  <c r="J370" i="8"/>
  <c r="K370" i="8"/>
  <c r="L370" i="8"/>
  <c r="M370" i="8"/>
  <c r="I370" i="8"/>
  <c r="H371" i="8"/>
  <c r="J371" i="8"/>
  <c r="K371" i="8"/>
  <c r="L371" i="8"/>
  <c r="M371" i="8"/>
  <c r="I371" i="8"/>
  <c r="H372" i="8"/>
  <c r="J372" i="8"/>
  <c r="K372" i="8"/>
  <c r="L372" i="8"/>
  <c r="M372" i="8"/>
  <c r="I372" i="8"/>
  <c r="H373" i="8"/>
  <c r="J373" i="8"/>
  <c r="K373" i="8"/>
  <c r="L373" i="8"/>
  <c r="M373" i="8"/>
  <c r="I373" i="8"/>
  <c r="H374" i="8"/>
  <c r="J374" i="8"/>
  <c r="K374" i="8"/>
  <c r="L374" i="8"/>
  <c r="M374" i="8"/>
  <c r="I374" i="8"/>
  <c r="H375" i="8"/>
  <c r="J375" i="8"/>
  <c r="K375" i="8"/>
  <c r="L375" i="8"/>
  <c r="M375" i="8"/>
  <c r="I375" i="8"/>
  <c r="H376" i="8"/>
  <c r="J376" i="8"/>
  <c r="K376" i="8"/>
  <c r="L376" i="8"/>
  <c r="M376" i="8"/>
  <c r="I376" i="8"/>
  <c r="H377" i="8"/>
  <c r="J377" i="8"/>
  <c r="K377" i="8"/>
  <c r="L377" i="8"/>
  <c r="M377" i="8"/>
  <c r="I377" i="8"/>
  <c r="H378" i="8"/>
  <c r="J378" i="8"/>
  <c r="K378" i="8"/>
  <c r="L378" i="8"/>
  <c r="M378" i="8"/>
  <c r="I378" i="8"/>
  <c r="H379" i="8"/>
  <c r="J379" i="8"/>
  <c r="K379" i="8"/>
  <c r="L379" i="8"/>
  <c r="M379" i="8"/>
  <c r="I379" i="8"/>
  <c r="H380" i="8"/>
  <c r="J380" i="8"/>
  <c r="K380" i="8"/>
  <c r="L380" i="8"/>
  <c r="M380" i="8"/>
  <c r="I380" i="8"/>
  <c r="H381" i="8"/>
  <c r="J381" i="8"/>
  <c r="K381" i="8"/>
  <c r="L381" i="8"/>
  <c r="M381" i="8"/>
  <c r="I381" i="8"/>
  <c r="H382" i="8"/>
  <c r="J382" i="8"/>
  <c r="K382" i="8"/>
  <c r="L382" i="8"/>
  <c r="M382" i="8"/>
  <c r="I382" i="8"/>
  <c r="H383" i="8"/>
  <c r="J383" i="8"/>
  <c r="K383" i="8"/>
  <c r="L383" i="8"/>
  <c r="M383" i="8"/>
  <c r="I383" i="8"/>
  <c r="H384" i="8"/>
  <c r="J384" i="8"/>
  <c r="K384" i="8"/>
  <c r="L384" i="8"/>
  <c r="M384" i="8"/>
  <c r="I384" i="8"/>
  <c r="H385" i="8"/>
  <c r="J385" i="8"/>
  <c r="K385" i="8"/>
  <c r="L385" i="8"/>
  <c r="M385" i="8"/>
  <c r="I385" i="8"/>
  <c r="H386" i="8"/>
  <c r="J386" i="8"/>
  <c r="K386" i="8"/>
  <c r="L386" i="8"/>
  <c r="M386" i="8"/>
  <c r="I386" i="8"/>
  <c r="H387" i="8"/>
  <c r="J387" i="8"/>
  <c r="K387" i="8"/>
  <c r="L387" i="8"/>
  <c r="M387" i="8"/>
  <c r="I387" i="8"/>
  <c r="H388" i="8"/>
  <c r="J388" i="8"/>
  <c r="K388" i="8"/>
  <c r="L388" i="8"/>
  <c r="M388" i="8"/>
  <c r="I388" i="8"/>
  <c r="H389" i="8"/>
  <c r="J389" i="8"/>
  <c r="K389" i="8"/>
  <c r="L389" i="8"/>
  <c r="M389" i="8"/>
  <c r="I389" i="8"/>
  <c r="H390" i="8"/>
  <c r="J390" i="8"/>
  <c r="K390" i="8"/>
  <c r="L390" i="8"/>
  <c r="M390" i="8"/>
  <c r="I390" i="8"/>
  <c r="H391" i="8"/>
  <c r="J391" i="8"/>
  <c r="K391" i="8"/>
  <c r="L391" i="8"/>
  <c r="M391" i="8"/>
  <c r="I391" i="8"/>
  <c r="H392" i="8"/>
  <c r="J392" i="8"/>
  <c r="K392" i="8"/>
  <c r="L392" i="8"/>
  <c r="M392" i="8"/>
  <c r="I392" i="8"/>
  <c r="H393" i="8"/>
  <c r="J393" i="8"/>
  <c r="K393" i="8"/>
  <c r="L393" i="8"/>
  <c r="M393" i="8"/>
  <c r="I393" i="8"/>
  <c r="H394" i="8"/>
  <c r="J394" i="8"/>
  <c r="K394" i="8"/>
  <c r="L394" i="8"/>
  <c r="M394" i="8"/>
  <c r="I394" i="8"/>
  <c r="H395" i="8"/>
  <c r="J395" i="8"/>
  <c r="K395" i="8"/>
  <c r="L395" i="8"/>
  <c r="M395" i="8"/>
  <c r="I395" i="8"/>
  <c r="H396" i="8"/>
  <c r="J396" i="8"/>
  <c r="K396" i="8"/>
  <c r="L396" i="8"/>
  <c r="M396" i="8"/>
  <c r="I396" i="8"/>
  <c r="H397" i="8"/>
  <c r="J397" i="8"/>
  <c r="K397" i="8"/>
  <c r="L397" i="8"/>
  <c r="M397" i="8"/>
  <c r="I397" i="8"/>
  <c r="H398" i="8"/>
  <c r="J398" i="8"/>
  <c r="K398" i="8"/>
  <c r="L398" i="8"/>
  <c r="M398" i="8"/>
  <c r="I398" i="8"/>
  <c r="H399" i="8"/>
  <c r="J399" i="8"/>
  <c r="K399" i="8"/>
  <c r="L399" i="8"/>
  <c r="M399" i="8"/>
  <c r="I399" i="8"/>
  <c r="H400" i="8"/>
  <c r="J400" i="8"/>
  <c r="K400" i="8"/>
  <c r="L400" i="8"/>
  <c r="M400" i="8"/>
  <c r="I400" i="8"/>
  <c r="H401" i="8"/>
  <c r="J401" i="8"/>
  <c r="K401" i="8"/>
  <c r="L401" i="8"/>
  <c r="M401" i="8"/>
  <c r="I401" i="8"/>
  <c r="H402" i="8"/>
  <c r="J402" i="8"/>
  <c r="K402" i="8"/>
  <c r="L402" i="8"/>
  <c r="M402" i="8"/>
  <c r="I402" i="8"/>
  <c r="H403" i="8"/>
  <c r="J403" i="8"/>
  <c r="K403" i="8"/>
  <c r="L403" i="8"/>
  <c r="M403" i="8"/>
  <c r="I403" i="8"/>
  <c r="H404" i="8"/>
  <c r="J404" i="8"/>
  <c r="K404" i="8"/>
  <c r="L404" i="8"/>
  <c r="M404" i="8"/>
  <c r="I404" i="8"/>
  <c r="H405" i="8"/>
  <c r="J405" i="8"/>
  <c r="K405" i="8"/>
  <c r="L405" i="8"/>
  <c r="M405" i="8"/>
  <c r="I405" i="8"/>
  <c r="H406" i="8"/>
  <c r="J406" i="8"/>
  <c r="K406" i="8"/>
  <c r="L406" i="8"/>
  <c r="M406" i="8"/>
  <c r="I406" i="8"/>
  <c r="H407" i="8"/>
  <c r="J407" i="8"/>
  <c r="K407" i="8"/>
  <c r="L407" i="8"/>
  <c r="M407" i="8"/>
  <c r="I407" i="8"/>
  <c r="H408" i="8"/>
  <c r="J408" i="8"/>
  <c r="K408" i="8"/>
  <c r="L408" i="8"/>
  <c r="M408" i="8"/>
  <c r="I408" i="8"/>
  <c r="H409" i="8"/>
  <c r="J409" i="8"/>
  <c r="K409" i="8"/>
  <c r="L409" i="8"/>
  <c r="M409" i="8"/>
  <c r="I409" i="8"/>
  <c r="H410" i="8"/>
  <c r="J410" i="8"/>
  <c r="K410" i="8"/>
  <c r="L410" i="8"/>
  <c r="M410" i="8"/>
  <c r="I410" i="8"/>
  <c r="H411" i="8"/>
  <c r="J411" i="8"/>
  <c r="K411" i="8"/>
  <c r="L411" i="8"/>
  <c r="M411" i="8"/>
  <c r="I411" i="8"/>
  <c r="H412" i="8"/>
  <c r="J412" i="8"/>
  <c r="K412" i="8"/>
  <c r="L412" i="8"/>
  <c r="M412" i="8"/>
  <c r="I412" i="8"/>
  <c r="H413" i="8"/>
  <c r="J413" i="8"/>
  <c r="K413" i="8"/>
  <c r="L413" i="8"/>
  <c r="M413" i="8"/>
  <c r="I413" i="8"/>
  <c r="H414" i="8"/>
  <c r="J414" i="8"/>
  <c r="K414" i="8"/>
  <c r="L414" i="8"/>
  <c r="M414" i="8"/>
  <c r="I414" i="8"/>
  <c r="H415" i="8"/>
  <c r="J415" i="8"/>
  <c r="K415" i="8"/>
  <c r="L415" i="8"/>
  <c r="M415" i="8"/>
  <c r="I415" i="8"/>
  <c r="H416" i="8"/>
  <c r="J416" i="8"/>
  <c r="K416" i="8"/>
  <c r="L416" i="8"/>
  <c r="M416" i="8"/>
  <c r="I416" i="8"/>
  <c r="H417" i="8"/>
  <c r="J417" i="8"/>
  <c r="K417" i="8"/>
  <c r="L417" i="8"/>
  <c r="M417" i="8"/>
  <c r="I417" i="8"/>
  <c r="H418" i="8"/>
  <c r="J418" i="8"/>
  <c r="K418" i="8"/>
  <c r="L418" i="8"/>
  <c r="M418" i="8"/>
  <c r="I418" i="8"/>
  <c r="H419" i="8"/>
  <c r="J419" i="8"/>
  <c r="K419" i="8"/>
  <c r="L419" i="8"/>
  <c r="M419" i="8"/>
  <c r="I419" i="8"/>
  <c r="H420" i="8"/>
  <c r="J420" i="8"/>
  <c r="K420" i="8"/>
  <c r="L420" i="8"/>
  <c r="M420" i="8"/>
  <c r="I420" i="8"/>
  <c r="H421" i="8"/>
  <c r="J421" i="8"/>
  <c r="K421" i="8"/>
  <c r="L421" i="8"/>
  <c r="M421" i="8"/>
  <c r="I421" i="8"/>
  <c r="H422" i="8"/>
  <c r="J422" i="8"/>
  <c r="K422" i="8"/>
  <c r="L422" i="8"/>
  <c r="M422" i="8"/>
  <c r="I422" i="8"/>
  <c r="H423" i="8"/>
  <c r="J423" i="8"/>
  <c r="K423" i="8"/>
  <c r="L423" i="8"/>
  <c r="M423" i="8"/>
  <c r="I423" i="8"/>
  <c r="H424" i="8"/>
  <c r="J424" i="8"/>
  <c r="K424" i="8"/>
  <c r="L424" i="8"/>
  <c r="M424" i="8"/>
  <c r="I424" i="8"/>
  <c r="H425" i="8"/>
  <c r="J425" i="8"/>
  <c r="K425" i="8"/>
  <c r="L425" i="8"/>
  <c r="M425" i="8"/>
  <c r="I425" i="8"/>
  <c r="H426" i="8"/>
  <c r="J426" i="8"/>
  <c r="K426" i="8"/>
  <c r="L426" i="8"/>
  <c r="M426" i="8"/>
  <c r="I426" i="8"/>
  <c r="H427" i="8"/>
  <c r="J427" i="8"/>
  <c r="K427" i="8"/>
  <c r="L427" i="8"/>
  <c r="M427" i="8"/>
  <c r="I427" i="8"/>
  <c r="H428" i="8"/>
  <c r="J428" i="8"/>
  <c r="K428" i="8"/>
  <c r="L428" i="8"/>
  <c r="M428" i="8"/>
  <c r="I428" i="8"/>
  <c r="H429" i="8"/>
  <c r="J429" i="8"/>
  <c r="K429" i="8"/>
  <c r="L429" i="8"/>
  <c r="M429" i="8"/>
  <c r="I429" i="8"/>
  <c r="H430" i="8"/>
  <c r="J430" i="8"/>
  <c r="K430" i="8"/>
  <c r="L430" i="8"/>
  <c r="M430" i="8"/>
  <c r="I430" i="8"/>
  <c r="H431" i="8"/>
  <c r="J431" i="8"/>
  <c r="K431" i="8"/>
  <c r="L431" i="8"/>
  <c r="M431" i="8"/>
  <c r="I431" i="8"/>
  <c r="H432" i="8"/>
  <c r="J432" i="8"/>
  <c r="K432" i="8"/>
  <c r="L432" i="8"/>
  <c r="M432" i="8"/>
  <c r="I432" i="8"/>
  <c r="H433" i="8"/>
  <c r="J433" i="8"/>
  <c r="K433" i="8"/>
  <c r="L433" i="8"/>
  <c r="M433" i="8"/>
  <c r="I433" i="8"/>
  <c r="H434" i="8"/>
  <c r="J434" i="8"/>
  <c r="K434" i="8"/>
  <c r="L434" i="8"/>
  <c r="M434" i="8"/>
  <c r="I434" i="8"/>
  <c r="H435" i="8"/>
  <c r="J435" i="8"/>
  <c r="K435" i="8"/>
  <c r="L435" i="8"/>
  <c r="M435" i="8"/>
  <c r="I435" i="8"/>
  <c r="H436" i="8"/>
  <c r="J436" i="8"/>
  <c r="K436" i="8"/>
  <c r="L436" i="8"/>
  <c r="M436" i="8"/>
  <c r="I436" i="8"/>
  <c r="H437" i="8"/>
  <c r="J437" i="8"/>
  <c r="K437" i="8"/>
  <c r="L437" i="8"/>
  <c r="M437" i="8"/>
  <c r="I437" i="8"/>
  <c r="H438" i="8"/>
  <c r="J438" i="8"/>
  <c r="K438" i="8"/>
  <c r="L438" i="8"/>
  <c r="M438" i="8"/>
  <c r="I438" i="8"/>
  <c r="H439" i="8"/>
  <c r="J439" i="8"/>
  <c r="K439" i="8"/>
  <c r="L439" i="8"/>
  <c r="M439" i="8"/>
  <c r="I439" i="8"/>
  <c r="H440" i="8"/>
  <c r="J440" i="8"/>
  <c r="K440" i="8"/>
  <c r="L440" i="8"/>
  <c r="M440" i="8"/>
  <c r="I440" i="8"/>
  <c r="H441" i="8"/>
  <c r="J441" i="8"/>
  <c r="K441" i="8"/>
  <c r="L441" i="8"/>
  <c r="M441" i="8"/>
  <c r="I441" i="8"/>
  <c r="H442" i="8"/>
  <c r="J442" i="8"/>
  <c r="K442" i="8"/>
  <c r="L442" i="8"/>
  <c r="M442" i="8"/>
  <c r="I442" i="8"/>
  <c r="H443" i="8"/>
  <c r="J443" i="8"/>
  <c r="K443" i="8"/>
  <c r="L443" i="8"/>
  <c r="M443" i="8"/>
  <c r="I443" i="8"/>
  <c r="H444" i="8"/>
  <c r="J444" i="8"/>
  <c r="K444" i="8"/>
  <c r="L444" i="8"/>
  <c r="M444" i="8"/>
  <c r="I444" i="8"/>
  <c r="H445" i="8"/>
  <c r="J445" i="8"/>
  <c r="K445" i="8"/>
  <c r="L445" i="8"/>
  <c r="M445" i="8"/>
  <c r="I445" i="8"/>
  <c r="H446" i="8"/>
  <c r="J446" i="8"/>
  <c r="K446" i="8"/>
  <c r="L446" i="8"/>
  <c r="M446" i="8"/>
  <c r="I446" i="8"/>
  <c r="H447" i="8"/>
  <c r="J447" i="8"/>
  <c r="K447" i="8"/>
  <c r="L447" i="8"/>
  <c r="M447" i="8"/>
  <c r="I447" i="8"/>
  <c r="H448" i="8"/>
  <c r="J448" i="8"/>
  <c r="K448" i="8"/>
  <c r="L448" i="8"/>
  <c r="M448" i="8"/>
  <c r="I448" i="8"/>
  <c r="H449" i="8"/>
  <c r="J449" i="8"/>
  <c r="K449" i="8"/>
  <c r="L449" i="8"/>
  <c r="M449" i="8"/>
  <c r="I449" i="8"/>
  <c r="H450" i="8"/>
  <c r="J450" i="8"/>
  <c r="K450" i="8"/>
  <c r="L450" i="8"/>
  <c r="M450" i="8"/>
  <c r="I450" i="8"/>
  <c r="H451" i="8"/>
  <c r="J451" i="8"/>
  <c r="K451" i="8"/>
  <c r="L451" i="8"/>
  <c r="M451" i="8"/>
  <c r="I451" i="8"/>
  <c r="H452" i="8"/>
  <c r="J452" i="8"/>
  <c r="K452" i="8"/>
  <c r="L452" i="8"/>
  <c r="M452" i="8"/>
  <c r="I452" i="8"/>
  <c r="H453" i="8"/>
  <c r="J453" i="8"/>
  <c r="K453" i="8"/>
  <c r="L453" i="8"/>
  <c r="M453" i="8"/>
  <c r="I453" i="8"/>
  <c r="H454" i="8"/>
  <c r="J454" i="8"/>
  <c r="K454" i="8"/>
  <c r="L454" i="8"/>
  <c r="M454" i="8"/>
  <c r="I454" i="8"/>
  <c r="H455" i="8"/>
  <c r="J455" i="8"/>
  <c r="K455" i="8"/>
  <c r="L455" i="8"/>
  <c r="M455" i="8"/>
  <c r="I455" i="8"/>
  <c r="H456" i="8"/>
  <c r="J456" i="8"/>
  <c r="K456" i="8"/>
  <c r="L456" i="8"/>
  <c r="M456" i="8"/>
  <c r="I456" i="8"/>
  <c r="H457" i="8"/>
  <c r="J457" i="8"/>
  <c r="K457" i="8"/>
  <c r="L457" i="8"/>
  <c r="M457" i="8"/>
  <c r="I457" i="8"/>
  <c r="H458" i="8"/>
  <c r="J458" i="8"/>
  <c r="K458" i="8"/>
  <c r="L458" i="8"/>
  <c r="M458" i="8"/>
  <c r="I458" i="8"/>
  <c r="H459" i="8"/>
  <c r="J459" i="8"/>
  <c r="K459" i="8"/>
  <c r="L459" i="8"/>
  <c r="M459" i="8"/>
  <c r="I459" i="8"/>
  <c r="H460" i="8"/>
  <c r="J460" i="8"/>
  <c r="K460" i="8"/>
  <c r="L460" i="8"/>
  <c r="M460" i="8"/>
  <c r="I460" i="8"/>
  <c r="H461" i="8"/>
  <c r="J461" i="8"/>
  <c r="K461" i="8"/>
  <c r="L461" i="8"/>
  <c r="M461" i="8"/>
  <c r="I461" i="8"/>
  <c r="H462" i="8"/>
  <c r="J462" i="8"/>
  <c r="K462" i="8"/>
  <c r="L462" i="8"/>
  <c r="M462" i="8"/>
  <c r="I462" i="8"/>
  <c r="H463" i="8"/>
  <c r="J463" i="8"/>
  <c r="K463" i="8"/>
  <c r="L463" i="8"/>
  <c r="M463" i="8"/>
  <c r="I463" i="8"/>
  <c r="H464" i="8"/>
  <c r="J464" i="8"/>
  <c r="K464" i="8"/>
  <c r="L464" i="8"/>
  <c r="M464" i="8"/>
  <c r="I464" i="8"/>
  <c r="H465" i="8"/>
  <c r="J465" i="8"/>
  <c r="K465" i="8"/>
  <c r="L465" i="8"/>
  <c r="M465" i="8"/>
  <c r="I465" i="8"/>
  <c r="H466" i="8"/>
  <c r="J466" i="8"/>
  <c r="K466" i="8"/>
  <c r="L466" i="8"/>
  <c r="M466" i="8"/>
  <c r="I466" i="8"/>
  <c r="H467" i="8"/>
  <c r="J467" i="8"/>
  <c r="K467" i="8"/>
  <c r="L467" i="8"/>
  <c r="M467" i="8"/>
  <c r="I467" i="8"/>
  <c r="H468" i="8"/>
  <c r="J468" i="8"/>
  <c r="K468" i="8"/>
  <c r="L468" i="8"/>
  <c r="M468" i="8"/>
  <c r="I468" i="8"/>
  <c r="H469" i="8"/>
  <c r="J469" i="8"/>
  <c r="K469" i="8"/>
  <c r="L469" i="8"/>
  <c r="M469" i="8"/>
  <c r="I469" i="8"/>
  <c r="H470" i="8"/>
  <c r="J470" i="8"/>
  <c r="K470" i="8"/>
  <c r="L470" i="8"/>
  <c r="M470" i="8"/>
  <c r="I470" i="8"/>
  <c r="H471" i="8"/>
  <c r="J471" i="8"/>
  <c r="K471" i="8"/>
  <c r="L471" i="8"/>
  <c r="M471" i="8"/>
  <c r="I471" i="8"/>
  <c r="H472" i="8"/>
  <c r="J472" i="8"/>
  <c r="K472" i="8"/>
  <c r="L472" i="8"/>
  <c r="M472" i="8"/>
  <c r="I472" i="8"/>
  <c r="H473" i="8"/>
  <c r="J473" i="8"/>
  <c r="K473" i="8"/>
  <c r="L473" i="8"/>
  <c r="M473" i="8"/>
  <c r="I473" i="8"/>
  <c r="H474" i="8"/>
  <c r="J474" i="8"/>
  <c r="K474" i="8"/>
  <c r="L474" i="8"/>
  <c r="M474" i="8"/>
  <c r="I474" i="8"/>
  <c r="H475" i="8"/>
  <c r="J475" i="8"/>
  <c r="K475" i="8"/>
  <c r="L475" i="8"/>
  <c r="M475" i="8"/>
  <c r="I475" i="8"/>
  <c r="H476" i="8"/>
  <c r="J476" i="8"/>
  <c r="K476" i="8"/>
  <c r="L476" i="8"/>
  <c r="M476" i="8"/>
  <c r="I476" i="8"/>
  <c r="H477" i="8"/>
  <c r="J477" i="8"/>
  <c r="K477" i="8"/>
  <c r="L477" i="8"/>
  <c r="M477" i="8"/>
  <c r="I477" i="8"/>
  <c r="H478" i="8"/>
  <c r="J478" i="8"/>
  <c r="K478" i="8"/>
  <c r="L478" i="8"/>
  <c r="M478" i="8"/>
  <c r="I478" i="8"/>
  <c r="H479" i="8"/>
  <c r="J479" i="8"/>
  <c r="K479" i="8"/>
  <c r="L479" i="8"/>
  <c r="M479" i="8"/>
  <c r="I479" i="8"/>
  <c r="H480" i="8"/>
  <c r="J480" i="8"/>
  <c r="K480" i="8"/>
  <c r="L480" i="8"/>
  <c r="M480" i="8"/>
  <c r="I480" i="8"/>
  <c r="H481" i="8"/>
  <c r="J481" i="8"/>
  <c r="K481" i="8"/>
  <c r="L481" i="8"/>
  <c r="M481" i="8"/>
  <c r="I481" i="8"/>
  <c r="H482" i="8"/>
  <c r="J482" i="8"/>
  <c r="K482" i="8"/>
  <c r="L482" i="8"/>
  <c r="M482" i="8"/>
  <c r="I482" i="8"/>
  <c r="H483" i="8"/>
  <c r="J483" i="8"/>
  <c r="K483" i="8"/>
  <c r="L483" i="8"/>
  <c r="M483" i="8"/>
  <c r="I483" i="8"/>
  <c r="H484" i="8"/>
  <c r="J484" i="8"/>
  <c r="K484" i="8"/>
  <c r="L484" i="8"/>
  <c r="M484" i="8"/>
  <c r="I484" i="8"/>
  <c r="H485" i="8"/>
  <c r="J485" i="8"/>
  <c r="K485" i="8"/>
  <c r="L485" i="8"/>
  <c r="M485" i="8"/>
  <c r="I485" i="8"/>
  <c r="H486" i="8"/>
  <c r="J486" i="8"/>
  <c r="K486" i="8"/>
  <c r="L486" i="8"/>
  <c r="M486" i="8"/>
  <c r="I486" i="8"/>
  <c r="H487" i="8"/>
  <c r="J487" i="8"/>
  <c r="K487" i="8"/>
  <c r="L487" i="8"/>
  <c r="M487" i="8"/>
  <c r="I487" i="8"/>
  <c r="H488" i="8"/>
  <c r="J488" i="8"/>
  <c r="K488" i="8"/>
  <c r="L488" i="8"/>
  <c r="M488" i="8"/>
  <c r="I488" i="8"/>
  <c r="H489" i="8"/>
  <c r="J489" i="8"/>
  <c r="K489" i="8"/>
  <c r="L489" i="8"/>
  <c r="M489" i="8"/>
  <c r="I489" i="8"/>
  <c r="H490" i="8"/>
  <c r="J490" i="8"/>
  <c r="K490" i="8"/>
  <c r="L490" i="8"/>
  <c r="M490" i="8"/>
  <c r="I490" i="8"/>
  <c r="H491" i="8"/>
  <c r="J491" i="8"/>
  <c r="K491" i="8"/>
  <c r="L491" i="8"/>
  <c r="M491" i="8"/>
  <c r="I491" i="8"/>
  <c r="H492" i="8"/>
  <c r="J492" i="8"/>
  <c r="K492" i="8"/>
  <c r="L492" i="8"/>
  <c r="M492" i="8"/>
  <c r="I492" i="8"/>
  <c r="H493" i="8"/>
  <c r="J493" i="8"/>
  <c r="K493" i="8"/>
  <c r="L493" i="8"/>
  <c r="M493" i="8"/>
  <c r="I493" i="8"/>
  <c r="H494" i="8"/>
  <c r="J494" i="8"/>
  <c r="K494" i="8"/>
  <c r="L494" i="8"/>
  <c r="M494" i="8"/>
  <c r="I494" i="8"/>
  <c r="H495" i="8"/>
  <c r="J495" i="8"/>
  <c r="K495" i="8"/>
  <c r="L495" i="8"/>
  <c r="M495" i="8"/>
  <c r="I495" i="8"/>
  <c r="H496" i="8"/>
  <c r="J496" i="8"/>
  <c r="K496" i="8"/>
  <c r="L496" i="8"/>
  <c r="M496" i="8"/>
  <c r="I496" i="8"/>
  <c r="H497" i="8"/>
  <c r="J497" i="8"/>
  <c r="K497" i="8"/>
  <c r="L497" i="8"/>
  <c r="M497" i="8"/>
  <c r="H498" i="8"/>
  <c r="I497" i="8"/>
  <c r="J498" i="8"/>
  <c r="K498" i="8"/>
  <c r="L498" i="8"/>
  <c r="M498" i="8"/>
  <c r="I498" i="8"/>
  <c r="H499" i="8"/>
  <c r="J499" i="8"/>
  <c r="K499" i="8"/>
  <c r="L499" i="8"/>
  <c r="M499" i="8"/>
  <c r="H500" i="8"/>
  <c r="I499" i="8"/>
  <c r="J500" i="8"/>
  <c r="K500" i="8"/>
  <c r="L500" i="8"/>
  <c r="M500" i="8"/>
  <c r="I500" i="8"/>
  <c r="H501" i="8"/>
  <c r="J501" i="8"/>
  <c r="K501" i="8"/>
  <c r="L501" i="8"/>
  <c r="M501" i="8"/>
  <c r="H502" i="8"/>
  <c r="I501" i="8"/>
  <c r="J502" i="8"/>
  <c r="K502" i="8"/>
  <c r="L502" i="8"/>
  <c r="M502" i="8"/>
  <c r="I502" i="8"/>
  <c r="H503" i="8"/>
  <c r="J503" i="8"/>
  <c r="K503" i="8"/>
  <c r="L503" i="8"/>
  <c r="M503" i="8"/>
  <c r="I503" i="8"/>
  <c r="H504" i="8"/>
  <c r="J504" i="8"/>
  <c r="K504" i="8"/>
  <c r="L504" i="8"/>
  <c r="M504" i="8"/>
  <c r="I504" i="8"/>
  <c r="H505" i="8"/>
  <c r="J505" i="8"/>
  <c r="K505" i="8"/>
  <c r="L505" i="8"/>
  <c r="M505" i="8"/>
  <c r="I505" i="8"/>
  <c r="H506" i="8"/>
  <c r="J506" i="8"/>
  <c r="K506" i="8"/>
  <c r="L506" i="8"/>
  <c r="M506" i="8"/>
  <c r="I506" i="8"/>
  <c r="H507" i="8"/>
  <c r="J507" i="8"/>
  <c r="K507" i="8"/>
  <c r="L507" i="8"/>
  <c r="M507" i="8"/>
  <c r="I507" i="8"/>
  <c r="H508" i="8"/>
  <c r="J508" i="8"/>
  <c r="K508" i="8"/>
  <c r="L508" i="8"/>
  <c r="M508" i="8"/>
  <c r="H509" i="8"/>
  <c r="I508" i="8"/>
  <c r="J509" i="8"/>
  <c r="K509" i="8"/>
  <c r="L509" i="8"/>
  <c r="M509" i="8"/>
  <c r="I509" i="8"/>
  <c r="H510" i="8"/>
  <c r="J510" i="8"/>
  <c r="K510" i="8"/>
  <c r="L510" i="8"/>
  <c r="M510" i="8"/>
  <c r="I510" i="8"/>
  <c r="H511" i="8"/>
  <c r="J511" i="8"/>
  <c r="K511" i="8"/>
  <c r="L511" i="8"/>
  <c r="M511" i="8"/>
  <c r="I511" i="8"/>
  <c r="H512" i="8"/>
  <c r="J512" i="8"/>
  <c r="K512" i="8"/>
  <c r="L512" i="8"/>
  <c r="M512" i="8"/>
  <c r="I512" i="8"/>
  <c r="H513" i="8"/>
  <c r="J513" i="8"/>
  <c r="K513" i="8"/>
  <c r="L513" i="8"/>
  <c r="M513" i="8"/>
  <c r="I513" i="8"/>
  <c r="H514" i="8"/>
  <c r="J514" i="8"/>
  <c r="K514" i="8"/>
  <c r="L514" i="8"/>
  <c r="M514" i="8"/>
  <c r="I514" i="8"/>
  <c r="H515" i="8"/>
  <c r="J515" i="8"/>
  <c r="K515" i="8"/>
  <c r="L515" i="8"/>
  <c r="M515" i="8"/>
  <c r="H516" i="8"/>
  <c r="I515" i="8"/>
  <c r="J516" i="8"/>
  <c r="K516" i="8"/>
  <c r="L516" i="8"/>
  <c r="M516" i="8"/>
  <c r="I516" i="8"/>
  <c r="H517" i="8"/>
  <c r="J517" i="8"/>
  <c r="K517" i="8"/>
  <c r="L517" i="8"/>
  <c r="M517" i="8"/>
  <c r="I517" i="8"/>
  <c r="H518" i="8"/>
  <c r="J518" i="8"/>
  <c r="K518" i="8"/>
  <c r="L518" i="8"/>
  <c r="M518" i="8"/>
  <c r="I518" i="8"/>
  <c r="H519" i="8"/>
  <c r="J519" i="8"/>
  <c r="K519" i="8"/>
  <c r="L519" i="8"/>
  <c r="M519" i="8"/>
  <c r="I519" i="8"/>
  <c r="H520" i="8"/>
  <c r="J520" i="8"/>
  <c r="K520" i="8"/>
  <c r="L520" i="8"/>
  <c r="M520" i="8"/>
  <c r="I520" i="8"/>
  <c r="H521" i="8"/>
  <c r="J521" i="8"/>
  <c r="K521" i="8"/>
  <c r="L521" i="8"/>
  <c r="M521" i="8"/>
  <c r="I521" i="8"/>
  <c r="H522" i="8"/>
  <c r="J522" i="8"/>
  <c r="K522" i="8"/>
  <c r="L522" i="8"/>
  <c r="M522" i="8"/>
  <c r="I522" i="8"/>
  <c r="H523" i="8"/>
  <c r="J523" i="8"/>
  <c r="K523" i="8"/>
  <c r="L523" i="8"/>
  <c r="M523" i="8"/>
  <c r="I523" i="8"/>
  <c r="H524" i="8"/>
  <c r="J524" i="8"/>
  <c r="K524" i="8"/>
  <c r="L524" i="8"/>
  <c r="M524" i="8"/>
  <c r="I524" i="8"/>
  <c r="H525" i="8"/>
  <c r="J525" i="8"/>
  <c r="K525" i="8"/>
  <c r="L525" i="8"/>
  <c r="M525" i="8"/>
  <c r="I525" i="8"/>
  <c r="H526" i="8"/>
  <c r="J526" i="8"/>
  <c r="K526" i="8"/>
  <c r="L526" i="8"/>
  <c r="M526" i="8"/>
  <c r="I526" i="8"/>
  <c r="H527" i="8"/>
  <c r="J527" i="8"/>
  <c r="K527" i="8"/>
  <c r="L527" i="8"/>
  <c r="M527" i="8"/>
  <c r="I527" i="8"/>
  <c r="H528" i="8"/>
  <c r="J528" i="8"/>
  <c r="K528" i="8"/>
  <c r="L528" i="8"/>
  <c r="M528" i="8"/>
  <c r="I528" i="8"/>
  <c r="H529" i="8"/>
  <c r="J529" i="8"/>
  <c r="K529" i="8"/>
  <c r="L529" i="8"/>
  <c r="M529" i="8"/>
  <c r="I529" i="8"/>
  <c r="H530" i="8"/>
  <c r="J530" i="8"/>
  <c r="K530" i="8"/>
  <c r="L530" i="8"/>
  <c r="M530" i="8"/>
  <c r="I530" i="8"/>
  <c r="H531" i="8"/>
  <c r="J531" i="8"/>
  <c r="K531" i="8"/>
  <c r="L531" i="8"/>
  <c r="M531" i="8"/>
  <c r="I531" i="8"/>
  <c r="H532" i="8"/>
  <c r="J532" i="8"/>
  <c r="K532" i="8"/>
  <c r="L532" i="8"/>
  <c r="M532" i="8"/>
  <c r="I532" i="8"/>
  <c r="H533" i="8"/>
  <c r="J533" i="8"/>
  <c r="K533" i="8"/>
  <c r="L533" i="8"/>
  <c r="M533" i="8"/>
  <c r="I533" i="8"/>
  <c r="H534" i="8"/>
  <c r="J534" i="8"/>
  <c r="K534" i="8"/>
  <c r="L534" i="8"/>
  <c r="M534" i="8"/>
  <c r="I534" i="8"/>
  <c r="H535" i="8"/>
  <c r="J535" i="8"/>
  <c r="K535" i="8"/>
  <c r="L535" i="8"/>
  <c r="M535" i="8"/>
  <c r="I535" i="8"/>
  <c r="H536" i="8"/>
  <c r="J536" i="8"/>
  <c r="K536" i="8"/>
  <c r="L536" i="8"/>
  <c r="M536" i="8"/>
  <c r="I536" i="8"/>
  <c r="H537" i="8"/>
  <c r="J537" i="8"/>
  <c r="K537" i="8"/>
  <c r="L537" i="8"/>
  <c r="M537" i="8"/>
  <c r="I537" i="8"/>
  <c r="H538" i="8"/>
  <c r="J538" i="8"/>
  <c r="K538" i="8"/>
  <c r="L538" i="8"/>
  <c r="M538" i="8"/>
  <c r="I538" i="8"/>
  <c r="H539" i="8"/>
  <c r="J539" i="8"/>
  <c r="K539" i="8"/>
  <c r="L539" i="8"/>
  <c r="M539" i="8"/>
  <c r="I539" i="8"/>
  <c r="H540" i="8"/>
  <c r="J540" i="8"/>
  <c r="K540" i="8"/>
  <c r="L540" i="8"/>
  <c r="M540" i="8"/>
  <c r="I540" i="8"/>
  <c r="H541" i="8"/>
  <c r="J541" i="8"/>
  <c r="K541" i="8"/>
  <c r="L541" i="8"/>
  <c r="M541" i="8"/>
  <c r="I541" i="8"/>
  <c r="H542" i="8"/>
  <c r="J542" i="8"/>
  <c r="K542" i="8"/>
  <c r="L542" i="8"/>
  <c r="M542" i="8"/>
  <c r="I542" i="8"/>
  <c r="H543" i="8"/>
  <c r="J543" i="8"/>
  <c r="K543" i="8"/>
  <c r="L543" i="8"/>
  <c r="M543" i="8"/>
  <c r="I543" i="8"/>
  <c r="H544" i="8"/>
  <c r="J544" i="8"/>
  <c r="K544" i="8"/>
  <c r="L544" i="8"/>
  <c r="M544" i="8"/>
  <c r="I544" i="8"/>
  <c r="H545" i="8"/>
  <c r="J545" i="8"/>
  <c r="K545" i="8"/>
  <c r="L545" i="8"/>
  <c r="M545" i="8"/>
  <c r="I545" i="8"/>
  <c r="H546" i="8"/>
  <c r="J546" i="8"/>
  <c r="K546" i="8"/>
  <c r="L546" i="8"/>
  <c r="M546" i="8"/>
  <c r="I546" i="8"/>
  <c r="H547" i="8"/>
  <c r="J547" i="8"/>
  <c r="K547" i="8"/>
  <c r="L547" i="8"/>
  <c r="M547" i="8"/>
  <c r="I547" i="8"/>
  <c r="H548" i="8"/>
  <c r="J548" i="8"/>
  <c r="K548" i="8"/>
  <c r="L548" i="8"/>
  <c r="M548" i="8"/>
  <c r="I548" i="8"/>
  <c r="H549" i="8"/>
  <c r="J549" i="8"/>
  <c r="K549" i="8"/>
  <c r="L549" i="8"/>
  <c r="M549" i="8"/>
  <c r="I549" i="8"/>
  <c r="H550" i="8"/>
  <c r="J550" i="8"/>
  <c r="K550" i="8"/>
  <c r="L550" i="8"/>
  <c r="M550" i="8"/>
  <c r="I550" i="8"/>
  <c r="H551" i="8"/>
  <c r="J551" i="8"/>
  <c r="K551" i="8"/>
  <c r="L551" i="8"/>
  <c r="M551" i="8"/>
  <c r="I551" i="8"/>
  <c r="H552" i="8"/>
  <c r="J552" i="8"/>
  <c r="K552" i="8"/>
  <c r="L552" i="8"/>
  <c r="M552" i="8"/>
  <c r="I552" i="8"/>
  <c r="H553" i="8"/>
  <c r="J553" i="8"/>
  <c r="K553" i="8"/>
  <c r="L553" i="8"/>
  <c r="M553" i="8"/>
  <c r="I553" i="8"/>
  <c r="H554" i="8"/>
  <c r="J554" i="8"/>
  <c r="K554" i="8"/>
  <c r="L554" i="8"/>
  <c r="M554" i="8"/>
  <c r="I554" i="8"/>
  <c r="H555" i="8"/>
  <c r="J555" i="8"/>
  <c r="K555" i="8"/>
  <c r="L555" i="8"/>
  <c r="M555" i="8"/>
  <c r="I555" i="8"/>
  <c r="H556" i="8"/>
  <c r="J556" i="8"/>
  <c r="K556" i="8"/>
  <c r="L556" i="8"/>
  <c r="M556" i="8"/>
  <c r="I556" i="8"/>
  <c r="H557" i="8"/>
  <c r="J557" i="8"/>
  <c r="K557" i="8"/>
  <c r="L557" i="8"/>
  <c r="M557" i="8"/>
  <c r="I557" i="8"/>
  <c r="H558" i="8"/>
  <c r="J558" i="8"/>
  <c r="K558" i="8"/>
  <c r="L558" i="8"/>
  <c r="M558" i="8"/>
  <c r="I558" i="8"/>
  <c r="H559" i="8"/>
  <c r="J559" i="8"/>
  <c r="K559" i="8"/>
  <c r="L559" i="8"/>
  <c r="M559" i="8"/>
  <c r="I559" i="8"/>
  <c r="H560" i="8"/>
  <c r="J560" i="8"/>
  <c r="K560" i="8"/>
  <c r="L560" i="8"/>
  <c r="M560" i="8"/>
  <c r="I560" i="8"/>
  <c r="H561" i="8"/>
  <c r="J561" i="8"/>
  <c r="K561" i="8"/>
  <c r="L561" i="8"/>
  <c r="M561" i="8"/>
  <c r="I561" i="8"/>
  <c r="H562" i="8"/>
  <c r="J562" i="8"/>
  <c r="K562" i="8"/>
  <c r="L562" i="8"/>
  <c r="M562" i="8"/>
  <c r="I562" i="8"/>
  <c r="H563" i="8"/>
  <c r="J563" i="8"/>
  <c r="K563" i="8"/>
  <c r="L563" i="8"/>
  <c r="M563" i="8"/>
  <c r="I563" i="8"/>
  <c r="H564" i="8"/>
  <c r="J564" i="8"/>
  <c r="K564" i="8"/>
  <c r="L564" i="8"/>
  <c r="M564" i="8"/>
  <c r="I564" i="8"/>
  <c r="H565" i="8"/>
  <c r="J565" i="8"/>
  <c r="K565" i="8"/>
  <c r="L565" i="8"/>
  <c r="M565" i="8"/>
  <c r="I565" i="8"/>
  <c r="H566" i="8"/>
  <c r="J566" i="8"/>
  <c r="K566" i="8"/>
  <c r="L566" i="8"/>
  <c r="M566" i="8"/>
  <c r="I566" i="8"/>
  <c r="H567" i="8"/>
  <c r="J567" i="8"/>
  <c r="K567" i="8"/>
  <c r="L567" i="8"/>
  <c r="M567" i="8"/>
  <c r="I567" i="8"/>
  <c r="H568" i="8"/>
  <c r="J568" i="8"/>
  <c r="K568" i="8"/>
  <c r="L568" i="8"/>
  <c r="M568" i="8"/>
  <c r="I568" i="8"/>
  <c r="H569" i="8"/>
  <c r="J569" i="8"/>
  <c r="K569" i="8"/>
  <c r="L569" i="8"/>
  <c r="M569" i="8"/>
  <c r="I569" i="8"/>
  <c r="H570" i="8"/>
  <c r="J570" i="8"/>
  <c r="K570" i="8"/>
  <c r="L570" i="8"/>
  <c r="M570" i="8"/>
  <c r="I570" i="8"/>
  <c r="H571" i="8"/>
  <c r="J571" i="8"/>
  <c r="K571" i="8"/>
  <c r="L571" i="8"/>
  <c r="M571" i="8"/>
  <c r="I571" i="8"/>
  <c r="H572" i="8"/>
  <c r="J572" i="8"/>
  <c r="K572" i="8"/>
  <c r="L572" i="8"/>
  <c r="M572" i="8"/>
  <c r="I572" i="8"/>
  <c r="H573" i="8"/>
  <c r="J573" i="8"/>
  <c r="K573" i="8"/>
  <c r="L573" i="8"/>
  <c r="M573" i="8"/>
  <c r="I573" i="8"/>
  <c r="H574" i="8"/>
  <c r="J574" i="8"/>
  <c r="K574" i="8"/>
  <c r="L574" i="8"/>
  <c r="M574" i="8"/>
  <c r="I574" i="8"/>
  <c r="H575" i="8"/>
  <c r="J575" i="8"/>
  <c r="K575" i="8"/>
  <c r="L575" i="8"/>
  <c r="M575" i="8"/>
  <c r="I575" i="8"/>
  <c r="H576" i="8"/>
  <c r="J576" i="8"/>
  <c r="K576" i="8"/>
  <c r="L576" i="8"/>
  <c r="M576" i="8"/>
  <c r="I576" i="8"/>
  <c r="H577" i="8"/>
  <c r="J577" i="8"/>
  <c r="K577" i="8"/>
  <c r="L577" i="8"/>
  <c r="M577" i="8"/>
  <c r="I577" i="8"/>
  <c r="H578" i="8"/>
  <c r="J578" i="8"/>
  <c r="K578" i="8"/>
  <c r="L578" i="8"/>
  <c r="M578" i="8"/>
  <c r="I578" i="8"/>
  <c r="H579" i="8"/>
  <c r="J579" i="8"/>
  <c r="K579" i="8"/>
  <c r="L579" i="8"/>
  <c r="M579" i="8"/>
  <c r="I579" i="8"/>
  <c r="H580" i="8"/>
  <c r="J580" i="8"/>
  <c r="K580" i="8"/>
  <c r="L580" i="8"/>
  <c r="M580" i="8"/>
  <c r="I580" i="8"/>
  <c r="H581" i="8"/>
  <c r="J581" i="8"/>
  <c r="K581" i="8"/>
  <c r="L581" i="8"/>
  <c r="M581" i="8"/>
  <c r="I581" i="8"/>
  <c r="H582" i="8"/>
  <c r="J582" i="8"/>
  <c r="K582" i="8"/>
  <c r="L582" i="8"/>
  <c r="M582" i="8"/>
  <c r="I582" i="8"/>
  <c r="H583" i="8"/>
  <c r="J583" i="8"/>
  <c r="K583" i="8"/>
  <c r="L583" i="8"/>
  <c r="M583" i="8"/>
  <c r="I583" i="8"/>
  <c r="H584" i="8"/>
  <c r="J584" i="8"/>
  <c r="K584" i="8"/>
  <c r="L584" i="8"/>
  <c r="M584" i="8"/>
  <c r="I584" i="8"/>
  <c r="H585" i="8"/>
  <c r="J585" i="8"/>
  <c r="K585" i="8"/>
  <c r="L585" i="8"/>
  <c r="M585" i="8"/>
  <c r="I585" i="8"/>
  <c r="H586" i="8"/>
  <c r="J586" i="8"/>
  <c r="K586" i="8"/>
  <c r="L586" i="8"/>
  <c r="M586" i="8"/>
  <c r="I586" i="8"/>
  <c r="H587" i="8"/>
  <c r="J587" i="8"/>
  <c r="K587" i="8"/>
  <c r="L587" i="8"/>
  <c r="M587" i="8"/>
  <c r="I587" i="8"/>
  <c r="H588" i="8"/>
  <c r="J588" i="8"/>
  <c r="K588" i="8"/>
  <c r="L588" i="8"/>
  <c r="M588" i="8"/>
  <c r="I588" i="8"/>
  <c r="H589" i="8"/>
  <c r="J589" i="8"/>
  <c r="K589" i="8"/>
  <c r="L589" i="8"/>
  <c r="M589" i="8"/>
  <c r="I589" i="8"/>
  <c r="H590" i="8"/>
  <c r="J590" i="8"/>
  <c r="K590" i="8"/>
  <c r="L590" i="8"/>
  <c r="M590" i="8"/>
  <c r="I590" i="8"/>
  <c r="H591" i="8"/>
  <c r="J591" i="8"/>
  <c r="K591" i="8"/>
  <c r="L591" i="8"/>
  <c r="M591" i="8"/>
  <c r="I591" i="8"/>
  <c r="H592" i="8"/>
  <c r="J592" i="8"/>
  <c r="K592" i="8"/>
  <c r="L592" i="8"/>
  <c r="M592" i="8"/>
  <c r="I592" i="8"/>
  <c r="H593" i="8"/>
  <c r="J593" i="8"/>
  <c r="K593" i="8"/>
  <c r="L593" i="8"/>
  <c r="M593" i="8"/>
  <c r="I593" i="8"/>
  <c r="H594" i="8"/>
  <c r="J594" i="8"/>
  <c r="K594" i="8"/>
  <c r="L594" i="8"/>
  <c r="M594" i="8"/>
  <c r="I594" i="8"/>
  <c r="H595" i="8"/>
  <c r="J595" i="8"/>
  <c r="K595" i="8"/>
  <c r="L595" i="8"/>
  <c r="M595" i="8"/>
  <c r="I595" i="8"/>
  <c r="H596" i="8"/>
  <c r="J596" i="8"/>
  <c r="K596" i="8"/>
  <c r="L596" i="8"/>
  <c r="M596" i="8"/>
  <c r="I596" i="8"/>
  <c r="H597" i="8"/>
  <c r="J597" i="8"/>
  <c r="K597" i="8"/>
  <c r="L597" i="8"/>
  <c r="M597" i="8"/>
  <c r="I597" i="8"/>
  <c r="H598" i="8"/>
  <c r="J598" i="8"/>
  <c r="K598" i="8"/>
  <c r="L598" i="8"/>
  <c r="M598" i="8"/>
  <c r="I598" i="8"/>
  <c r="H599" i="8"/>
  <c r="J599" i="8"/>
  <c r="K599" i="8"/>
  <c r="L599" i="8"/>
  <c r="M599" i="8"/>
  <c r="I599" i="8"/>
  <c r="H600" i="8"/>
  <c r="J600" i="8"/>
  <c r="K600" i="8"/>
  <c r="L600" i="8"/>
  <c r="M600" i="8"/>
  <c r="I600" i="8"/>
  <c r="H601" i="8"/>
  <c r="J601" i="8"/>
  <c r="K601" i="8"/>
  <c r="L601" i="8"/>
  <c r="M601" i="8"/>
  <c r="I601" i="8"/>
  <c r="H602" i="8"/>
  <c r="J602" i="8"/>
  <c r="K602" i="8"/>
  <c r="L602" i="8"/>
  <c r="M602" i="8"/>
  <c r="I602" i="8"/>
  <c r="H603" i="8"/>
  <c r="J603" i="8"/>
  <c r="K603" i="8"/>
  <c r="L603" i="8"/>
  <c r="M603" i="8"/>
  <c r="I603" i="8"/>
  <c r="H604" i="8"/>
  <c r="J604" i="8"/>
  <c r="K604" i="8"/>
  <c r="L604" i="8"/>
  <c r="M604" i="8"/>
  <c r="I604" i="8"/>
  <c r="H605" i="8"/>
  <c r="J605" i="8"/>
  <c r="K605" i="8"/>
  <c r="L605" i="8"/>
  <c r="M605" i="8"/>
  <c r="I605" i="8"/>
  <c r="H606" i="8"/>
  <c r="J606" i="8"/>
  <c r="K606" i="8"/>
  <c r="L606" i="8"/>
  <c r="M606" i="8"/>
  <c r="I606" i="8"/>
  <c r="H607" i="8"/>
  <c r="J607" i="8"/>
  <c r="K607" i="8"/>
  <c r="L607" i="8"/>
  <c r="M607" i="8"/>
  <c r="I607" i="8"/>
  <c r="H608" i="8"/>
  <c r="J608" i="8"/>
  <c r="K608" i="8"/>
  <c r="L608" i="8"/>
  <c r="M608" i="8"/>
  <c r="I608" i="8"/>
  <c r="H609" i="8"/>
  <c r="J609" i="8"/>
  <c r="K609" i="8"/>
  <c r="L609" i="8"/>
  <c r="M609" i="8"/>
  <c r="I609" i="8"/>
  <c r="H610" i="8"/>
  <c r="J610" i="8"/>
  <c r="K610" i="8"/>
  <c r="L610" i="8"/>
  <c r="M610" i="8"/>
  <c r="I610" i="8"/>
  <c r="H611" i="8"/>
  <c r="J611" i="8"/>
  <c r="K611" i="8"/>
  <c r="L611" i="8"/>
  <c r="M611" i="8"/>
  <c r="I611" i="8"/>
  <c r="H612" i="8"/>
  <c r="J612" i="8"/>
  <c r="K612" i="8"/>
  <c r="L612" i="8"/>
  <c r="M612" i="8"/>
  <c r="I612" i="8"/>
  <c r="H613" i="8"/>
  <c r="J613" i="8"/>
  <c r="K613" i="8"/>
  <c r="L613" i="8"/>
  <c r="M613" i="8"/>
  <c r="I613" i="8"/>
  <c r="H614" i="8"/>
  <c r="J614" i="8"/>
  <c r="K614" i="8"/>
  <c r="L614" i="8"/>
  <c r="M614" i="8"/>
  <c r="I614" i="8"/>
  <c r="H615" i="8"/>
  <c r="J615" i="8"/>
  <c r="K615" i="8"/>
  <c r="L615" i="8"/>
  <c r="M615" i="8"/>
  <c r="I615" i="8"/>
  <c r="H616" i="8"/>
  <c r="J616" i="8"/>
  <c r="K616" i="8"/>
  <c r="L616" i="8"/>
  <c r="M616" i="8"/>
  <c r="I616" i="8"/>
  <c r="H617" i="8"/>
  <c r="J617" i="8"/>
  <c r="K617" i="8"/>
  <c r="L617" i="8"/>
  <c r="M617" i="8"/>
  <c r="I617" i="8"/>
  <c r="H618" i="8"/>
  <c r="J618" i="8"/>
  <c r="K618" i="8"/>
  <c r="L618" i="8"/>
  <c r="M618" i="8"/>
  <c r="I618" i="8"/>
  <c r="H619" i="8"/>
  <c r="J619" i="8"/>
  <c r="K619" i="8"/>
  <c r="L619" i="8"/>
  <c r="M619" i="8"/>
  <c r="I619" i="8"/>
  <c r="H620" i="8"/>
  <c r="J620" i="8"/>
  <c r="K620" i="8"/>
  <c r="L620" i="8"/>
  <c r="M620" i="8"/>
  <c r="I620" i="8"/>
  <c r="H621" i="8"/>
  <c r="J621" i="8"/>
  <c r="K621" i="8"/>
  <c r="L621" i="8"/>
  <c r="M621" i="8"/>
  <c r="I621" i="8"/>
  <c r="H622" i="8"/>
  <c r="J622" i="8"/>
  <c r="K622" i="8"/>
  <c r="L622" i="8"/>
  <c r="M622" i="8"/>
  <c r="I622" i="8"/>
  <c r="H623" i="8"/>
  <c r="J623" i="8"/>
  <c r="K623" i="8"/>
  <c r="L623" i="8"/>
  <c r="M623" i="8"/>
  <c r="I623" i="8"/>
  <c r="H624" i="8"/>
  <c r="J624" i="8"/>
  <c r="K624" i="8"/>
  <c r="L624" i="8"/>
  <c r="M624" i="8"/>
  <c r="I624" i="8"/>
  <c r="H625" i="8"/>
  <c r="J625" i="8"/>
  <c r="K625" i="8"/>
  <c r="L625" i="8"/>
  <c r="M625" i="8"/>
  <c r="I625" i="8"/>
  <c r="H626" i="8"/>
  <c r="J626" i="8"/>
  <c r="K626" i="8"/>
  <c r="L626" i="8"/>
  <c r="M626" i="8"/>
  <c r="I626" i="8"/>
  <c r="H627" i="8"/>
  <c r="J627" i="8"/>
  <c r="K627" i="8"/>
  <c r="L627" i="8"/>
  <c r="M627" i="8"/>
  <c r="I627" i="8"/>
  <c r="H628" i="8"/>
  <c r="J628" i="8"/>
  <c r="K628" i="8"/>
  <c r="L628" i="8"/>
  <c r="M628" i="8"/>
  <c r="I628" i="8"/>
  <c r="H629" i="8"/>
  <c r="J629" i="8"/>
  <c r="K629" i="8"/>
  <c r="L629" i="8"/>
  <c r="M629" i="8"/>
  <c r="I629" i="8"/>
  <c r="H630" i="8"/>
  <c r="J630" i="8"/>
  <c r="K630" i="8"/>
  <c r="L630" i="8"/>
  <c r="M630" i="8"/>
  <c r="I630" i="8"/>
  <c r="H631" i="8"/>
  <c r="J631" i="8"/>
  <c r="K631" i="8"/>
  <c r="L631" i="8"/>
  <c r="M631" i="8"/>
  <c r="I631" i="8"/>
  <c r="H632" i="8"/>
  <c r="J632" i="8"/>
  <c r="K632" i="8"/>
  <c r="L632" i="8"/>
  <c r="M632" i="8"/>
  <c r="I632" i="8"/>
  <c r="H633" i="8"/>
  <c r="J633" i="8"/>
  <c r="K633" i="8"/>
  <c r="L633" i="8"/>
  <c r="M633" i="8"/>
  <c r="I633" i="8"/>
  <c r="H634" i="8"/>
  <c r="J634" i="8"/>
  <c r="K634" i="8"/>
  <c r="L634" i="8"/>
  <c r="M634" i="8"/>
  <c r="I634" i="8"/>
  <c r="H635" i="8"/>
  <c r="J635" i="8"/>
  <c r="K635" i="8"/>
  <c r="L635" i="8"/>
  <c r="M635" i="8"/>
  <c r="I635" i="8"/>
  <c r="H636" i="8"/>
  <c r="J636" i="8"/>
  <c r="K636" i="8"/>
  <c r="L636" i="8"/>
  <c r="M636" i="8"/>
  <c r="I636" i="8"/>
  <c r="H637" i="8"/>
  <c r="J637" i="8"/>
  <c r="K637" i="8"/>
  <c r="L637" i="8"/>
  <c r="M637" i="8"/>
  <c r="I637" i="8"/>
  <c r="H638" i="8"/>
  <c r="J638" i="8"/>
  <c r="K638" i="8"/>
  <c r="L638" i="8"/>
  <c r="M638" i="8"/>
  <c r="I638" i="8"/>
  <c r="H639" i="8"/>
  <c r="J639" i="8"/>
  <c r="K639" i="8"/>
  <c r="L639" i="8"/>
  <c r="M639" i="8"/>
  <c r="I639" i="8"/>
  <c r="H640" i="8"/>
  <c r="J640" i="8"/>
  <c r="K640" i="8"/>
  <c r="L640" i="8"/>
  <c r="M640" i="8"/>
  <c r="I640" i="8"/>
  <c r="H641" i="8"/>
  <c r="J641" i="8"/>
  <c r="K641" i="8"/>
  <c r="L641" i="8"/>
  <c r="M641" i="8"/>
  <c r="I641" i="8"/>
  <c r="H642" i="8"/>
  <c r="J642" i="8"/>
  <c r="K642" i="8"/>
  <c r="L642" i="8"/>
  <c r="M642" i="8"/>
  <c r="I642" i="8"/>
  <c r="H643" i="8"/>
  <c r="J643" i="8"/>
  <c r="K643" i="8"/>
  <c r="L643" i="8"/>
  <c r="M643" i="8"/>
  <c r="I643" i="8"/>
  <c r="H644" i="8"/>
  <c r="J644" i="8"/>
  <c r="K644" i="8"/>
  <c r="L644" i="8"/>
  <c r="M644" i="8"/>
  <c r="I644" i="8"/>
  <c r="H645" i="8"/>
  <c r="J645" i="8"/>
  <c r="K645" i="8"/>
  <c r="L645" i="8"/>
  <c r="M645" i="8"/>
  <c r="I645" i="8"/>
  <c r="H646" i="8"/>
  <c r="J646" i="8"/>
  <c r="K646" i="8"/>
  <c r="L646" i="8"/>
  <c r="M646" i="8"/>
  <c r="I646" i="8"/>
  <c r="H647" i="8"/>
  <c r="J647" i="8"/>
  <c r="K647" i="8"/>
  <c r="L647" i="8"/>
  <c r="M647" i="8"/>
  <c r="I647" i="8"/>
  <c r="H648" i="8"/>
  <c r="J648" i="8"/>
  <c r="K648" i="8"/>
  <c r="L648" i="8"/>
  <c r="M648" i="8"/>
  <c r="I648" i="8"/>
  <c r="H649" i="8"/>
  <c r="J649" i="8"/>
  <c r="K649" i="8"/>
  <c r="L649" i="8"/>
  <c r="M649" i="8"/>
  <c r="I649" i="8"/>
  <c r="H650" i="8"/>
  <c r="J650" i="8"/>
  <c r="K650" i="8"/>
  <c r="L650" i="8"/>
  <c r="M650" i="8"/>
  <c r="I650" i="8"/>
  <c r="H651" i="8"/>
  <c r="J651" i="8"/>
  <c r="K651" i="8"/>
  <c r="L651" i="8"/>
  <c r="M651" i="8"/>
  <c r="I651" i="8"/>
  <c r="H652" i="8"/>
  <c r="J652" i="8"/>
  <c r="K652" i="8"/>
  <c r="L652" i="8"/>
  <c r="M652" i="8"/>
  <c r="I652" i="8"/>
  <c r="H653" i="8"/>
  <c r="J653" i="8"/>
  <c r="K653" i="8"/>
  <c r="L653" i="8"/>
  <c r="M653" i="8"/>
  <c r="I653" i="8"/>
  <c r="H654" i="8"/>
  <c r="J654" i="8"/>
  <c r="K654" i="8"/>
  <c r="L654" i="8"/>
  <c r="M654" i="8"/>
  <c r="I654" i="8"/>
  <c r="H655" i="8"/>
  <c r="J655" i="8"/>
  <c r="K655" i="8"/>
  <c r="L655" i="8"/>
  <c r="M655" i="8"/>
  <c r="I655" i="8"/>
  <c r="H656" i="8"/>
  <c r="J656" i="8"/>
  <c r="K656" i="8"/>
  <c r="L656" i="8"/>
  <c r="M656" i="8"/>
  <c r="I656" i="8"/>
  <c r="H657" i="8"/>
  <c r="J657" i="8"/>
  <c r="K657" i="8"/>
  <c r="L657" i="8"/>
  <c r="M657" i="8"/>
  <c r="I657" i="8"/>
  <c r="H658" i="8"/>
  <c r="J658" i="8"/>
  <c r="K658" i="8"/>
  <c r="L658" i="8"/>
  <c r="M658" i="8"/>
  <c r="I658" i="8"/>
  <c r="H659" i="8"/>
  <c r="J659" i="8"/>
  <c r="K659" i="8"/>
  <c r="L659" i="8"/>
  <c r="M659" i="8"/>
  <c r="I659" i="8"/>
  <c r="H660" i="8"/>
  <c r="J660" i="8"/>
  <c r="K660" i="8"/>
  <c r="L660" i="8"/>
  <c r="M660" i="8"/>
  <c r="I660" i="8"/>
  <c r="H661" i="8"/>
  <c r="J661" i="8"/>
  <c r="K661" i="8"/>
  <c r="L661" i="8"/>
  <c r="M661" i="8"/>
  <c r="I661" i="8"/>
  <c r="H662" i="8"/>
  <c r="J662" i="8"/>
  <c r="K662" i="8"/>
  <c r="L662" i="8"/>
  <c r="M662" i="8"/>
  <c r="I662" i="8"/>
  <c r="H663" i="8"/>
  <c r="J663" i="8"/>
  <c r="K663" i="8"/>
  <c r="L663" i="8"/>
  <c r="M663" i="8"/>
  <c r="I663" i="8"/>
  <c r="H664" i="8"/>
  <c r="J664" i="8"/>
  <c r="K664" i="8"/>
  <c r="L664" i="8"/>
  <c r="M664" i="8"/>
  <c r="I664" i="8"/>
  <c r="H665" i="8"/>
  <c r="J665" i="8"/>
  <c r="K665" i="8"/>
  <c r="L665" i="8"/>
  <c r="M665" i="8"/>
  <c r="I665" i="8"/>
  <c r="H666" i="8"/>
  <c r="J666" i="8"/>
  <c r="K666" i="8"/>
  <c r="L666" i="8"/>
  <c r="M666" i="8"/>
  <c r="I666" i="8"/>
  <c r="H667" i="8"/>
  <c r="J667" i="8"/>
  <c r="K667" i="8"/>
  <c r="L667" i="8"/>
  <c r="M667" i="8"/>
  <c r="I667" i="8"/>
  <c r="H668" i="8"/>
  <c r="J668" i="8"/>
  <c r="K668" i="8"/>
  <c r="L668" i="8"/>
  <c r="M668" i="8"/>
  <c r="I668" i="8"/>
  <c r="H669" i="8"/>
  <c r="J669" i="8"/>
  <c r="K669" i="8"/>
  <c r="L669" i="8"/>
  <c r="M669" i="8"/>
  <c r="I669" i="8"/>
  <c r="H670" i="8"/>
  <c r="J670" i="8"/>
  <c r="K670" i="8"/>
  <c r="L670" i="8"/>
  <c r="M670" i="8"/>
  <c r="I670" i="8"/>
  <c r="H671" i="8"/>
  <c r="J671" i="8"/>
  <c r="K671" i="8"/>
  <c r="L671" i="8"/>
  <c r="M671" i="8"/>
  <c r="I671" i="8"/>
  <c r="H672" i="8"/>
  <c r="J672" i="8"/>
  <c r="K672" i="8"/>
  <c r="L672" i="8"/>
  <c r="M672" i="8"/>
  <c r="I672" i="8"/>
  <c r="H673" i="8"/>
  <c r="J673" i="8"/>
  <c r="K673" i="8"/>
  <c r="L673" i="8"/>
  <c r="M673" i="8"/>
  <c r="I673" i="8"/>
  <c r="H674" i="8"/>
  <c r="J674" i="8"/>
  <c r="K674" i="8"/>
  <c r="L674" i="8"/>
  <c r="M674" i="8"/>
  <c r="I674" i="8"/>
  <c r="H675" i="8"/>
  <c r="J675" i="8"/>
  <c r="K675" i="8"/>
  <c r="L675" i="8"/>
  <c r="M675" i="8"/>
  <c r="I675" i="8"/>
  <c r="H676" i="8"/>
  <c r="J676" i="8"/>
  <c r="K676" i="8"/>
  <c r="L676" i="8"/>
  <c r="M676" i="8"/>
  <c r="I676" i="8"/>
  <c r="H677" i="8"/>
  <c r="J677" i="8"/>
  <c r="K677" i="8"/>
  <c r="L677" i="8"/>
  <c r="M677" i="8"/>
  <c r="I677" i="8"/>
  <c r="H678" i="8"/>
  <c r="J678" i="8"/>
  <c r="K678" i="8"/>
  <c r="L678" i="8"/>
  <c r="M678" i="8"/>
  <c r="I678" i="8"/>
  <c r="H679" i="8"/>
  <c r="J679" i="8"/>
  <c r="K679" i="8"/>
  <c r="L679" i="8"/>
  <c r="M679" i="8"/>
  <c r="I679" i="8"/>
  <c r="H680" i="8"/>
  <c r="J680" i="8"/>
  <c r="K680" i="8"/>
  <c r="L680" i="8"/>
  <c r="M680" i="8"/>
  <c r="I680" i="8"/>
  <c r="H681" i="8"/>
  <c r="J681" i="8"/>
  <c r="K681" i="8"/>
  <c r="L681" i="8"/>
  <c r="M681" i="8"/>
  <c r="I681" i="8"/>
  <c r="H682" i="8"/>
  <c r="J682" i="8"/>
  <c r="K682" i="8"/>
  <c r="L682" i="8"/>
  <c r="M682" i="8"/>
  <c r="I682" i="8"/>
  <c r="H683" i="8"/>
  <c r="J683" i="8"/>
  <c r="K683" i="8"/>
  <c r="L683" i="8"/>
  <c r="M683" i="8"/>
  <c r="I683" i="8"/>
  <c r="H684" i="8"/>
  <c r="J684" i="8"/>
  <c r="K684" i="8"/>
  <c r="L684" i="8"/>
  <c r="M684" i="8"/>
  <c r="I684" i="8"/>
  <c r="H685" i="8"/>
  <c r="J685" i="8"/>
  <c r="K685" i="8"/>
  <c r="L685" i="8"/>
  <c r="M685" i="8"/>
  <c r="I685" i="8"/>
  <c r="H686" i="8"/>
  <c r="J686" i="8"/>
  <c r="K686" i="8"/>
  <c r="L686" i="8"/>
  <c r="M686" i="8"/>
  <c r="I686" i="8"/>
  <c r="H687" i="8"/>
  <c r="J687" i="8"/>
  <c r="K687" i="8"/>
  <c r="L687" i="8"/>
  <c r="M687" i="8"/>
  <c r="I687" i="8"/>
  <c r="H688" i="8"/>
  <c r="J688" i="8"/>
  <c r="K688" i="8"/>
  <c r="L688" i="8"/>
  <c r="M688" i="8"/>
  <c r="I688" i="8"/>
  <c r="H689" i="8"/>
  <c r="J689" i="8"/>
  <c r="K689" i="8"/>
  <c r="L689" i="8"/>
  <c r="M689" i="8"/>
  <c r="I689" i="8"/>
  <c r="H690" i="8"/>
  <c r="J690" i="8"/>
  <c r="K690" i="8"/>
  <c r="L690" i="8"/>
  <c r="M690" i="8"/>
  <c r="I690" i="8"/>
  <c r="H691" i="8"/>
  <c r="J691" i="8"/>
  <c r="K691" i="8"/>
  <c r="L691" i="8"/>
  <c r="M691" i="8"/>
  <c r="I691" i="8"/>
  <c r="H692" i="8"/>
  <c r="J692" i="8"/>
  <c r="K692" i="8"/>
  <c r="L692" i="8"/>
  <c r="M692" i="8"/>
  <c r="I692" i="8"/>
  <c r="H693" i="8"/>
  <c r="J693" i="8"/>
  <c r="K693" i="8"/>
  <c r="L693" i="8"/>
  <c r="M693" i="8"/>
  <c r="I693" i="8"/>
  <c r="H694" i="8"/>
  <c r="J694" i="8"/>
  <c r="K694" i="8"/>
  <c r="L694" i="8"/>
  <c r="M694" i="8"/>
  <c r="I694" i="8"/>
  <c r="H695" i="8"/>
  <c r="J695" i="8"/>
  <c r="K695" i="8"/>
  <c r="L695" i="8"/>
  <c r="M695" i="8"/>
  <c r="I695" i="8"/>
  <c r="H696" i="8"/>
  <c r="J696" i="8"/>
  <c r="K696" i="8"/>
  <c r="L696" i="8"/>
  <c r="M696" i="8"/>
  <c r="I696" i="8"/>
  <c r="H697" i="8"/>
  <c r="J697" i="8"/>
  <c r="K697" i="8"/>
  <c r="L697" i="8"/>
  <c r="M697" i="8"/>
  <c r="I697" i="8"/>
  <c r="H698" i="8"/>
  <c r="J698" i="8"/>
  <c r="K698" i="8"/>
  <c r="L698" i="8"/>
  <c r="M698" i="8"/>
  <c r="I698" i="8"/>
  <c r="H699" i="8"/>
  <c r="J699" i="8"/>
  <c r="K699" i="8"/>
  <c r="L699" i="8"/>
  <c r="M699" i="8"/>
  <c r="I699" i="8"/>
  <c r="H700" i="8"/>
  <c r="J700" i="8"/>
  <c r="K700" i="8"/>
  <c r="L700" i="8"/>
  <c r="M700" i="8"/>
  <c r="I700" i="8"/>
  <c r="H701" i="8"/>
  <c r="J701" i="8"/>
  <c r="K701" i="8"/>
  <c r="L701" i="8"/>
  <c r="M701" i="8"/>
  <c r="I701" i="8"/>
  <c r="H702" i="8"/>
  <c r="J702" i="8"/>
  <c r="K702" i="8"/>
  <c r="L702" i="8"/>
  <c r="M702" i="8"/>
  <c r="I702" i="8"/>
  <c r="H703" i="8"/>
  <c r="J703" i="8"/>
  <c r="K703" i="8"/>
  <c r="L703" i="8"/>
  <c r="M703" i="8"/>
  <c r="I703" i="8"/>
  <c r="H704" i="8"/>
  <c r="J704" i="8"/>
  <c r="K704" i="8"/>
  <c r="L704" i="8"/>
  <c r="M704" i="8"/>
  <c r="I704" i="8"/>
  <c r="H705" i="8"/>
  <c r="J705" i="8"/>
  <c r="K705" i="8"/>
  <c r="L705" i="8"/>
  <c r="M705" i="8"/>
  <c r="I705" i="8"/>
  <c r="H706" i="8"/>
  <c r="J706" i="8"/>
  <c r="K706" i="8"/>
  <c r="L706" i="8"/>
  <c r="M706" i="8"/>
  <c r="I706" i="8"/>
  <c r="H707" i="8"/>
  <c r="J707" i="8"/>
  <c r="K707" i="8"/>
  <c r="L707" i="8"/>
  <c r="M707" i="8"/>
  <c r="I707" i="8"/>
  <c r="H708" i="8"/>
  <c r="J708" i="8"/>
  <c r="K708" i="8"/>
  <c r="L708" i="8"/>
  <c r="M708" i="8"/>
  <c r="I708" i="8"/>
  <c r="H709" i="8"/>
  <c r="J709" i="8"/>
  <c r="K709" i="8"/>
  <c r="L709" i="8"/>
  <c r="M709" i="8"/>
  <c r="I709" i="8"/>
  <c r="H710" i="8"/>
  <c r="J710" i="8"/>
  <c r="K710" i="8"/>
  <c r="L710" i="8"/>
  <c r="M710" i="8"/>
  <c r="I710" i="8"/>
  <c r="H711" i="8"/>
  <c r="J711" i="8"/>
  <c r="K711" i="8"/>
  <c r="L711" i="8"/>
  <c r="M711" i="8"/>
  <c r="I711" i="8"/>
  <c r="H712" i="8"/>
  <c r="J712" i="8"/>
  <c r="K712" i="8"/>
  <c r="L712" i="8"/>
  <c r="M712" i="8"/>
  <c r="I712" i="8"/>
  <c r="H713" i="8"/>
  <c r="J713" i="8"/>
  <c r="K713" i="8"/>
  <c r="L713" i="8"/>
  <c r="M713" i="8"/>
  <c r="I713" i="8"/>
  <c r="H714" i="8"/>
  <c r="J714" i="8"/>
  <c r="K714" i="8"/>
  <c r="L714" i="8"/>
  <c r="M714" i="8"/>
  <c r="I714" i="8"/>
  <c r="H715" i="8"/>
  <c r="J715" i="8"/>
  <c r="K715" i="8"/>
  <c r="L715" i="8"/>
  <c r="M715" i="8"/>
  <c r="I715" i="8"/>
  <c r="H716" i="8"/>
  <c r="J716" i="8"/>
  <c r="K716" i="8"/>
  <c r="L716" i="8"/>
  <c r="M716" i="8"/>
  <c r="I716" i="8"/>
  <c r="H717" i="8"/>
  <c r="J717" i="8"/>
  <c r="K717" i="8"/>
  <c r="L717" i="8"/>
  <c r="M717" i="8"/>
  <c r="I717" i="8"/>
  <c r="H718" i="8"/>
  <c r="J718" i="8"/>
  <c r="K718" i="8"/>
  <c r="L718" i="8"/>
  <c r="M718" i="8"/>
  <c r="I718" i="8"/>
  <c r="H719" i="8"/>
  <c r="J719" i="8"/>
  <c r="K719" i="8"/>
  <c r="L719" i="8"/>
  <c r="M719" i="8"/>
  <c r="I719" i="8"/>
  <c r="H720" i="8"/>
  <c r="J720" i="8"/>
  <c r="K720" i="8"/>
  <c r="L720" i="8"/>
  <c r="M720" i="8"/>
  <c r="I720" i="8"/>
  <c r="H721" i="8"/>
  <c r="J721" i="8"/>
  <c r="K721" i="8"/>
  <c r="L721" i="8"/>
  <c r="M721" i="8"/>
  <c r="I721" i="8"/>
  <c r="H722" i="8"/>
  <c r="J722" i="8"/>
  <c r="K722" i="8"/>
  <c r="L722" i="8"/>
  <c r="M722" i="8"/>
  <c r="I722" i="8"/>
  <c r="H723" i="8"/>
  <c r="J723" i="8"/>
  <c r="K723" i="8"/>
  <c r="L723" i="8"/>
  <c r="M723" i="8"/>
  <c r="I723" i="8"/>
  <c r="H724" i="8"/>
  <c r="J724" i="8"/>
  <c r="K724" i="8"/>
  <c r="L724" i="8"/>
  <c r="M724" i="8"/>
  <c r="I724" i="8"/>
  <c r="H725" i="8"/>
  <c r="J725" i="8"/>
  <c r="K725" i="8"/>
  <c r="L725" i="8"/>
  <c r="M725" i="8"/>
  <c r="I725" i="8"/>
  <c r="H726" i="8"/>
  <c r="J726" i="8"/>
  <c r="K726" i="8"/>
  <c r="L726" i="8"/>
  <c r="M726" i="8"/>
  <c r="I726" i="8"/>
  <c r="H727" i="8"/>
  <c r="J727" i="8"/>
  <c r="K727" i="8"/>
  <c r="L727" i="8"/>
  <c r="M727" i="8"/>
  <c r="I727" i="8"/>
  <c r="H728" i="8"/>
  <c r="J728" i="8"/>
  <c r="K728" i="8"/>
  <c r="L728" i="8"/>
  <c r="M728" i="8"/>
  <c r="I728" i="8"/>
  <c r="H729" i="8"/>
  <c r="J729" i="8"/>
  <c r="K729" i="8"/>
  <c r="L729" i="8"/>
  <c r="M729" i="8"/>
  <c r="I729" i="8"/>
  <c r="H730" i="8"/>
  <c r="J730" i="8"/>
  <c r="K730" i="8"/>
  <c r="L730" i="8"/>
  <c r="M730" i="8"/>
  <c r="I730" i="8"/>
  <c r="H731" i="8"/>
  <c r="J731" i="8"/>
  <c r="K731" i="8"/>
  <c r="L731" i="8"/>
  <c r="M731" i="8"/>
  <c r="I731" i="8"/>
  <c r="H732" i="8"/>
  <c r="J732" i="8"/>
  <c r="K732" i="8"/>
  <c r="L732" i="8"/>
  <c r="M732" i="8"/>
  <c r="I732" i="8"/>
  <c r="H733" i="8"/>
  <c r="J733" i="8"/>
  <c r="K733" i="8"/>
  <c r="L733" i="8"/>
  <c r="M733" i="8"/>
  <c r="I733" i="8"/>
  <c r="H734" i="8"/>
  <c r="J734" i="8"/>
  <c r="K734" i="8"/>
  <c r="L734" i="8"/>
  <c r="M734" i="8"/>
  <c r="I734" i="8"/>
  <c r="H735" i="8"/>
  <c r="J735" i="8"/>
  <c r="K735" i="8"/>
  <c r="L735" i="8"/>
  <c r="M735" i="8"/>
  <c r="I735" i="8"/>
  <c r="H736" i="8"/>
  <c r="J736" i="8"/>
  <c r="K736" i="8"/>
  <c r="L736" i="8"/>
  <c r="M736" i="8"/>
  <c r="I736" i="8"/>
  <c r="H737" i="8"/>
  <c r="J737" i="8"/>
  <c r="K737" i="8"/>
  <c r="L737" i="8"/>
  <c r="M737" i="8"/>
  <c r="I737" i="8"/>
  <c r="H738" i="8"/>
  <c r="J738" i="8"/>
  <c r="K738" i="8"/>
  <c r="L738" i="8"/>
  <c r="M738" i="8"/>
  <c r="I738" i="8"/>
  <c r="H739" i="8"/>
  <c r="J739" i="8"/>
  <c r="K739" i="8"/>
  <c r="L739" i="8"/>
  <c r="M739" i="8"/>
  <c r="I739" i="8"/>
  <c r="H740" i="8"/>
  <c r="J740" i="8"/>
  <c r="K740" i="8"/>
  <c r="L740" i="8"/>
  <c r="M740" i="8"/>
  <c r="I740" i="8"/>
  <c r="H741" i="8"/>
  <c r="J741" i="8"/>
  <c r="K741" i="8"/>
  <c r="L741" i="8"/>
  <c r="M741" i="8"/>
  <c r="I741" i="8"/>
  <c r="H742" i="8"/>
  <c r="J742" i="8"/>
  <c r="K742" i="8"/>
  <c r="L742" i="8"/>
  <c r="M742" i="8"/>
  <c r="I742" i="8"/>
  <c r="H743" i="8"/>
  <c r="J743" i="8"/>
  <c r="K743" i="8"/>
  <c r="L743" i="8"/>
  <c r="M743" i="8"/>
  <c r="I743" i="8"/>
  <c r="H744" i="8"/>
  <c r="J744" i="8"/>
  <c r="K744" i="8"/>
  <c r="L744" i="8"/>
  <c r="M744" i="8"/>
  <c r="I744" i="8"/>
  <c r="H745" i="8"/>
  <c r="J745" i="8"/>
  <c r="K745" i="8"/>
  <c r="L745" i="8"/>
  <c r="M745" i="8"/>
  <c r="I745" i="8"/>
  <c r="H746" i="8"/>
  <c r="J746" i="8"/>
  <c r="K746" i="8"/>
  <c r="L746" i="8"/>
  <c r="M746" i="8"/>
  <c r="I746" i="8"/>
  <c r="H747" i="8"/>
  <c r="J747" i="8"/>
  <c r="K747" i="8"/>
  <c r="L747" i="8"/>
  <c r="M747" i="8"/>
  <c r="I747" i="8"/>
  <c r="H748" i="8"/>
  <c r="J748" i="8"/>
  <c r="K748" i="8"/>
  <c r="L748" i="8"/>
  <c r="M748" i="8"/>
  <c r="I748" i="8"/>
  <c r="H749" i="8"/>
  <c r="J749" i="8"/>
  <c r="K749" i="8"/>
  <c r="L749" i="8"/>
  <c r="M749" i="8"/>
  <c r="I749" i="8"/>
  <c r="H750" i="8"/>
  <c r="J750" i="8"/>
  <c r="K750" i="8"/>
  <c r="L750" i="8"/>
  <c r="M750" i="8"/>
  <c r="I750" i="8"/>
  <c r="H751" i="8"/>
  <c r="J751" i="8"/>
  <c r="K751" i="8"/>
  <c r="L751" i="8"/>
  <c r="M751" i="8"/>
  <c r="I751" i="8"/>
  <c r="H752" i="8"/>
  <c r="J752" i="8"/>
  <c r="K752" i="8"/>
  <c r="L752" i="8"/>
  <c r="M752" i="8"/>
  <c r="I752" i="8"/>
  <c r="H753" i="8"/>
  <c r="J753" i="8"/>
  <c r="K753" i="8"/>
  <c r="L753" i="8"/>
  <c r="M753" i="8"/>
  <c r="I753" i="8"/>
  <c r="H754" i="8"/>
  <c r="J754" i="8"/>
  <c r="K754" i="8"/>
  <c r="L754" i="8"/>
  <c r="M754" i="8"/>
  <c r="I754" i="8"/>
  <c r="H755" i="8"/>
  <c r="J755" i="8"/>
  <c r="K755" i="8"/>
  <c r="L755" i="8"/>
  <c r="M755" i="8"/>
  <c r="I755" i="8"/>
  <c r="H756" i="8"/>
  <c r="J756" i="8"/>
  <c r="K756" i="8"/>
  <c r="L756" i="8"/>
  <c r="M756" i="8"/>
  <c r="I756" i="8"/>
  <c r="H757" i="8"/>
  <c r="J757" i="8"/>
  <c r="K757" i="8"/>
  <c r="L757" i="8"/>
  <c r="M757" i="8"/>
  <c r="I757" i="8"/>
  <c r="H758" i="8"/>
  <c r="J758" i="8"/>
  <c r="K758" i="8"/>
  <c r="L758" i="8"/>
  <c r="M758" i="8"/>
  <c r="I758" i="8"/>
  <c r="H759" i="8"/>
  <c r="J759" i="8"/>
  <c r="K759" i="8"/>
  <c r="L759" i="8"/>
  <c r="M759" i="8"/>
  <c r="I759" i="8"/>
  <c r="H760" i="8"/>
  <c r="J760" i="8"/>
  <c r="K760" i="8"/>
  <c r="L760" i="8"/>
  <c r="M760" i="8"/>
  <c r="I760" i="8"/>
  <c r="H761" i="8"/>
  <c r="J761" i="8"/>
  <c r="K761" i="8"/>
  <c r="L761" i="8"/>
  <c r="M761" i="8"/>
  <c r="I761" i="8"/>
  <c r="H762" i="8"/>
  <c r="J762" i="8"/>
  <c r="K762" i="8"/>
  <c r="L762" i="8"/>
  <c r="M762" i="8"/>
  <c r="I762" i="8"/>
  <c r="H763" i="8"/>
  <c r="J763" i="8"/>
  <c r="K763" i="8"/>
  <c r="L763" i="8"/>
  <c r="M763" i="8"/>
  <c r="I763" i="8"/>
  <c r="H764" i="8"/>
  <c r="J764" i="8"/>
  <c r="K764" i="8"/>
  <c r="L764" i="8"/>
  <c r="M764" i="8"/>
  <c r="I764" i="8"/>
  <c r="H765" i="8"/>
  <c r="J765" i="8"/>
  <c r="K765" i="8"/>
  <c r="L765" i="8"/>
  <c r="M765" i="8"/>
  <c r="I765" i="8"/>
  <c r="H766" i="8"/>
  <c r="J766" i="8"/>
  <c r="K766" i="8"/>
  <c r="L766" i="8"/>
  <c r="M766" i="8"/>
  <c r="I766" i="8"/>
  <c r="H767" i="8"/>
  <c r="J767" i="8"/>
  <c r="K767" i="8"/>
  <c r="L767" i="8"/>
  <c r="M767" i="8"/>
  <c r="I767" i="8"/>
  <c r="H768" i="8"/>
  <c r="J768" i="8"/>
  <c r="K768" i="8"/>
  <c r="L768" i="8"/>
  <c r="M768" i="8"/>
  <c r="I768" i="8"/>
  <c r="H769" i="8"/>
  <c r="J769" i="8"/>
  <c r="K769" i="8"/>
  <c r="L769" i="8"/>
  <c r="M769" i="8"/>
  <c r="I769" i="8"/>
  <c r="H770" i="8"/>
  <c r="J770" i="8"/>
  <c r="K770" i="8"/>
  <c r="L770" i="8"/>
  <c r="M770" i="8"/>
  <c r="I770" i="8"/>
  <c r="H771" i="8"/>
  <c r="J771" i="8"/>
  <c r="K771" i="8"/>
  <c r="L771" i="8"/>
  <c r="M771" i="8"/>
  <c r="I771" i="8"/>
  <c r="H772" i="8"/>
  <c r="J772" i="8"/>
  <c r="K772" i="8"/>
  <c r="L772" i="8"/>
  <c r="M772" i="8"/>
  <c r="I772" i="8"/>
  <c r="H773" i="8"/>
  <c r="J773" i="8"/>
  <c r="K773" i="8"/>
  <c r="L773" i="8"/>
  <c r="M773" i="8"/>
  <c r="I773" i="8"/>
  <c r="H774" i="8"/>
  <c r="J774" i="8"/>
  <c r="K774" i="8"/>
  <c r="L774" i="8"/>
  <c r="M774" i="8"/>
  <c r="I774" i="8"/>
  <c r="H775" i="8"/>
  <c r="J775" i="8"/>
  <c r="K775" i="8"/>
  <c r="L775" i="8"/>
  <c r="M775" i="8"/>
  <c r="I775" i="8"/>
  <c r="H776" i="8"/>
  <c r="J776" i="8"/>
  <c r="K776" i="8"/>
  <c r="L776" i="8"/>
  <c r="M776" i="8"/>
  <c r="I776" i="8"/>
  <c r="H777" i="8"/>
  <c r="J777" i="8"/>
  <c r="K777" i="8"/>
  <c r="L777" i="8"/>
  <c r="M777" i="8"/>
  <c r="I777" i="8"/>
  <c r="H778" i="8"/>
  <c r="J778" i="8"/>
  <c r="K778" i="8"/>
  <c r="L778" i="8"/>
  <c r="M778" i="8"/>
  <c r="I778" i="8"/>
  <c r="H779" i="8"/>
  <c r="J779" i="8"/>
  <c r="K779" i="8"/>
  <c r="L779" i="8"/>
  <c r="M779" i="8"/>
  <c r="I779" i="8"/>
  <c r="H780" i="8"/>
  <c r="J780" i="8"/>
  <c r="K780" i="8"/>
  <c r="L780" i="8"/>
  <c r="M780" i="8"/>
  <c r="I780" i="8"/>
  <c r="H781" i="8"/>
  <c r="J781" i="8"/>
  <c r="K781" i="8"/>
  <c r="L781" i="8"/>
  <c r="M781" i="8"/>
  <c r="I781" i="8"/>
  <c r="H782" i="8"/>
  <c r="J782" i="8"/>
  <c r="K782" i="8"/>
  <c r="L782" i="8"/>
  <c r="M782" i="8"/>
  <c r="I782" i="8"/>
  <c r="H783" i="8"/>
  <c r="J783" i="8"/>
  <c r="K783" i="8"/>
  <c r="L783" i="8"/>
  <c r="M783" i="8"/>
  <c r="I783" i="8"/>
  <c r="H784" i="8"/>
  <c r="J784" i="8"/>
  <c r="K784" i="8"/>
  <c r="L784" i="8"/>
  <c r="M784" i="8"/>
  <c r="I784" i="8"/>
  <c r="H785" i="8"/>
  <c r="J785" i="8"/>
  <c r="K785" i="8"/>
  <c r="L785" i="8"/>
  <c r="M785" i="8"/>
  <c r="I785" i="8"/>
  <c r="H786" i="8"/>
  <c r="J786" i="8"/>
  <c r="K786" i="8"/>
  <c r="L786" i="8"/>
  <c r="M786" i="8"/>
  <c r="I786" i="8"/>
  <c r="H787" i="8"/>
  <c r="J787" i="8"/>
  <c r="K787" i="8"/>
  <c r="L787" i="8"/>
  <c r="M787" i="8"/>
  <c r="I787" i="8"/>
  <c r="H788" i="8"/>
  <c r="J788" i="8"/>
  <c r="K788" i="8"/>
  <c r="L788" i="8"/>
  <c r="M788" i="8"/>
  <c r="I788" i="8"/>
  <c r="H789" i="8"/>
  <c r="J789" i="8"/>
  <c r="K789" i="8"/>
  <c r="L789" i="8"/>
  <c r="M789" i="8"/>
  <c r="I789" i="8"/>
  <c r="H790" i="8"/>
  <c r="J790" i="8"/>
  <c r="K790" i="8"/>
  <c r="L790" i="8"/>
  <c r="M790" i="8"/>
  <c r="I790" i="8"/>
  <c r="H791" i="8"/>
  <c r="J791" i="8"/>
  <c r="K791" i="8"/>
  <c r="L791" i="8"/>
  <c r="M791" i="8"/>
  <c r="I791" i="8"/>
  <c r="H792" i="8"/>
  <c r="J792" i="8"/>
  <c r="K792" i="8"/>
  <c r="L792" i="8"/>
  <c r="M792" i="8"/>
  <c r="I792" i="8"/>
  <c r="H793" i="8"/>
  <c r="J793" i="8"/>
  <c r="K793" i="8"/>
  <c r="L793" i="8"/>
  <c r="M793" i="8"/>
  <c r="I793" i="8"/>
  <c r="H794" i="8"/>
  <c r="J794" i="8"/>
  <c r="K794" i="8"/>
  <c r="L794" i="8"/>
  <c r="M794" i="8"/>
  <c r="I794" i="8"/>
  <c r="H795" i="8"/>
  <c r="J795" i="8"/>
  <c r="K795" i="8"/>
  <c r="L795" i="8"/>
  <c r="M795" i="8"/>
  <c r="I795" i="8"/>
  <c r="H796" i="8"/>
  <c r="J796" i="8"/>
  <c r="K796" i="8"/>
  <c r="L796" i="8"/>
  <c r="M796" i="8"/>
  <c r="I796" i="8"/>
  <c r="H797" i="8"/>
  <c r="J797" i="8"/>
  <c r="K797" i="8"/>
  <c r="L797" i="8"/>
  <c r="M797" i="8"/>
  <c r="I797" i="8"/>
  <c r="H798" i="8"/>
  <c r="J798" i="8"/>
  <c r="K798" i="8"/>
  <c r="L798" i="8"/>
  <c r="M798" i="8"/>
  <c r="I798" i="8"/>
  <c r="H799" i="8"/>
  <c r="J799" i="8"/>
  <c r="K799" i="8"/>
  <c r="L799" i="8"/>
  <c r="M799" i="8"/>
  <c r="I799" i="8"/>
  <c r="H800" i="8"/>
  <c r="J800" i="8"/>
  <c r="K800" i="8"/>
  <c r="L800" i="8"/>
  <c r="M800" i="8"/>
  <c r="I800" i="8"/>
  <c r="H801" i="8"/>
  <c r="J801" i="8"/>
  <c r="K801" i="8"/>
  <c r="L801" i="8"/>
  <c r="M801" i="8"/>
  <c r="I801" i="8"/>
  <c r="H802" i="8"/>
  <c r="J802" i="8"/>
  <c r="K802" i="8"/>
  <c r="L802" i="8"/>
  <c r="M802" i="8"/>
  <c r="I802" i="8"/>
  <c r="H803" i="8"/>
  <c r="J803" i="8"/>
  <c r="K803" i="8"/>
  <c r="L803" i="8"/>
  <c r="M803" i="8"/>
  <c r="I803" i="8"/>
  <c r="H804" i="8"/>
  <c r="J804" i="8"/>
  <c r="K804" i="8"/>
  <c r="L804" i="8"/>
  <c r="M804" i="8"/>
  <c r="I804" i="8"/>
  <c r="H805" i="8"/>
  <c r="J805" i="8"/>
  <c r="K805" i="8"/>
  <c r="L805" i="8"/>
  <c r="M805" i="8"/>
  <c r="I805" i="8"/>
  <c r="H806" i="8"/>
  <c r="J806" i="8"/>
  <c r="K806" i="8"/>
  <c r="L806" i="8"/>
  <c r="M806" i="8"/>
  <c r="I806" i="8"/>
  <c r="H807" i="8"/>
  <c r="J807" i="8"/>
  <c r="K807" i="8"/>
  <c r="L807" i="8"/>
  <c r="M807" i="8"/>
  <c r="I807" i="8"/>
  <c r="H808" i="8"/>
  <c r="J808" i="8"/>
  <c r="K808" i="8"/>
  <c r="L808" i="8"/>
  <c r="M808" i="8"/>
  <c r="I808" i="8"/>
  <c r="H809" i="8"/>
  <c r="J809" i="8"/>
  <c r="K809" i="8"/>
  <c r="L809" i="8"/>
  <c r="M809" i="8"/>
  <c r="I809" i="8"/>
  <c r="H810" i="8"/>
  <c r="J810" i="8"/>
  <c r="K810" i="8"/>
  <c r="L810" i="8"/>
  <c r="M810" i="8"/>
  <c r="I810" i="8"/>
  <c r="H811" i="8"/>
  <c r="J811" i="8"/>
  <c r="K811" i="8"/>
  <c r="L811" i="8"/>
  <c r="M811" i="8"/>
  <c r="I811" i="8"/>
  <c r="H812" i="8"/>
  <c r="J812" i="8"/>
  <c r="K812" i="8"/>
  <c r="L812" i="8"/>
  <c r="M812" i="8"/>
  <c r="I812" i="8"/>
  <c r="H813" i="8"/>
  <c r="J813" i="8"/>
  <c r="K813" i="8"/>
  <c r="L813" i="8"/>
  <c r="M813" i="8"/>
  <c r="I813" i="8"/>
  <c r="H814" i="8"/>
  <c r="J814" i="8"/>
  <c r="K814" i="8"/>
  <c r="L814" i="8"/>
  <c r="M814" i="8"/>
  <c r="I814" i="8"/>
  <c r="H815" i="8"/>
  <c r="J815" i="8"/>
  <c r="K815" i="8"/>
  <c r="L815" i="8"/>
  <c r="M815" i="8"/>
  <c r="I815" i="8"/>
  <c r="H816" i="8"/>
  <c r="J816" i="8"/>
  <c r="K816" i="8"/>
  <c r="L816" i="8"/>
  <c r="M816" i="8"/>
  <c r="I816" i="8"/>
  <c r="H817" i="8"/>
  <c r="J817" i="8"/>
  <c r="K817" i="8"/>
  <c r="L817" i="8"/>
  <c r="M817" i="8"/>
  <c r="I817" i="8"/>
  <c r="H818" i="8"/>
  <c r="J818" i="8"/>
  <c r="K818" i="8"/>
  <c r="L818" i="8"/>
  <c r="M818" i="8"/>
  <c r="I818" i="8"/>
  <c r="H819" i="8"/>
  <c r="J819" i="8"/>
  <c r="K819" i="8"/>
  <c r="L819" i="8"/>
  <c r="M819" i="8"/>
  <c r="I819" i="8"/>
  <c r="H820" i="8"/>
  <c r="J820" i="8"/>
  <c r="K820" i="8"/>
  <c r="L820" i="8"/>
  <c r="M820" i="8"/>
  <c r="I820" i="8"/>
  <c r="H821" i="8"/>
  <c r="J821" i="8"/>
  <c r="K821" i="8"/>
  <c r="L821" i="8"/>
  <c r="M821" i="8"/>
  <c r="I821" i="8"/>
  <c r="H822" i="8"/>
  <c r="J822" i="8"/>
  <c r="K822" i="8"/>
  <c r="L822" i="8"/>
  <c r="M822" i="8"/>
  <c r="I822" i="8"/>
  <c r="H823" i="8"/>
  <c r="J823" i="8"/>
  <c r="K823" i="8"/>
  <c r="L823" i="8"/>
  <c r="M823" i="8"/>
  <c r="I823" i="8"/>
  <c r="H824" i="8"/>
  <c r="J824" i="8"/>
  <c r="K824" i="8"/>
  <c r="L824" i="8"/>
  <c r="M824" i="8"/>
  <c r="I824" i="8"/>
  <c r="H825" i="8"/>
  <c r="J825" i="8"/>
  <c r="K825" i="8"/>
  <c r="L825" i="8"/>
  <c r="M825" i="8"/>
  <c r="I825" i="8"/>
  <c r="H826" i="8"/>
  <c r="J826" i="8"/>
  <c r="K826" i="8"/>
  <c r="L826" i="8"/>
  <c r="M826" i="8"/>
  <c r="I826" i="8"/>
  <c r="H827" i="8"/>
  <c r="J827" i="8"/>
  <c r="K827" i="8"/>
  <c r="L827" i="8"/>
  <c r="M827" i="8"/>
  <c r="I827" i="8"/>
  <c r="H828" i="8"/>
  <c r="J828" i="8"/>
  <c r="K828" i="8"/>
  <c r="L828" i="8"/>
  <c r="M828" i="8"/>
  <c r="I828" i="8"/>
  <c r="H829" i="8"/>
  <c r="J829" i="8"/>
  <c r="K829" i="8"/>
  <c r="L829" i="8"/>
  <c r="M829" i="8"/>
  <c r="I829" i="8"/>
  <c r="H830" i="8"/>
  <c r="J830" i="8"/>
  <c r="K830" i="8"/>
  <c r="L830" i="8"/>
  <c r="M830" i="8"/>
  <c r="I830" i="8"/>
  <c r="H831" i="8"/>
  <c r="J831" i="8"/>
  <c r="K831" i="8"/>
  <c r="L831" i="8"/>
  <c r="M831" i="8"/>
  <c r="I831" i="8"/>
  <c r="H832" i="8"/>
  <c r="J832" i="8"/>
  <c r="K832" i="8"/>
  <c r="L832" i="8"/>
  <c r="M832" i="8"/>
  <c r="I832" i="8"/>
  <c r="H833" i="8"/>
  <c r="J833" i="8"/>
  <c r="K833" i="8"/>
  <c r="L833" i="8"/>
  <c r="M833" i="8"/>
  <c r="I833" i="8"/>
  <c r="H834" i="8"/>
  <c r="J834" i="8"/>
  <c r="K834" i="8"/>
  <c r="L834" i="8"/>
  <c r="M834" i="8"/>
  <c r="I834" i="8"/>
  <c r="H835" i="8"/>
  <c r="J835" i="8"/>
  <c r="K835" i="8"/>
  <c r="L835" i="8"/>
  <c r="M835" i="8"/>
  <c r="I835" i="8"/>
  <c r="H836" i="8"/>
  <c r="J836" i="8"/>
  <c r="K836" i="8"/>
  <c r="L836" i="8"/>
  <c r="M836" i="8"/>
  <c r="I836" i="8"/>
  <c r="H837" i="8"/>
  <c r="J837" i="8"/>
  <c r="K837" i="8"/>
  <c r="L837" i="8"/>
  <c r="M837" i="8"/>
  <c r="I837" i="8"/>
  <c r="H838" i="8"/>
  <c r="J838" i="8"/>
  <c r="K838" i="8"/>
  <c r="L838" i="8"/>
  <c r="M838" i="8"/>
  <c r="I838" i="8"/>
  <c r="H839" i="8"/>
  <c r="J839" i="8"/>
  <c r="K839" i="8"/>
  <c r="L839" i="8"/>
  <c r="M839" i="8"/>
  <c r="I839" i="8"/>
  <c r="H840" i="8"/>
  <c r="J840" i="8"/>
  <c r="K840" i="8"/>
  <c r="L840" i="8"/>
  <c r="M840" i="8"/>
  <c r="I840" i="8"/>
  <c r="H841" i="8"/>
  <c r="J841" i="8"/>
  <c r="K841" i="8"/>
  <c r="L841" i="8"/>
  <c r="M841" i="8"/>
  <c r="I841" i="8"/>
  <c r="H842" i="8"/>
  <c r="J842" i="8"/>
  <c r="K842" i="8"/>
  <c r="L842" i="8"/>
  <c r="M842" i="8"/>
  <c r="I842" i="8"/>
  <c r="H843" i="8"/>
  <c r="J843" i="8"/>
  <c r="K843" i="8"/>
  <c r="L843" i="8"/>
  <c r="M843" i="8"/>
  <c r="I843" i="8"/>
  <c r="H844" i="8"/>
  <c r="J844" i="8"/>
  <c r="K844" i="8"/>
  <c r="L844" i="8"/>
  <c r="M844" i="8"/>
  <c r="I844" i="8"/>
  <c r="H845" i="8"/>
  <c r="J845" i="8"/>
  <c r="K845" i="8"/>
  <c r="L845" i="8"/>
  <c r="M845" i="8"/>
  <c r="I845" i="8"/>
  <c r="H846" i="8"/>
  <c r="J846" i="8"/>
  <c r="K846" i="8"/>
  <c r="L846" i="8"/>
  <c r="M846" i="8"/>
  <c r="I846" i="8"/>
  <c r="H847" i="8"/>
  <c r="J847" i="8"/>
  <c r="K847" i="8"/>
  <c r="L847" i="8"/>
  <c r="M847" i="8"/>
  <c r="I847" i="8"/>
  <c r="H848" i="8"/>
  <c r="J848" i="8"/>
  <c r="K848" i="8"/>
  <c r="L848" i="8"/>
  <c r="M848" i="8"/>
  <c r="I848" i="8"/>
  <c r="H849" i="8"/>
  <c r="J849" i="8"/>
  <c r="K849" i="8"/>
  <c r="L849" i="8"/>
  <c r="M849" i="8"/>
  <c r="I849" i="8"/>
  <c r="H850" i="8"/>
  <c r="J850" i="8"/>
  <c r="K850" i="8"/>
  <c r="L850" i="8"/>
  <c r="M850" i="8"/>
  <c r="I850" i="8"/>
  <c r="H851" i="8"/>
  <c r="J851" i="8"/>
  <c r="K851" i="8"/>
  <c r="L851" i="8"/>
  <c r="M851" i="8"/>
  <c r="I851" i="8"/>
  <c r="H852" i="8"/>
  <c r="J852" i="8"/>
  <c r="K852" i="8"/>
  <c r="L852" i="8"/>
  <c r="M852" i="8"/>
  <c r="I852" i="8"/>
  <c r="H853" i="8"/>
  <c r="J853" i="8"/>
  <c r="K853" i="8"/>
  <c r="L853" i="8"/>
  <c r="M853" i="8"/>
  <c r="I853" i="8"/>
  <c r="H854" i="8"/>
  <c r="J854" i="8"/>
  <c r="K854" i="8"/>
  <c r="L854" i="8"/>
  <c r="M854" i="8"/>
  <c r="I854" i="8"/>
  <c r="H855" i="8"/>
  <c r="J855" i="8"/>
  <c r="K855" i="8"/>
  <c r="L855" i="8"/>
  <c r="M855" i="8"/>
  <c r="I855" i="8"/>
  <c r="H856" i="8"/>
  <c r="J856" i="8"/>
  <c r="K856" i="8"/>
  <c r="L856" i="8"/>
  <c r="M856" i="8"/>
  <c r="I856" i="8"/>
  <c r="H857" i="8"/>
  <c r="J857" i="8"/>
  <c r="K857" i="8"/>
  <c r="L857" i="8"/>
  <c r="M857" i="8"/>
  <c r="I857" i="8"/>
  <c r="H858" i="8"/>
  <c r="J858" i="8"/>
  <c r="K858" i="8"/>
  <c r="L858" i="8"/>
  <c r="M858" i="8"/>
  <c r="I858" i="8"/>
  <c r="H859" i="8"/>
  <c r="J859" i="8"/>
  <c r="K859" i="8"/>
  <c r="L859" i="8"/>
  <c r="M859" i="8"/>
  <c r="I859" i="8"/>
  <c r="H860" i="8"/>
  <c r="J860" i="8"/>
  <c r="K860" i="8"/>
  <c r="L860" i="8"/>
  <c r="M860" i="8"/>
  <c r="I860" i="8"/>
  <c r="H861" i="8"/>
  <c r="J861" i="8"/>
  <c r="K861" i="8"/>
  <c r="L861" i="8"/>
  <c r="M861" i="8"/>
  <c r="I861" i="8"/>
  <c r="H862" i="8"/>
  <c r="J862" i="8"/>
  <c r="K862" i="8"/>
  <c r="L862" i="8"/>
  <c r="M862" i="8"/>
  <c r="I862" i="8"/>
  <c r="H863" i="8"/>
  <c r="J863" i="8"/>
  <c r="K863" i="8"/>
  <c r="L863" i="8"/>
  <c r="M863" i="8"/>
  <c r="I863" i="8"/>
  <c r="H864" i="8"/>
  <c r="J864" i="8"/>
  <c r="K864" i="8"/>
  <c r="L864" i="8"/>
  <c r="M864" i="8"/>
  <c r="I864" i="8"/>
  <c r="H865" i="8"/>
  <c r="J865" i="8"/>
  <c r="K865" i="8"/>
  <c r="L865" i="8"/>
  <c r="M865" i="8"/>
  <c r="I865" i="8"/>
  <c r="H866" i="8"/>
  <c r="J866" i="8"/>
  <c r="K866" i="8"/>
  <c r="L866" i="8"/>
  <c r="M866" i="8"/>
  <c r="I866" i="8"/>
  <c r="H867" i="8"/>
  <c r="J867" i="8"/>
  <c r="K867" i="8"/>
  <c r="L867" i="8"/>
  <c r="M867" i="8"/>
  <c r="I867" i="8"/>
  <c r="H868" i="8"/>
  <c r="J868" i="8"/>
  <c r="K868" i="8"/>
  <c r="L868" i="8"/>
  <c r="M868" i="8"/>
  <c r="I868" i="8"/>
  <c r="H869" i="8"/>
  <c r="J869" i="8"/>
  <c r="K869" i="8"/>
  <c r="L869" i="8"/>
  <c r="M869" i="8"/>
  <c r="I869" i="8"/>
  <c r="H870" i="8"/>
  <c r="J870" i="8"/>
  <c r="K870" i="8"/>
  <c r="L870" i="8"/>
  <c r="M870" i="8"/>
  <c r="I870" i="8"/>
  <c r="H871" i="8"/>
  <c r="J871" i="8"/>
  <c r="K871" i="8"/>
  <c r="L871" i="8"/>
  <c r="M871" i="8"/>
  <c r="I871" i="8"/>
  <c r="H872" i="8"/>
  <c r="J872" i="8"/>
  <c r="K872" i="8"/>
  <c r="L872" i="8"/>
  <c r="M872" i="8"/>
  <c r="I872" i="8"/>
  <c r="H873" i="8"/>
  <c r="J873" i="8"/>
  <c r="K873" i="8"/>
  <c r="L873" i="8"/>
  <c r="M873" i="8"/>
  <c r="I873" i="8"/>
  <c r="H874" i="8"/>
  <c r="J874" i="8"/>
  <c r="K874" i="8"/>
  <c r="L874" i="8"/>
  <c r="M874" i="8"/>
  <c r="I874" i="8"/>
  <c r="H875" i="8"/>
  <c r="J875" i="8"/>
  <c r="K875" i="8"/>
  <c r="L875" i="8"/>
  <c r="M875" i="8"/>
  <c r="I875" i="8"/>
  <c r="H876" i="8"/>
  <c r="J876" i="8"/>
  <c r="K876" i="8"/>
  <c r="L876" i="8"/>
  <c r="M876" i="8"/>
  <c r="I876" i="8"/>
  <c r="H877" i="8"/>
  <c r="J877" i="8"/>
  <c r="K877" i="8"/>
  <c r="L877" i="8"/>
  <c r="M877" i="8"/>
  <c r="I877" i="8"/>
  <c r="H878" i="8"/>
  <c r="J878" i="8"/>
  <c r="K878" i="8"/>
  <c r="L878" i="8"/>
  <c r="M878" i="8"/>
  <c r="I878" i="8"/>
  <c r="H879" i="8"/>
  <c r="J879" i="8"/>
  <c r="K879" i="8"/>
  <c r="L879" i="8"/>
  <c r="M879" i="8"/>
  <c r="I879" i="8"/>
  <c r="H880" i="8"/>
  <c r="J880" i="8"/>
  <c r="K880" i="8"/>
  <c r="L880" i="8"/>
  <c r="M880" i="8"/>
  <c r="I880" i="8"/>
  <c r="H881" i="8"/>
  <c r="J881" i="8"/>
  <c r="K881" i="8"/>
  <c r="L881" i="8"/>
  <c r="M881" i="8"/>
  <c r="I881" i="8"/>
  <c r="H882" i="8"/>
  <c r="J882" i="8"/>
  <c r="K882" i="8"/>
  <c r="L882" i="8"/>
  <c r="M882" i="8"/>
  <c r="I882" i="8"/>
  <c r="H883" i="8"/>
  <c r="J883" i="8"/>
  <c r="K883" i="8"/>
  <c r="L883" i="8"/>
  <c r="M883" i="8"/>
  <c r="I883" i="8"/>
  <c r="H884" i="8"/>
  <c r="J884" i="8"/>
  <c r="K884" i="8"/>
  <c r="L884" i="8"/>
  <c r="M884" i="8"/>
  <c r="I884" i="8"/>
  <c r="H885" i="8"/>
  <c r="J885" i="8"/>
  <c r="K885" i="8"/>
  <c r="L885" i="8"/>
  <c r="M885" i="8"/>
  <c r="I885" i="8"/>
  <c r="H886" i="8"/>
  <c r="J886" i="8"/>
  <c r="K886" i="8"/>
  <c r="L886" i="8"/>
  <c r="M886" i="8"/>
  <c r="I886" i="8"/>
  <c r="H887" i="8"/>
  <c r="J887" i="8"/>
  <c r="K887" i="8"/>
  <c r="L887" i="8"/>
  <c r="M887" i="8"/>
  <c r="I887" i="8"/>
  <c r="H888" i="8"/>
  <c r="J888" i="8"/>
  <c r="K888" i="8"/>
  <c r="L888" i="8"/>
  <c r="M888" i="8"/>
  <c r="I888" i="8"/>
  <c r="H889" i="8"/>
  <c r="J889" i="8"/>
  <c r="K889" i="8"/>
  <c r="L889" i="8"/>
  <c r="M889" i="8"/>
  <c r="I889" i="8"/>
  <c r="H890" i="8"/>
  <c r="J890" i="8"/>
  <c r="K890" i="8"/>
  <c r="L890" i="8"/>
  <c r="M890" i="8"/>
  <c r="I890" i="8"/>
  <c r="H891" i="8"/>
  <c r="J891" i="8"/>
  <c r="K891" i="8"/>
  <c r="L891" i="8"/>
  <c r="M891" i="8"/>
  <c r="I891" i="8"/>
  <c r="H892" i="8"/>
  <c r="J892" i="8"/>
  <c r="K892" i="8"/>
  <c r="L892" i="8"/>
  <c r="M892" i="8"/>
  <c r="I892" i="8"/>
  <c r="H893" i="8"/>
  <c r="J893" i="8"/>
  <c r="K893" i="8"/>
  <c r="L893" i="8"/>
  <c r="M893" i="8"/>
  <c r="I893" i="8"/>
  <c r="H894" i="8"/>
  <c r="J894" i="8"/>
  <c r="K894" i="8"/>
  <c r="L894" i="8"/>
  <c r="M894" i="8"/>
  <c r="I894" i="8"/>
  <c r="H895" i="8"/>
  <c r="J895" i="8"/>
  <c r="K895" i="8"/>
  <c r="L895" i="8"/>
  <c r="M895" i="8"/>
  <c r="I895" i="8"/>
  <c r="H896" i="8"/>
  <c r="J896" i="8"/>
  <c r="K896" i="8"/>
  <c r="L896" i="8"/>
  <c r="M896" i="8"/>
  <c r="I896" i="8"/>
  <c r="H897" i="8"/>
  <c r="J897" i="8"/>
  <c r="K897" i="8"/>
  <c r="L897" i="8"/>
  <c r="M897" i="8"/>
  <c r="I897" i="8"/>
  <c r="H898" i="8"/>
  <c r="J898" i="8"/>
  <c r="K898" i="8"/>
  <c r="L898" i="8"/>
  <c r="M898" i="8"/>
  <c r="I898" i="8"/>
  <c r="H899" i="8"/>
  <c r="J899" i="8"/>
  <c r="K899" i="8"/>
  <c r="L899" i="8"/>
  <c r="M899" i="8"/>
  <c r="I899" i="8"/>
  <c r="H900" i="8"/>
  <c r="J900" i="8"/>
  <c r="K900" i="8"/>
  <c r="L900" i="8"/>
  <c r="M900" i="8"/>
  <c r="I900" i="8"/>
  <c r="H901" i="8"/>
  <c r="J901" i="8"/>
  <c r="K901" i="8"/>
  <c r="L901" i="8"/>
  <c r="M901" i="8"/>
  <c r="I901" i="8"/>
  <c r="H902" i="8"/>
  <c r="J902" i="8"/>
  <c r="K902" i="8"/>
  <c r="L902" i="8"/>
  <c r="M902" i="8"/>
  <c r="I902" i="8"/>
  <c r="H903" i="8"/>
  <c r="J903" i="8"/>
  <c r="K903" i="8"/>
  <c r="L903" i="8"/>
  <c r="M903" i="8"/>
  <c r="I903" i="8"/>
  <c r="H904" i="8"/>
  <c r="J904" i="8"/>
  <c r="K904" i="8"/>
  <c r="L904" i="8"/>
  <c r="M904" i="8"/>
  <c r="I904" i="8"/>
  <c r="H905" i="8"/>
  <c r="J905" i="8"/>
  <c r="K905" i="8"/>
  <c r="L905" i="8"/>
  <c r="M905" i="8"/>
  <c r="I905" i="8"/>
  <c r="H906" i="8"/>
  <c r="J906" i="8"/>
  <c r="K906" i="8"/>
  <c r="L906" i="8"/>
  <c r="M906" i="8"/>
  <c r="I906" i="8"/>
  <c r="H907" i="8"/>
  <c r="J907" i="8"/>
  <c r="K907" i="8"/>
  <c r="L907" i="8"/>
  <c r="M907" i="8"/>
  <c r="I907" i="8"/>
  <c r="H908" i="8"/>
  <c r="J908" i="8"/>
  <c r="K908" i="8"/>
  <c r="L908" i="8"/>
  <c r="M908" i="8"/>
  <c r="I908" i="8"/>
  <c r="H909" i="8"/>
  <c r="J909" i="8"/>
  <c r="K909" i="8"/>
  <c r="L909" i="8"/>
  <c r="M909" i="8"/>
  <c r="I909" i="8"/>
  <c r="H910" i="8"/>
  <c r="J910" i="8"/>
  <c r="K910" i="8"/>
  <c r="L910" i="8"/>
  <c r="M910" i="8"/>
  <c r="I910" i="8"/>
  <c r="H911" i="8"/>
  <c r="J911" i="8"/>
  <c r="K911" i="8"/>
  <c r="L911" i="8"/>
  <c r="M911" i="8"/>
  <c r="I911" i="8"/>
  <c r="H912" i="8"/>
  <c r="J912" i="8"/>
  <c r="K912" i="8"/>
  <c r="L912" i="8"/>
  <c r="M912" i="8"/>
  <c r="I912" i="8"/>
  <c r="H913" i="8"/>
  <c r="J913" i="8"/>
  <c r="K913" i="8"/>
  <c r="L913" i="8"/>
  <c r="M913" i="8"/>
  <c r="I913" i="8"/>
  <c r="H914" i="8"/>
  <c r="J914" i="8"/>
  <c r="K914" i="8"/>
  <c r="L914" i="8"/>
  <c r="M914" i="8"/>
  <c r="I914" i="8"/>
  <c r="H915" i="8"/>
  <c r="J915" i="8"/>
  <c r="K915" i="8"/>
  <c r="L915" i="8"/>
  <c r="M915" i="8"/>
  <c r="I915" i="8"/>
  <c r="H916" i="8"/>
  <c r="J916" i="8"/>
  <c r="K916" i="8"/>
  <c r="L916" i="8"/>
  <c r="M916" i="8"/>
  <c r="I916" i="8"/>
  <c r="H917" i="8"/>
  <c r="J917" i="8"/>
  <c r="K917" i="8"/>
  <c r="L917" i="8"/>
  <c r="M917" i="8"/>
  <c r="I917" i="8"/>
  <c r="H918" i="8"/>
  <c r="J918" i="8"/>
  <c r="K918" i="8"/>
  <c r="L918" i="8"/>
  <c r="M918" i="8"/>
  <c r="I918" i="8"/>
  <c r="H919" i="8"/>
  <c r="J919" i="8"/>
  <c r="K919" i="8"/>
  <c r="L919" i="8"/>
  <c r="M919" i="8"/>
  <c r="I919" i="8"/>
  <c r="H920" i="8"/>
  <c r="J920" i="8"/>
  <c r="K920" i="8"/>
  <c r="L920" i="8"/>
  <c r="M920" i="8"/>
  <c r="I920" i="8"/>
  <c r="H921" i="8"/>
  <c r="J921" i="8"/>
  <c r="K921" i="8"/>
  <c r="L921" i="8"/>
  <c r="M921" i="8"/>
  <c r="I921" i="8"/>
  <c r="H922" i="8"/>
  <c r="J922" i="8"/>
  <c r="K922" i="8"/>
  <c r="L922" i="8"/>
  <c r="M922" i="8"/>
  <c r="I922" i="8"/>
  <c r="H923" i="8"/>
  <c r="J923" i="8"/>
  <c r="K923" i="8"/>
  <c r="L923" i="8"/>
  <c r="M923" i="8"/>
  <c r="I923" i="8"/>
  <c r="H924" i="8"/>
  <c r="J924" i="8"/>
  <c r="K924" i="8"/>
  <c r="L924" i="8"/>
  <c r="M924" i="8"/>
  <c r="I924" i="8"/>
  <c r="H925" i="8"/>
  <c r="J925" i="8"/>
  <c r="K925" i="8"/>
  <c r="L925" i="8"/>
  <c r="M925" i="8"/>
  <c r="I925" i="8"/>
  <c r="H926" i="8"/>
  <c r="J926" i="8"/>
  <c r="K926" i="8"/>
  <c r="L926" i="8"/>
  <c r="M926" i="8"/>
  <c r="I926" i="8"/>
  <c r="H927" i="8"/>
  <c r="J927" i="8"/>
  <c r="K927" i="8"/>
  <c r="L927" i="8"/>
  <c r="M927" i="8"/>
  <c r="I927" i="8"/>
  <c r="H928" i="8"/>
  <c r="J928" i="8"/>
  <c r="K928" i="8"/>
  <c r="L928" i="8"/>
  <c r="M928" i="8"/>
  <c r="I928" i="8"/>
  <c r="H929" i="8"/>
  <c r="J929" i="8"/>
  <c r="K929" i="8"/>
  <c r="L929" i="8"/>
  <c r="M929" i="8"/>
  <c r="I929" i="8"/>
  <c r="H930" i="8"/>
  <c r="J930" i="8"/>
  <c r="K930" i="8"/>
  <c r="L930" i="8"/>
  <c r="M930" i="8"/>
  <c r="I930" i="8"/>
  <c r="H931" i="8"/>
  <c r="J931" i="8"/>
  <c r="K931" i="8"/>
  <c r="L931" i="8"/>
  <c r="M931" i="8"/>
  <c r="I931" i="8"/>
  <c r="H932" i="8"/>
  <c r="J932" i="8"/>
  <c r="K932" i="8"/>
  <c r="L932" i="8"/>
  <c r="M932" i="8"/>
  <c r="I932" i="8"/>
  <c r="H933" i="8"/>
  <c r="J933" i="8"/>
  <c r="K933" i="8"/>
  <c r="L933" i="8"/>
  <c r="M933" i="8"/>
  <c r="I933" i="8"/>
  <c r="H934" i="8"/>
  <c r="J934" i="8"/>
  <c r="K934" i="8"/>
  <c r="L934" i="8"/>
  <c r="M934" i="8"/>
  <c r="I934" i="8"/>
  <c r="H935" i="8"/>
  <c r="J935" i="8"/>
  <c r="K935" i="8"/>
  <c r="L935" i="8"/>
  <c r="M935" i="8"/>
  <c r="I935" i="8"/>
  <c r="H936" i="8"/>
  <c r="J936" i="8"/>
  <c r="K936" i="8"/>
  <c r="L936" i="8"/>
  <c r="M936" i="8"/>
  <c r="I936" i="8"/>
  <c r="H937" i="8"/>
  <c r="J937" i="8"/>
  <c r="K937" i="8"/>
  <c r="L937" i="8"/>
  <c r="M937" i="8"/>
  <c r="I937" i="8"/>
  <c r="H938" i="8"/>
  <c r="J938" i="8"/>
  <c r="K938" i="8"/>
  <c r="L938" i="8"/>
  <c r="M938" i="8"/>
  <c r="I938" i="8"/>
  <c r="H939" i="8"/>
  <c r="J939" i="8"/>
  <c r="K939" i="8"/>
  <c r="L939" i="8"/>
  <c r="M939" i="8"/>
  <c r="I939" i="8"/>
  <c r="H940" i="8"/>
  <c r="J940" i="8"/>
  <c r="K940" i="8"/>
  <c r="L940" i="8"/>
  <c r="M940" i="8"/>
  <c r="I940" i="8"/>
  <c r="H941" i="8"/>
  <c r="J941" i="8"/>
  <c r="K941" i="8"/>
  <c r="L941" i="8"/>
  <c r="M941" i="8"/>
  <c r="I941" i="8"/>
  <c r="H942" i="8"/>
  <c r="J942" i="8"/>
  <c r="K942" i="8"/>
  <c r="L942" i="8"/>
  <c r="M942" i="8"/>
  <c r="I942" i="8"/>
  <c r="H943" i="8"/>
  <c r="J943" i="8"/>
  <c r="K943" i="8"/>
  <c r="L943" i="8"/>
  <c r="M943" i="8"/>
  <c r="I943" i="8"/>
  <c r="H944" i="8"/>
  <c r="J944" i="8"/>
  <c r="K944" i="8"/>
  <c r="L944" i="8"/>
  <c r="M944" i="8"/>
  <c r="I944" i="8"/>
  <c r="H945" i="8"/>
  <c r="J945" i="8"/>
  <c r="K945" i="8"/>
  <c r="L945" i="8"/>
  <c r="M945" i="8"/>
  <c r="I945" i="8"/>
  <c r="H946" i="8"/>
  <c r="J946" i="8"/>
  <c r="K946" i="8"/>
  <c r="L946" i="8"/>
  <c r="M946" i="8"/>
  <c r="I946" i="8"/>
  <c r="H947" i="8"/>
  <c r="J947" i="8"/>
  <c r="K947" i="8"/>
  <c r="L947" i="8"/>
  <c r="M947" i="8"/>
  <c r="I947" i="8"/>
  <c r="H948" i="8"/>
  <c r="J948" i="8"/>
  <c r="K948" i="8"/>
  <c r="L948" i="8"/>
  <c r="M948" i="8"/>
  <c r="I948" i="8"/>
  <c r="H949" i="8"/>
  <c r="J949" i="8"/>
  <c r="K949" i="8"/>
  <c r="L949" i="8"/>
  <c r="M949" i="8"/>
  <c r="I949" i="8"/>
  <c r="H950" i="8"/>
  <c r="J950" i="8"/>
  <c r="K950" i="8"/>
  <c r="L950" i="8"/>
  <c r="M950" i="8"/>
  <c r="I950" i="8"/>
  <c r="H951" i="8"/>
  <c r="J951" i="8"/>
  <c r="K951" i="8"/>
  <c r="L951" i="8"/>
  <c r="M951" i="8"/>
  <c r="I951" i="8"/>
  <c r="H952" i="8"/>
  <c r="J952" i="8"/>
  <c r="K952" i="8"/>
  <c r="L952" i="8"/>
  <c r="M952" i="8"/>
  <c r="I952" i="8"/>
  <c r="H953" i="8"/>
  <c r="J953" i="8"/>
  <c r="K953" i="8"/>
  <c r="L953" i="8"/>
  <c r="M953" i="8"/>
  <c r="I953" i="8"/>
  <c r="H954" i="8"/>
  <c r="J954" i="8"/>
  <c r="K954" i="8"/>
  <c r="L954" i="8"/>
  <c r="M954" i="8"/>
  <c r="I954" i="8"/>
  <c r="H955" i="8"/>
  <c r="J955" i="8"/>
  <c r="K955" i="8"/>
  <c r="L955" i="8"/>
  <c r="M955" i="8"/>
  <c r="I955" i="8"/>
  <c r="H956" i="8"/>
  <c r="J956" i="8"/>
  <c r="K956" i="8"/>
  <c r="L956" i="8"/>
  <c r="M956" i="8"/>
  <c r="I956" i="8"/>
  <c r="H957" i="8"/>
  <c r="J957" i="8"/>
  <c r="K957" i="8"/>
  <c r="L957" i="8"/>
  <c r="M957" i="8"/>
  <c r="I957" i="8"/>
  <c r="H958" i="8"/>
  <c r="J958" i="8"/>
  <c r="K958" i="8"/>
  <c r="L958" i="8"/>
  <c r="M958" i="8"/>
  <c r="I958" i="8"/>
  <c r="H959" i="8"/>
  <c r="J959" i="8"/>
  <c r="K959" i="8"/>
  <c r="L959" i="8"/>
  <c r="M959" i="8"/>
  <c r="I959" i="8"/>
  <c r="H960" i="8"/>
  <c r="J960" i="8"/>
  <c r="K960" i="8"/>
  <c r="L960" i="8"/>
  <c r="M960" i="8"/>
  <c r="I960" i="8"/>
  <c r="H961" i="8"/>
  <c r="J961" i="8"/>
  <c r="K961" i="8"/>
  <c r="L961" i="8"/>
  <c r="M961" i="8"/>
  <c r="I961" i="8"/>
  <c r="H962" i="8"/>
  <c r="J962" i="8"/>
  <c r="K962" i="8"/>
  <c r="L962" i="8"/>
  <c r="M962" i="8"/>
  <c r="I962" i="8"/>
  <c r="H963" i="8"/>
  <c r="J963" i="8"/>
  <c r="K963" i="8"/>
  <c r="L963" i="8"/>
  <c r="M963" i="8"/>
  <c r="I963" i="8"/>
  <c r="H964" i="8"/>
  <c r="J964" i="8"/>
  <c r="K964" i="8"/>
  <c r="L964" i="8"/>
  <c r="M964" i="8"/>
  <c r="I964" i="8"/>
  <c r="H965" i="8"/>
  <c r="J965" i="8"/>
  <c r="K965" i="8"/>
  <c r="L965" i="8"/>
  <c r="M965" i="8"/>
  <c r="I965" i="8"/>
  <c r="H966" i="8"/>
  <c r="J966" i="8"/>
  <c r="K966" i="8"/>
  <c r="L966" i="8"/>
  <c r="M966" i="8"/>
  <c r="I966" i="8"/>
  <c r="H967" i="8"/>
  <c r="J967" i="8"/>
  <c r="K967" i="8"/>
  <c r="L967" i="8"/>
  <c r="M967" i="8"/>
  <c r="I967" i="8"/>
  <c r="H968" i="8"/>
  <c r="J968" i="8"/>
  <c r="K968" i="8"/>
  <c r="L968" i="8"/>
  <c r="M968" i="8"/>
  <c r="I968" i="8"/>
  <c r="H969" i="8"/>
  <c r="J969" i="8"/>
  <c r="K969" i="8"/>
  <c r="L969" i="8"/>
  <c r="M969" i="8"/>
  <c r="I969" i="8"/>
  <c r="H970" i="8"/>
  <c r="J970" i="8"/>
  <c r="K970" i="8"/>
  <c r="L970" i="8"/>
  <c r="M970" i="8"/>
  <c r="I970" i="8"/>
  <c r="H971" i="8"/>
  <c r="J971" i="8"/>
  <c r="K971" i="8"/>
  <c r="L971" i="8"/>
  <c r="M971" i="8"/>
  <c r="I971" i="8"/>
  <c r="H972" i="8"/>
  <c r="J972" i="8"/>
  <c r="K972" i="8"/>
  <c r="L972" i="8"/>
  <c r="M972" i="8"/>
  <c r="I972" i="8"/>
  <c r="H973" i="8"/>
  <c r="J973" i="8"/>
  <c r="K973" i="8"/>
  <c r="L973" i="8"/>
  <c r="M973" i="8"/>
  <c r="I973" i="8"/>
  <c r="H974" i="8"/>
  <c r="J974" i="8"/>
  <c r="K974" i="8"/>
  <c r="L974" i="8"/>
  <c r="M974" i="8"/>
  <c r="I974" i="8"/>
  <c r="H975" i="8"/>
  <c r="J975" i="8"/>
  <c r="K975" i="8"/>
  <c r="L975" i="8"/>
  <c r="M975" i="8"/>
  <c r="I975" i="8"/>
  <c r="H976" i="8"/>
  <c r="J976" i="8"/>
  <c r="K976" i="8"/>
  <c r="L976" i="8"/>
  <c r="M976" i="8"/>
  <c r="I976" i="8"/>
  <c r="H977" i="8"/>
  <c r="J977" i="8"/>
  <c r="K977" i="8"/>
  <c r="L977" i="8"/>
  <c r="M977" i="8"/>
  <c r="I977" i="8"/>
  <c r="H978" i="8"/>
  <c r="J978" i="8"/>
  <c r="K978" i="8"/>
  <c r="L978" i="8"/>
  <c r="M978" i="8"/>
  <c r="I978" i="8"/>
  <c r="H979" i="8"/>
  <c r="J979" i="8"/>
  <c r="K979" i="8"/>
  <c r="L979" i="8"/>
  <c r="M979" i="8"/>
  <c r="I979" i="8"/>
  <c r="H980" i="8"/>
  <c r="J980" i="8"/>
  <c r="K980" i="8"/>
  <c r="L980" i="8"/>
  <c r="M980" i="8"/>
  <c r="I980" i="8"/>
  <c r="H981" i="8"/>
  <c r="J981" i="8"/>
  <c r="K981" i="8"/>
  <c r="L981" i="8"/>
  <c r="M981" i="8"/>
  <c r="I981" i="8"/>
  <c r="H982" i="8"/>
  <c r="J982" i="8"/>
  <c r="K982" i="8"/>
  <c r="L982" i="8"/>
  <c r="M982" i="8"/>
  <c r="I982" i="8"/>
  <c r="H983" i="8"/>
  <c r="J983" i="8"/>
  <c r="K983" i="8"/>
  <c r="L983" i="8"/>
  <c r="M983" i="8"/>
  <c r="I983" i="8"/>
  <c r="H984" i="8"/>
  <c r="J984" i="8"/>
  <c r="K984" i="8"/>
  <c r="L984" i="8"/>
  <c r="M984" i="8"/>
  <c r="I984" i="8"/>
  <c r="H985" i="8"/>
  <c r="J985" i="8"/>
  <c r="K985" i="8"/>
  <c r="L985" i="8"/>
  <c r="M985" i="8"/>
  <c r="I985" i="8"/>
  <c r="H986" i="8"/>
  <c r="J986" i="8"/>
  <c r="K986" i="8"/>
  <c r="L986" i="8"/>
  <c r="M986" i="8"/>
  <c r="I986" i="8"/>
  <c r="H987" i="8"/>
  <c r="J987" i="8"/>
  <c r="K987" i="8"/>
  <c r="L987" i="8"/>
  <c r="M987" i="8"/>
  <c r="I987" i="8"/>
  <c r="H988" i="8"/>
  <c r="J988" i="8"/>
  <c r="K988" i="8"/>
  <c r="L988" i="8"/>
  <c r="M988" i="8"/>
  <c r="I988" i="8"/>
  <c r="H989" i="8"/>
  <c r="J989" i="8"/>
  <c r="K989" i="8"/>
  <c r="L989" i="8"/>
  <c r="M989" i="8"/>
  <c r="I989" i="8"/>
  <c r="H990" i="8"/>
  <c r="J990" i="8"/>
  <c r="K990" i="8"/>
  <c r="L990" i="8"/>
  <c r="M990" i="8"/>
  <c r="I990" i="8"/>
  <c r="H991" i="8"/>
  <c r="J991" i="8"/>
  <c r="K991" i="8"/>
  <c r="L991" i="8"/>
  <c r="M991" i="8"/>
  <c r="I991" i="8"/>
  <c r="H992" i="8"/>
  <c r="J992" i="8"/>
  <c r="K992" i="8"/>
  <c r="L992" i="8"/>
  <c r="M992" i="8"/>
  <c r="I992" i="8"/>
  <c r="H993" i="8"/>
  <c r="J993" i="8"/>
  <c r="K993" i="8"/>
  <c r="L993" i="8"/>
  <c r="M993" i="8"/>
  <c r="I993" i="8"/>
  <c r="H994" i="8"/>
  <c r="J994" i="8"/>
  <c r="K994" i="8"/>
  <c r="L994" i="8"/>
  <c r="M994" i="8"/>
  <c r="I994" i="8"/>
  <c r="H995" i="8"/>
  <c r="J995" i="8"/>
  <c r="K995" i="8"/>
  <c r="L995" i="8"/>
  <c r="M995" i="8"/>
  <c r="I995" i="8"/>
  <c r="H996" i="8"/>
  <c r="J996" i="8"/>
  <c r="K996" i="8"/>
  <c r="L996" i="8"/>
  <c r="M996" i="8"/>
  <c r="I996" i="8"/>
  <c r="H997" i="8"/>
  <c r="J997" i="8"/>
  <c r="K997" i="8"/>
  <c r="L997" i="8"/>
  <c r="M997" i="8"/>
  <c r="I997" i="8"/>
  <c r="H998" i="8"/>
  <c r="J998" i="8"/>
  <c r="K998" i="8"/>
  <c r="L998" i="8"/>
  <c r="M998" i="8"/>
  <c r="I998" i="8"/>
  <c r="H999" i="8"/>
  <c r="J999" i="8"/>
  <c r="K999" i="8"/>
  <c r="L999" i="8"/>
  <c r="M999" i="8"/>
  <c r="I999" i="8"/>
  <c r="H1000" i="8"/>
  <c r="J1000" i="8"/>
  <c r="K1000" i="8"/>
  <c r="L1000" i="8"/>
  <c r="M1000" i="8"/>
  <c r="I1000" i="8"/>
  <c r="H1001" i="8"/>
  <c r="J1001" i="8"/>
  <c r="K1001" i="8"/>
  <c r="L1001" i="8"/>
  <c r="M1001" i="8"/>
  <c r="I1001" i="8"/>
  <c r="H1002" i="8"/>
  <c r="J1002" i="8"/>
  <c r="K1002" i="8"/>
  <c r="L1002" i="8"/>
  <c r="M1002" i="8"/>
  <c r="I1002" i="8"/>
  <c r="H1003" i="8"/>
  <c r="J1003" i="8"/>
  <c r="K1003" i="8"/>
  <c r="L1003" i="8"/>
  <c r="M1003" i="8"/>
  <c r="I1003" i="8"/>
  <c r="H1004" i="8"/>
  <c r="J1004" i="8"/>
  <c r="K1004" i="8"/>
  <c r="L1004" i="8"/>
  <c r="M1004" i="8"/>
  <c r="I1004" i="8"/>
  <c r="H1005" i="8"/>
  <c r="J1005" i="8"/>
  <c r="K1005" i="8"/>
  <c r="L1005" i="8"/>
  <c r="M1005" i="8"/>
  <c r="I1005" i="8"/>
  <c r="H1006" i="8"/>
  <c r="J1006" i="8"/>
  <c r="K1006" i="8"/>
  <c r="L1006" i="8"/>
  <c r="M1006" i="8"/>
  <c r="I1006" i="8"/>
  <c r="H1007" i="8"/>
  <c r="J1007" i="8"/>
  <c r="K1007" i="8"/>
  <c r="L1007" i="8"/>
  <c r="M1007" i="8"/>
  <c r="I1007" i="8"/>
  <c r="H1008" i="8"/>
  <c r="J1008" i="8"/>
  <c r="K1008" i="8"/>
  <c r="L1008" i="8"/>
  <c r="M1008" i="8"/>
  <c r="I1008" i="8"/>
  <c r="H1009" i="8"/>
  <c r="J1009" i="8"/>
  <c r="K1009" i="8"/>
  <c r="L1009" i="8"/>
  <c r="M1009" i="8"/>
  <c r="I1009" i="8"/>
  <c r="H1010" i="8"/>
  <c r="J1010" i="8"/>
  <c r="K1010" i="8"/>
  <c r="L1010" i="8"/>
  <c r="M1010" i="8"/>
  <c r="I1010" i="8"/>
  <c r="H1011" i="8"/>
  <c r="J1011" i="8"/>
  <c r="K1011" i="8"/>
  <c r="L1011" i="8"/>
  <c r="M1011" i="8"/>
  <c r="I1011" i="8"/>
  <c r="H1012" i="8"/>
  <c r="J1012" i="8"/>
  <c r="K1012" i="8"/>
  <c r="L1012" i="8"/>
  <c r="M1012" i="8"/>
  <c r="I1012" i="8"/>
  <c r="H1013" i="8"/>
  <c r="J1013" i="8"/>
  <c r="K1013" i="8"/>
  <c r="L1013" i="8"/>
  <c r="M1013" i="8"/>
  <c r="I1013" i="8"/>
  <c r="H1014" i="8"/>
  <c r="J1014" i="8"/>
  <c r="K1014" i="8"/>
  <c r="L1014" i="8"/>
  <c r="M1014" i="8"/>
  <c r="I1014" i="8"/>
  <c r="H1015" i="8"/>
  <c r="J1015" i="8"/>
  <c r="K1015" i="8"/>
  <c r="L1015" i="8"/>
  <c r="M1015" i="8"/>
  <c r="I1015" i="8"/>
  <c r="H1016" i="8"/>
  <c r="J1016" i="8"/>
  <c r="K1016" i="8"/>
  <c r="L1016" i="8"/>
  <c r="M1016" i="8"/>
  <c r="I1016" i="8"/>
  <c r="H1017" i="8"/>
  <c r="J1017" i="8"/>
  <c r="K1017" i="8"/>
  <c r="L1017" i="8"/>
  <c r="M1017" i="8"/>
  <c r="I1017" i="8"/>
  <c r="H1018" i="8"/>
  <c r="J1018" i="8"/>
  <c r="K1018" i="8"/>
  <c r="L1018" i="8"/>
  <c r="M1018" i="8"/>
  <c r="I1018" i="8"/>
  <c r="H1019" i="8"/>
  <c r="J1019" i="8"/>
  <c r="K1019" i="8"/>
  <c r="L1019" i="8"/>
  <c r="M1019" i="8"/>
  <c r="I1019" i="8"/>
  <c r="H1020" i="8"/>
  <c r="J1020" i="8"/>
  <c r="K1020" i="8"/>
  <c r="L1020" i="8"/>
  <c r="M1020" i="8"/>
  <c r="I1020" i="8"/>
  <c r="H1021" i="8"/>
  <c r="J1021" i="8"/>
  <c r="K1021" i="8"/>
  <c r="L1021" i="8"/>
  <c r="M1021" i="8"/>
  <c r="I1021" i="8"/>
  <c r="H1022" i="8"/>
  <c r="J1022" i="8"/>
  <c r="K1022" i="8"/>
  <c r="L1022" i="8"/>
  <c r="M1022" i="8"/>
  <c r="I1022" i="8"/>
  <c r="H1023" i="8"/>
  <c r="J1023" i="8"/>
  <c r="K1023" i="8"/>
  <c r="L1023" i="8"/>
  <c r="M1023" i="8"/>
  <c r="I1023" i="8"/>
  <c r="H1024" i="8"/>
  <c r="J1024" i="8"/>
  <c r="K1024" i="8"/>
  <c r="L1024" i="8"/>
  <c r="M1024" i="8"/>
  <c r="I1024" i="8"/>
  <c r="H1025" i="8"/>
  <c r="J1025" i="8"/>
  <c r="K1025" i="8"/>
  <c r="L1025" i="8"/>
  <c r="M1025" i="8"/>
  <c r="I1025" i="8"/>
  <c r="H1026" i="8"/>
  <c r="J1026" i="8"/>
  <c r="K1026" i="8"/>
  <c r="L1026" i="8"/>
  <c r="M1026" i="8"/>
  <c r="I1026" i="8"/>
  <c r="H1027" i="8"/>
  <c r="J1027" i="8"/>
  <c r="K1027" i="8"/>
  <c r="L1027" i="8"/>
  <c r="M1027" i="8"/>
  <c r="I1027" i="8"/>
  <c r="H1028" i="8"/>
  <c r="J1028" i="8"/>
  <c r="K1028" i="8"/>
  <c r="L1028" i="8"/>
  <c r="M1028" i="8"/>
  <c r="I1028" i="8"/>
  <c r="H1029" i="8"/>
  <c r="J1029" i="8"/>
  <c r="K1029" i="8"/>
  <c r="L1029" i="8"/>
  <c r="M1029" i="8"/>
  <c r="I1029" i="8"/>
  <c r="H1030" i="8"/>
  <c r="J1030" i="8"/>
  <c r="K1030" i="8"/>
  <c r="L1030" i="8"/>
  <c r="M1030" i="8"/>
  <c r="I1030" i="8"/>
  <c r="H1031" i="8"/>
  <c r="J1031" i="8"/>
  <c r="K1031" i="8"/>
  <c r="L1031" i="8"/>
  <c r="M1031" i="8"/>
  <c r="I1031" i="8"/>
  <c r="H1032" i="8"/>
  <c r="J1032" i="8"/>
  <c r="K1032" i="8"/>
  <c r="L1032" i="8"/>
  <c r="M1032" i="8"/>
  <c r="I1032" i="8"/>
  <c r="H1033" i="8"/>
  <c r="J1033" i="8"/>
  <c r="K1033" i="8"/>
  <c r="L1033" i="8"/>
  <c r="M1033" i="8"/>
  <c r="I1033" i="8"/>
  <c r="H1034" i="8"/>
  <c r="J1034" i="8"/>
  <c r="K1034" i="8"/>
  <c r="L1034" i="8"/>
  <c r="M1034" i="8"/>
  <c r="I1034" i="8"/>
  <c r="H1035" i="8"/>
  <c r="J1035" i="8"/>
  <c r="K1035" i="8"/>
  <c r="L1035" i="8"/>
  <c r="M1035" i="8"/>
  <c r="I1035" i="8"/>
  <c r="H1036" i="8"/>
  <c r="J1036" i="8"/>
  <c r="K1036" i="8"/>
  <c r="L1036" i="8"/>
  <c r="M1036" i="8"/>
  <c r="I1036" i="8"/>
  <c r="H1037" i="8"/>
  <c r="J1037" i="8"/>
  <c r="K1037" i="8"/>
  <c r="L1037" i="8"/>
  <c r="M1037" i="8"/>
  <c r="I1037" i="8"/>
  <c r="H1038" i="8"/>
  <c r="J1038" i="8"/>
  <c r="K1038" i="8"/>
  <c r="L1038" i="8"/>
  <c r="M1038" i="8"/>
  <c r="I1038" i="8"/>
  <c r="H1039" i="8"/>
  <c r="J1039" i="8"/>
  <c r="K1039" i="8"/>
  <c r="L1039" i="8"/>
  <c r="M1039" i="8"/>
  <c r="I1039" i="8"/>
  <c r="H1040" i="8"/>
  <c r="J1040" i="8"/>
  <c r="K1040" i="8"/>
  <c r="L1040" i="8"/>
  <c r="M1040" i="8"/>
  <c r="I1040" i="8"/>
  <c r="H1041" i="8"/>
  <c r="J1041" i="8"/>
  <c r="K1041" i="8"/>
  <c r="L1041" i="8"/>
  <c r="M1041" i="8"/>
  <c r="I1041" i="8"/>
  <c r="H1042" i="8"/>
  <c r="J1042" i="8"/>
  <c r="K1042" i="8"/>
  <c r="L1042" i="8"/>
  <c r="M1042" i="8"/>
  <c r="I1042" i="8"/>
  <c r="H1043" i="8"/>
  <c r="J1043" i="8"/>
  <c r="K1043" i="8"/>
  <c r="L1043" i="8"/>
  <c r="M1043" i="8"/>
  <c r="I1043" i="8"/>
  <c r="H1044" i="8"/>
  <c r="J1044" i="8"/>
  <c r="K1044" i="8"/>
  <c r="L1044" i="8"/>
  <c r="M1044" i="8"/>
  <c r="I1044" i="8"/>
  <c r="H1045" i="8"/>
  <c r="J1045" i="8"/>
  <c r="K1045" i="8"/>
  <c r="L1045" i="8"/>
  <c r="M1045" i="8"/>
  <c r="I1045" i="8"/>
  <c r="H1046" i="8"/>
  <c r="J1046" i="8"/>
  <c r="K1046" i="8"/>
  <c r="L1046" i="8"/>
  <c r="M1046" i="8"/>
  <c r="I1046" i="8"/>
  <c r="H1047" i="8"/>
  <c r="J1047" i="8"/>
  <c r="K1047" i="8"/>
  <c r="L1047" i="8"/>
  <c r="M1047" i="8"/>
  <c r="I1047" i="8"/>
  <c r="H1048" i="8"/>
  <c r="J1048" i="8"/>
  <c r="K1048" i="8"/>
  <c r="L1048" i="8"/>
  <c r="M1048" i="8"/>
  <c r="I1048" i="8"/>
  <c r="H1049" i="8"/>
  <c r="J1049" i="8"/>
  <c r="K1049" i="8"/>
  <c r="L1049" i="8"/>
  <c r="M1049" i="8"/>
  <c r="I1049" i="8"/>
  <c r="H1050" i="8"/>
  <c r="J1050" i="8"/>
  <c r="K1050" i="8"/>
  <c r="L1050" i="8"/>
  <c r="M1050" i="8"/>
  <c r="I1050" i="8"/>
  <c r="H1051" i="8"/>
  <c r="J1051" i="8"/>
  <c r="K1051" i="8"/>
  <c r="L1051" i="8"/>
  <c r="M1051" i="8"/>
  <c r="I1051" i="8"/>
  <c r="H1052" i="8"/>
  <c r="J1052" i="8"/>
  <c r="K1052" i="8"/>
  <c r="L1052" i="8"/>
  <c r="M1052" i="8"/>
  <c r="I1052" i="8"/>
  <c r="H1053" i="8"/>
  <c r="J1053" i="8"/>
  <c r="K1053" i="8"/>
  <c r="L1053" i="8"/>
  <c r="M1053" i="8"/>
  <c r="I1053" i="8"/>
  <c r="H1054" i="8"/>
  <c r="J1054" i="8"/>
  <c r="K1054" i="8"/>
  <c r="L1054" i="8"/>
  <c r="M1054" i="8"/>
  <c r="I1054" i="8"/>
  <c r="H1055" i="8"/>
  <c r="J1055" i="8"/>
  <c r="K1055" i="8"/>
  <c r="L1055" i="8"/>
  <c r="M1055" i="8"/>
  <c r="I1055" i="8"/>
  <c r="H1056" i="8"/>
  <c r="J1056" i="8"/>
  <c r="K1056" i="8"/>
  <c r="L1056" i="8"/>
  <c r="M1056" i="8"/>
  <c r="I1056" i="8"/>
  <c r="H1057" i="8"/>
  <c r="J1057" i="8"/>
  <c r="K1057" i="8"/>
  <c r="L1057" i="8"/>
  <c r="M1057" i="8"/>
  <c r="I1057" i="8"/>
  <c r="H1058" i="8"/>
  <c r="J1058" i="8"/>
  <c r="K1058" i="8"/>
  <c r="L1058" i="8"/>
  <c r="M1058" i="8"/>
  <c r="I1058" i="8"/>
  <c r="H1059" i="8"/>
  <c r="J1059" i="8"/>
  <c r="K1059" i="8"/>
  <c r="L1059" i="8"/>
  <c r="M1059" i="8"/>
  <c r="I1059" i="8"/>
  <c r="H1060" i="8"/>
  <c r="J1060" i="8"/>
  <c r="K1060" i="8"/>
  <c r="L1060" i="8"/>
  <c r="M1060" i="8"/>
  <c r="I1060" i="8"/>
  <c r="H1061" i="8"/>
  <c r="J1061" i="8"/>
  <c r="K1061" i="8"/>
  <c r="L1061" i="8"/>
  <c r="M1061" i="8"/>
  <c r="I1061" i="8"/>
  <c r="H1062" i="8"/>
  <c r="J1062" i="8"/>
  <c r="K1062" i="8"/>
  <c r="L1062" i="8"/>
  <c r="M1062" i="8"/>
  <c r="I1062" i="8"/>
  <c r="H1063" i="8"/>
  <c r="J1063" i="8"/>
  <c r="K1063" i="8"/>
  <c r="L1063" i="8"/>
  <c r="M1063" i="8"/>
  <c r="I1063" i="8"/>
  <c r="H1064" i="8"/>
  <c r="J1064" i="8"/>
  <c r="K1064" i="8"/>
  <c r="L1064" i="8"/>
  <c r="M1064" i="8"/>
  <c r="I1064" i="8"/>
  <c r="H1065" i="8"/>
  <c r="J1065" i="8"/>
  <c r="K1065" i="8"/>
  <c r="L1065" i="8"/>
  <c r="M1065" i="8"/>
  <c r="I1065" i="8"/>
  <c r="H1066" i="8"/>
  <c r="J1066" i="8"/>
  <c r="K1066" i="8"/>
  <c r="L1066" i="8"/>
  <c r="M1066" i="8"/>
  <c r="I1066" i="8"/>
  <c r="H1067" i="8"/>
  <c r="J1067" i="8"/>
  <c r="K1067" i="8"/>
  <c r="L1067" i="8"/>
  <c r="M1067" i="8"/>
  <c r="I1067" i="8"/>
  <c r="H1068" i="8"/>
  <c r="J1068" i="8"/>
  <c r="K1068" i="8"/>
  <c r="L1068" i="8"/>
  <c r="M1068" i="8"/>
  <c r="I1068" i="8"/>
  <c r="H1069" i="8"/>
  <c r="J1069" i="8"/>
  <c r="K1069" i="8"/>
  <c r="L1069" i="8"/>
  <c r="M1069" i="8"/>
  <c r="I1069" i="8"/>
  <c r="H1070" i="8"/>
  <c r="J1070" i="8"/>
  <c r="K1070" i="8"/>
  <c r="L1070" i="8"/>
  <c r="M1070" i="8"/>
  <c r="I1070" i="8"/>
  <c r="H1071" i="8"/>
  <c r="J1071" i="8"/>
  <c r="K1071" i="8"/>
  <c r="L1071" i="8"/>
  <c r="M1071" i="8"/>
  <c r="I1071" i="8"/>
  <c r="H1072" i="8"/>
  <c r="J1072" i="8"/>
  <c r="K1072" i="8"/>
  <c r="L1072" i="8"/>
  <c r="M1072" i="8"/>
  <c r="I1072" i="8"/>
  <c r="H1073" i="8"/>
  <c r="J1073" i="8"/>
  <c r="K1073" i="8"/>
  <c r="L1073" i="8"/>
  <c r="M1073" i="8"/>
  <c r="I1073" i="8"/>
  <c r="H1074" i="8"/>
  <c r="J1074" i="8"/>
  <c r="K1074" i="8"/>
  <c r="L1074" i="8"/>
  <c r="M1074" i="8"/>
  <c r="I1074" i="8"/>
  <c r="H1075" i="8"/>
  <c r="J1075" i="8"/>
  <c r="K1075" i="8"/>
  <c r="L1075" i="8"/>
  <c r="M1075" i="8"/>
  <c r="I1075" i="8"/>
  <c r="H1076" i="8"/>
  <c r="J1076" i="8"/>
  <c r="K1076" i="8"/>
  <c r="L1076" i="8"/>
  <c r="M1076" i="8"/>
  <c r="I1076" i="8"/>
  <c r="H1077" i="8"/>
  <c r="J1077" i="8"/>
  <c r="K1077" i="8"/>
  <c r="L1077" i="8"/>
  <c r="M1077" i="8"/>
  <c r="I1077" i="8"/>
  <c r="H1078" i="8"/>
  <c r="J1078" i="8"/>
  <c r="K1078" i="8"/>
  <c r="L1078" i="8"/>
  <c r="M1078" i="8"/>
  <c r="I1078" i="8"/>
  <c r="H1079" i="8"/>
  <c r="J1079" i="8"/>
  <c r="K1079" i="8"/>
  <c r="L1079" i="8"/>
  <c r="M1079" i="8"/>
  <c r="I1079" i="8"/>
  <c r="H1080" i="8"/>
  <c r="J1080" i="8"/>
  <c r="K1080" i="8"/>
  <c r="L1080" i="8"/>
  <c r="M1080" i="8"/>
  <c r="I1080" i="8"/>
  <c r="H1081" i="8"/>
  <c r="J1081" i="8"/>
  <c r="K1081" i="8"/>
  <c r="L1081" i="8"/>
  <c r="M1081" i="8"/>
  <c r="I1081" i="8"/>
  <c r="H1082" i="8"/>
  <c r="J1082" i="8"/>
  <c r="K1082" i="8"/>
  <c r="L1082" i="8"/>
  <c r="M1082" i="8"/>
  <c r="I1082" i="8"/>
  <c r="H1083" i="8"/>
  <c r="J1083" i="8"/>
  <c r="K1083" i="8"/>
  <c r="L1083" i="8"/>
  <c r="M1083" i="8"/>
  <c r="I1083" i="8"/>
  <c r="H1084" i="8"/>
  <c r="J1084" i="8"/>
  <c r="K1084" i="8"/>
  <c r="L1084" i="8"/>
  <c r="M1084" i="8"/>
  <c r="I1084" i="8"/>
  <c r="H1085" i="8"/>
  <c r="J1085" i="8"/>
  <c r="K1085" i="8"/>
  <c r="L1085" i="8"/>
  <c r="M1085" i="8"/>
  <c r="I1085" i="8"/>
  <c r="H1086" i="8"/>
  <c r="J1086" i="8"/>
  <c r="K1086" i="8"/>
  <c r="L1086" i="8"/>
  <c r="M1086" i="8"/>
  <c r="I1086" i="8"/>
  <c r="H1087" i="8"/>
  <c r="J1087" i="8"/>
  <c r="K1087" i="8"/>
  <c r="L1087" i="8"/>
  <c r="M1087" i="8"/>
  <c r="I1087" i="8"/>
  <c r="H1088" i="8"/>
  <c r="J1088" i="8"/>
  <c r="K1088" i="8"/>
  <c r="L1088" i="8"/>
  <c r="M1088" i="8"/>
  <c r="I1088" i="8"/>
  <c r="H1089" i="8"/>
  <c r="J1089" i="8"/>
  <c r="K1089" i="8"/>
  <c r="L1089" i="8"/>
  <c r="M1089" i="8"/>
  <c r="I1089" i="8"/>
  <c r="H1090" i="8"/>
  <c r="J1090" i="8"/>
  <c r="K1090" i="8"/>
  <c r="L1090" i="8"/>
  <c r="M1090" i="8"/>
  <c r="I1090" i="8"/>
  <c r="H1091" i="8"/>
  <c r="J1091" i="8"/>
  <c r="K1091" i="8"/>
  <c r="L1091" i="8"/>
  <c r="M1091" i="8"/>
  <c r="I1091" i="8"/>
  <c r="H1092" i="8"/>
  <c r="J1092" i="8"/>
  <c r="K1092" i="8"/>
  <c r="L1092" i="8"/>
  <c r="M1092" i="8"/>
  <c r="I1092" i="8"/>
  <c r="H1093" i="8"/>
  <c r="J1093" i="8"/>
  <c r="K1093" i="8"/>
  <c r="L1093" i="8"/>
  <c r="M1093" i="8"/>
  <c r="I1093" i="8"/>
  <c r="H1094" i="8"/>
  <c r="J1094" i="8"/>
  <c r="K1094" i="8"/>
  <c r="L1094" i="8"/>
  <c r="M1094" i="8"/>
  <c r="I1094" i="8"/>
  <c r="H1095" i="8"/>
  <c r="J1095" i="8"/>
  <c r="K1095" i="8"/>
  <c r="L1095" i="8"/>
  <c r="M1095" i="8"/>
  <c r="I1095" i="8"/>
  <c r="H1096" i="8"/>
  <c r="J1096" i="8"/>
  <c r="K1096" i="8"/>
  <c r="L1096" i="8"/>
  <c r="M1096" i="8"/>
  <c r="I1096" i="8"/>
  <c r="H1097" i="8"/>
  <c r="J1097" i="8"/>
  <c r="K1097" i="8"/>
  <c r="L1097" i="8"/>
  <c r="M1097" i="8"/>
  <c r="I1097" i="8"/>
  <c r="H1098" i="8"/>
  <c r="J1098" i="8"/>
  <c r="K1098" i="8"/>
  <c r="L1098" i="8"/>
  <c r="M1098" i="8"/>
  <c r="I1098" i="8"/>
  <c r="H1099" i="8"/>
  <c r="J1099" i="8"/>
  <c r="K1099" i="8"/>
  <c r="L1099" i="8"/>
  <c r="M1099" i="8"/>
  <c r="I1099" i="8"/>
  <c r="H1100" i="8"/>
  <c r="J1100" i="8"/>
  <c r="K1100" i="8"/>
  <c r="L1100" i="8"/>
  <c r="M1100" i="8"/>
  <c r="I1100" i="8"/>
  <c r="H1101" i="8"/>
  <c r="J1101" i="8"/>
  <c r="K1101" i="8"/>
  <c r="L1101" i="8"/>
  <c r="M1101" i="8"/>
  <c r="I1101" i="8"/>
  <c r="H1102" i="8"/>
  <c r="J1102" i="8"/>
  <c r="K1102" i="8"/>
  <c r="L1102" i="8"/>
  <c r="M1102" i="8"/>
  <c r="I1102" i="8"/>
  <c r="H1103" i="8"/>
  <c r="J1103" i="8"/>
  <c r="K1103" i="8"/>
  <c r="L1103" i="8"/>
  <c r="M1103" i="8"/>
  <c r="I1103" i="8"/>
  <c r="H1104" i="8"/>
  <c r="J1104" i="8"/>
  <c r="K1104" i="8"/>
  <c r="L1104" i="8"/>
  <c r="M1104" i="8"/>
  <c r="I1104" i="8"/>
  <c r="H1105" i="8"/>
  <c r="J1105" i="8"/>
  <c r="K1105" i="8"/>
  <c r="L1105" i="8"/>
  <c r="M1105" i="8"/>
  <c r="I1105" i="8"/>
  <c r="H1106" i="8"/>
  <c r="J1106" i="8"/>
  <c r="K1106" i="8"/>
  <c r="L1106" i="8"/>
  <c r="M1106" i="8"/>
  <c r="I1106" i="8"/>
  <c r="H1107" i="8"/>
  <c r="J1107" i="8"/>
  <c r="K1107" i="8"/>
  <c r="L1107" i="8"/>
  <c r="M1107" i="8"/>
  <c r="I1107" i="8"/>
  <c r="H1108" i="8"/>
  <c r="J1108" i="8"/>
  <c r="K1108" i="8"/>
  <c r="L1108" i="8"/>
  <c r="M1108" i="8"/>
  <c r="I1108" i="8"/>
  <c r="H1109" i="8"/>
  <c r="J1109" i="8"/>
  <c r="K1109" i="8"/>
  <c r="L1109" i="8"/>
  <c r="M1109" i="8"/>
  <c r="I1109" i="8"/>
  <c r="H1110" i="8"/>
  <c r="J1110" i="8"/>
  <c r="K1110" i="8"/>
  <c r="L1110" i="8"/>
  <c r="M1110" i="8"/>
  <c r="I1110" i="8"/>
  <c r="H1111" i="8"/>
  <c r="J1111" i="8"/>
  <c r="K1111" i="8"/>
  <c r="L1111" i="8"/>
  <c r="M1111" i="8"/>
  <c r="I1111" i="8"/>
  <c r="H1112" i="8"/>
  <c r="J1112" i="8"/>
  <c r="K1112" i="8"/>
  <c r="L1112" i="8"/>
  <c r="M1112" i="8"/>
  <c r="I1112" i="8"/>
  <c r="H1113" i="8"/>
  <c r="J1113" i="8"/>
  <c r="K1113" i="8"/>
  <c r="L1113" i="8"/>
  <c r="M1113" i="8"/>
  <c r="I1113" i="8"/>
  <c r="H1114" i="8"/>
  <c r="J1114" i="8"/>
  <c r="K1114" i="8"/>
  <c r="L1114" i="8"/>
  <c r="M1114" i="8"/>
  <c r="I1114" i="8"/>
  <c r="H1115" i="8"/>
  <c r="J1115" i="8"/>
  <c r="K1115" i="8"/>
  <c r="L1115" i="8"/>
  <c r="M1115" i="8"/>
  <c r="I1115" i="8"/>
  <c r="H1116" i="8"/>
  <c r="J1116" i="8"/>
  <c r="K1116" i="8"/>
  <c r="L1116" i="8"/>
  <c r="M1116" i="8"/>
  <c r="I1116" i="8"/>
  <c r="H1117" i="8"/>
  <c r="J1117" i="8"/>
  <c r="K1117" i="8"/>
  <c r="L1117" i="8"/>
  <c r="M1117" i="8"/>
  <c r="I1117" i="8"/>
  <c r="H1118" i="8"/>
  <c r="J1118" i="8"/>
  <c r="K1118" i="8"/>
  <c r="L1118" i="8"/>
  <c r="M1118" i="8"/>
  <c r="I1118" i="8"/>
  <c r="H1119" i="8"/>
  <c r="J1119" i="8"/>
  <c r="K1119" i="8"/>
  <c r="L1119" i="8"/>
  <c r="M1119" i="8"/>
  <c r="I1119" i="8"/>
  <c r="H1120" i="8"/>
  <c r="J1120" i="8"/>
  <c r="K1120" i="8"/>
  <c r="L1120" i="8"/>
  <c r="M1120" i="8"/>
  <c r="I1120" i="8"/>
  <c r="H1121" i="8"/>
  <c r="J1121" i="8"/>
  <c r="K1121" i="8"/>
  <c r="L1121" i="8"/>
  <c r="M1121" i="8"/>
  <c r="I1121" i="8"/>
  <c r="H1122" i="8"/>
  <c r="J1122" i="8"/>
  <c r="K1122" i="8"/>
  <c r="L1122" i="8"/>
  <c r="M1122" i="8"/>
  <c r="I1122" i="8"/>
  <c r="H1123" i="8"/>
  <c r="J1123" i="8"/>
  <c r="K1123" i="8"/>
  <c r="L1123" i="8"/>
  <c r="M1123" i="8"/>
  <c r="I1123" i="8"/>
  <c r="H1124" i="8"/>
  <c r="J1124" i="8"/>
  <c r="K1124" i="8"/>
  <c r="L1124" i="8"/>
  <c r="M1124" i="8"/>
  <c r="I1124" i="8"/>
  <c r="H1125" i="8"/>
  <c r="J1125" i="8"/>
  <c r="K1125" i="8"/>
  <c r="L1125" i="8"/>
  <c r="M1125" i="8"/>
  <c r="I1125" i="8"/>
  <c r="H1126" i="8"/>
  <c r="J1126" i="8"/>
  <c r="K1126" i="8"/>
  <c r="L1126" i="8"/>
  <c r="M1126" i="8"/>
  <c r="I1126" i="8"/>
  <c r="H1127" i="8"/>
  <c r="J1127" i="8"/>
  <c r="K1127" i="8"/>
  <c r="L1127" i="8"/>
  <c r="M1127" i="8"/>
  <c r="I1127" i="8"/>
  <c r="H1128" i="8"/>
  <c r="J1128" i="8"/>
  <c r="K1128" i="8"/>
  <c r="L1128" i="8"/>
  <c r="M1128" i="8"/>
  <c r="I1128" i="8"/>
  <c r="H1129" i="8"/>
  <c r="J1129" i="8"/>
  <c r="K1129" i="8"/>
  <c r="L1129" i="8"/>
  <c r="M1129" i="8"/>
  <c r="I1129" i="8"/>
  <c r="H1130" i="8"/>
  <c r="J1130" i="8"/>
  <c r="K1130" i="8"/>
  <c r="L1130" i="8"/>
  <c r="M1130" i="8"/>
  <c r="I1130" i="8"/>
  <c r="H1131" i="8"/>
  <c r="J1131" i="8"/>
  <c r="K1131" i="8"/>
  <c r="L1131" i="8"/>
  <c r="M1131" i="8"/>
  <c r="I1131" i="8"/>
  <c r="H1132" i="8"/>
  <c r="J1132" i="8"/>
  <c r="K1132" i="8"/>
  <c r="L1132" i="8"/>
  <c r="M1132" i="8"/>
  <c r="I1132" i="8"/>
  <c r="H1133" i="8"/>
  <c r="J1133" i="8"/>
  <c r="K1133" i="8"/>
  <c r="L1133" i="8"/>
  <c r="M1133" i="8"/>
  <c r="I1133" i="8"/>
  <c r="H1134" i="8"/>
  <c r="J1134" i="8"/>
  <c r="K1134" i="8"/>
  <c r="L1134" i="8"/>
  <c r="M1134" i="8"/>
  <c r="I1134" i="8"/>
  <c r="H1135" i="8"/>
  <c r="J1135" i="8"/>
  <c r="K1135" i="8"/>
  <c r="L1135" i="8"/>
  <c r="M1135" i="8"/>
  <c r="I1135" i="8"/>
  <c r="H1136" i="8"/>
  <c r="J1136" i="8"/>
  <c r="K1136" i="8"/>
  <c r="L1136" i="8"/>
  <c r="M1136" i="8"/>
  <c r="I1136" i="8"/>
  <c r="H1137" i="8"/>
  <c r="J1137" i="8"/>
  <c r="K1137" i="8"/>
  <c r="L1137" i="8"/>
  <c r="M1137" i="8"/>
  <c r="I1137" i="8"/>
  <c r="H1138" i="8"/>
  <c r="J1138" i="8"/>
  <c r="K1138" i="8"/>
  <c r="L1138" i="8"/>
  <c r="M1138" i="8"/>
  <c r="I1138" i="8"/>
  <c r="H1139" i="8"/>
  <c r="J1139" i="8"/>
  <c r="K1139" i="8"/>
  <c r="L1139" i="8"/>
  <c r="M1139" i="8"/>
  <c r="I1139" i="8"/>
  <c r="H1140" i="8"/>
  <c r="J1140" i="8"/>
  <c r="K1140" i="8"/>
  <c r="L1140" i="8"/>
  <c r="M1140" i="8"/>
  <c r="I1140" i="8"/>
  <c r="H1141" i="8"/>
  <c r="J1141" i="8"/>
  <c r="K1141" i="8"/>
  <c r="L1141" i="8"/>
  <c r="M1141" i="8"/>
  <c r="I1141" i="8"/>
  <c r="H1142" i="8"/>
  <c r="J1142" i="8"/>
  <c r="K1142" i="8"/>
  <c r="L1142" i="8"/>
  <c r="M1142" i="8"/>
  <c r="I1142" i="8"/>
  <c r="H1143" i="8"/>
  <c r="J1143" i="8"/>
  <c r="K1143" i="8"/>
  <c r="L1143" i="8"/>
  <c r="M1143" i="8"/>
  <c r="I1143" i="8"/>
  <c r="H1144" i="8"/>
  <c r="J1144" i="8"/>
  <c r="K1144" i="8"/>
  <c r="L1144" i="8"/>
  <c r="M1144" i="8"/>
  <c r="I1144" i="8"/>
  <c r="H1145" i="8"/>
  <c r="J1145" i="8"/>
  <c r="K1145" i="8"/>
  <c r="L1145" i="8"/>
  <c r="M1145" i="8"/>
  <c r="I1145" i="8"/>
  <c r="H1146" i="8"/>
  <c r="J1146" i="8"/>
  <c r="K1146" i="8"/>
  <c r="L1146" i="8"/>
  <c r="M1146" i="8"/>
  <c r="I1146" i="8"/>
  <c r="H1147" i="8"/>
  <c r="J1147" i="8"/>
  <c r="K1147" i="8"/>
  <c r="L1147" i="8"/>
  <c r="M1147" i="8"/>
  <c r="I1147" i="8"/>
  <c r="H1148" i="8"/>
  <c r="J1148" i="8"/>
  <c r="K1148" i="8"/>
  <c r="L1148" i="8"/>
  <c r="M1148" i="8"/>
  <c r="I1148" i="8"/>
  <c r="H1149" i="8"/>
  <c r="J1149" i="8"/>
  <c r="K1149" i="8"/>
  <c r="L1149" i="8"/>
  <c r="M1149" i="8"/>
  <c r="I1149" i="8"/>
  <c r="H1150" i="8"/>
  <c r="J1150" i="8"/>
  <c r="K1150" i="8"/>
  <c r="L1150" i="8"/>
  <c r="M1150" i="8"/>
  <c r="I1150" i="8"/>
  <c r="H1151" i="8"/>
  <c r="J1151" i="8"/>
  <c r="K1151" i="8"/>
  <c r="L1151" i="8"/>
  <c r="M1151" i="8"/>
  <c r="I1151" i="8"/>
  <c r="H1152" i="8"/>
  <c r="J1152" i="8"/>
  <c r="K1152" i="8"/>
  <c r="L1152" i="8"/>
  <c r="M1152" i="8"/>
  <c r="I1152" i="8"/>
  <c r="H1153" i="8"/>
  <c r="J1153" i="8"/>
  <c r="K1153" i="8"/>
  <c r="L1153" i="8"/>
  <c r="M1153" i="8"/>
  <c r="I1153" i="8"/>
  <c r="H1154" i="8"/>
  <c r="J1154" i="8"/>
  <c r="K1154" i="8"/>
  <c r="L1154" i="8"/>
  <c r="M1154" i="8"/>
  <c r="I1154" i="8"/>
  <c r="H1155" i="8"/>
  <c r="J1155" i="8"/>
  <c r="K1155" i="8"/>
  <c r="L1155" i="8"/>
  <c r="M1155" i="8"/>
  <c r="I1155" i="8"/>
  <c r="H1156" i="8"/>
  <c r="J1156" i="8"/>
  <c r="K1156" i="8"/>
  <c r="L1156" i="8"/>
  <c r="M1156" i="8"/>
  <c r="I1156" i="8"/>
  <c r="H1157" i="8"/>
  <c r="J1157" i="8"/>
  <c r="K1157" i="8"/>
  <c r="L1157" i="8"/>
  <c r="M1157" i="8"/>
  <c r="I1157" i="8"/>
  <c r="H1158" i="8"/>
  <c r="J1158" i="8"/>
  <c r="K1158" i="8"/>
  <c r="L1158" i="8"/>
  <c r="M1158" i="8"/>
  <c r="I1158" i="8"/>
  <c r="H1159" i="8"/>
  <c r="J1159" i="8"/>
  <c r="K1159" i="8"/>
  <c r="L1159" i="8"/>
  <c r="M1159" i="8"/>
  <c r="I1159" i="8"/>
  <c r="H1160" i="8"/>
  <c r="J1160" i="8"/>
  <c r="K1160" i="8"/>
  <c r="L1160" i="8"/>
  <c r="M1160" i="8"/>
  <c r="I1160" i="8"/>
  <c r="H1161" i="8"/>
  <c r="J1161" i="8"/>
  <c r="K1161" i="8"/>
  <c r="L1161" i="8"/>
  <c r="M1161" i="8"/>
  <c r="I1161" i="8"/>
  <c r="H1162" i="8"/>
  <c r="J1162" i="8"/>
  <c r="K1162" i="8"/>
  <c r="L1162" i="8"/>
  <c r="M1162" i="8"/>
  <c r="I1162" i="8"/>
  <c r="H1163" i="8"/>
  <c r="J1163" i="8"/>
  <c r="K1163" i="8"/>
  <c r="L1163" i="8"/>
  <c r="M1163" i="8"/>
  <c r="I1163" i="8"/>
  <c r="H1164" i="8"/>
  <c r="J1164" i="8"/>
  <c r="K1164" i="8"/>
  <c r="L1164" i="8"/>
  <c r="M1164" i="8"/>
  <c r="I1164" i="8"/>
  <c r="H1165" i="8"/>
  <c r="J1165" i="8"/>
  <c r="K1165" i="8"/>
  <c r="L1165" i="8"/>
  <c r="M1165" i="8"/>
  <c r="I1165" i="8"/>
  <c r="H1166" i="8"/>
  <c r="J1166" i="8"/>
  <c r="K1166" i="8"/>
  <c r="L1166" i="8"/>
  <c r="M1166" i="8"/>
  <c r="I1166" i="8"/>
  <c r="H1167" i="8"/>
  <c r="J1167" i="8"/>
  <c r="K1167" i="8"/>
  <c r="L1167" i="8"/>
  <c r="M1167" i="8"/>
  <c r="I1167" i="8"/>
  <c r="H1168" i="8"/>
  <c r="J1168" i="8"/>
  <c r="K1168" i="8"/>
  <c r="L1168" i="8"/>
  <c r="M1168" i="8"/>
  <c r="I1168" i="8"/>
  <c r="H1169" i="8"/>
  <c r="J1169" i="8"/>
  <c r="K1169" i="8"/>
  <c r="L1169" i="8"/>
  <c r="M1169" i="8"/>
  <c r="I1169" i="8"/>
  <c r="H1170" i="8"/>
  <c r="J1170" i="8"/>
  <c r="K1170" i="8"/>
  <c r="L1170" i="8"/>
  <c r="M1170" i="8"/>
  <c r="I1170" i="8"/>
  <c r="H1171" i="8"/>
  <c r="J1171" i="8"/>
  <c r="K1171" i="8"/>
  <c r="L1171" i="8"/>
  <c r="M1171" i="8"/>
  <c r="I1171" i="8"/>
  <c r="H1172" i="8"/>
  <c r="J1172" i="8"/>
  <c r="K1172" i="8"/>
  <c r="L1172" i="8"/>
  <c r="M1172" i="8"/>
  <c r="I1172" i="8"/>
  <c r="H1173" i="8"/>
  <c r="J1173" i="8"/>
  <c r="K1173" i="8"/>
  <c r="L1173" i="8"/>
  <c r="M1173" i="8"/>
  <c r="I1173" i="8"/>
  <c r="H1174" i="8"/>
  <c r="J1174" i="8"/>
  <c r="K1174" i="8"/>
  <c r="L1174" i="8"/>
  <c r="M1174" i="8"/>
  <c r="I1174" i="8"/>
  <c r="H1175" i="8"/>
  <c r="J1175" i="8"/>
  <c r="K1175" i="8"/>
  <c r="L1175" i="8"/>
  <c r="M1175" i="8"/>
  <c r="I1175" i="8"/>
  <c r="H1176" i="8"/>
  <c r="J1176" i="8"/>
  <c r="K1176" i="8"/>
  <c r="L1176" i="8"/>
  <c r="M1176" i="8"/>
  <c r="I1176" i="8"/>
  <c r="H1177" i="8"/>
  <c r="J1177" i="8"/>
  <c r="K1177" i="8"/>
  <c r="L1177" i="8"/>
  <c r="M1177" i="8"/>
  <c r="I1177" i="8"/>
  <c r="H1178" i="8"/>
  <c r="J1178" i="8"/>
  <c r="K1178" i="8"/>
  <c r="L1178" i="8"/>
  <c r="M1178" i="8"/>
  <c r="I1178" i="8"/>
  <c r="H1179" i="8"/>
  <c r="J1179" i="8"/>
  <c r="K1179" i="8"/>
  <c r="L1179" i="8"/>
  <c r="M1179" i="8"/>
  <c r="I1179" i="8"/>
  <c r="H1180" i="8"/>
  <c r="J1180" i="8"/>
  <c r="K1180" i="8"/>
  <c r="L1180" i="8"/>
  <c r="M1180" i="8"/>
  <c r="I1180" i="8"/>
  <c r="H1181" i="8"/>
  <c r="J1181" i="8"/>
  <c r="K1181" i="8"/>
  <c r="L1181" i="8"/>
  <c r="M1181" i="8"/>
  <c r="I1181" i="8"/>
  <c r="H1182" i="8"/>
  <c r="J1182" i="8"/>
  <c r="K1182" i="8"/>
  <c r="L1182" i="8"/>
  <c r="M1182" i="8"/>
  <c r="I1182" i="8"/>
  <c r="H1183" i="8"/>
  <c r="J1183" i="8"/>
  <c r="K1183" i="8"/>
  <c r="L1183" i="8"/>
  <c r="M1183" i="8"/>
  <c r="I1183" i="8"/>
  <c r="H1184" i="8"/>
  <c r="J1184" i="8"/>
  <c r="K1184" i="8"/>
  <c r="L1184" i="8"/>
  <c r="M1184" i="8"/>
  <c r="I1184" i="8"/>
  <c r="H1185" i="8"/>
  <c r="J1185" i="8"/>
  <c r="K1185" i="8"/>
  <c r="L1185" i="8"/>
  <c r="M1185" i="8"/>
  <c r="I1185" i="8"/>
  <c r="H1186" i="8"/>
  <c r="J1186" i="8"/>
  <c r="K1186" i="8"/>
  <c r="L1186" i="8"/>
  <c r="M1186" i="8"/>
  <c r="I1186" i="8"/>
  <c r="H1187" i="8"/>
  <c r="J1187" i="8"/>
  <c r="K1187" i="8"/>
  <c r="L1187" i="8"/>
  <c r="M1187" i="8"/>
  <c r="I1187" i="8"/>
  <c r="H1188" i="8"/>
  <c r="J1188" i="8"/>
  <c r="K1188" i="8"/>
  <c r="L1188" i="8"/>
  <c r="M1188" i="8"/>
  <c r="I1188" i="8"/>
  <c r="H1189" i="8"/>
  <c r="J1189" i="8"/>
  <c r="K1189" i="8"/>
  <c r="L1189" i="8"/>
  <c r="M1189" i="8"/>
  <c r="I1189" i="8"/>
  <c r="H1190" i="8"/>
  <c r="J1190" i="8"/>
  <c r="K1190" i="8"/>
  <c r="L1190" i="8"/>
  <c r="M1190" i="8"/>
  <c r="I1190" i="8"/>
  <c r="H1191" i="8"/>
  <c r="J1191" i="8"/>
  <c r="K1191" i="8"/>
  <c r="L1191" i="8"/>
  <c r="M1191" i="8"/>
  <c r="I1191" i="8"/>
  <c r="H1192" i="8"/>
  <c r="J1192" i="8"/>
  <c r="K1192" i="8"/>
  <c r="L1192" i="8"/>
  <c r="M1192" i="8"/>
  <c r="I1192" i="8"/>
  <c r="H1193" i="8"/>
  <c r="J1193" i="8"/>
  <c r="K1193" i="8"/>
  <c r="L1193" i="8"/>
  <c r="M1193" i="8"/>
  <c r="I1193" i="8"/>
  <c r="H1194" i="8"/>
  <c r="J1194" i="8"/>
  <c r="K1194" i="8"/>
  <c r="L1194" i="8"/>
  <c r="M1194" i="8"/>
  <c r="I1194" i="8"/>
  <c r="H1195" i="8"/>
  <c r="J1195" i="8"/>
  <c r="K1195" i="8"/>
  <c r="L1195" i="8"/>
  <c r="M1195" i="8"/>
  <c r="I1195" i="8"/>
  <c r="H1196" i="8"/>
  <c r="J1196" i="8"/>
  <c r="K1196" i="8"/>
  <c r="L1196" i="8"/>
  <c r="M1196" i="8"/>
  <c r="I1196" i="8"/>
  <c r="H1197" i="8"/>
  <c r="J1197" i="8"/>
  <c r="K1197" i="8"/>
  <c r="L1197" i="8"/>
  <c r="M1197" i="8"/>
  <c r="I1197" i="8"/>
  <c r="H1198" i="8"/>
  <c r="J1198" i="8"/>
  <c r="K1198" i="8"/>
  <c r="L1198" i="8"/>
  <c r="M1198" i="8"/>
  <c r="I1198" i="8"/>
  <c r="H1199" i="8"/>
  <c r="J1199" i="8"/>
  <c r="K1199" i="8"/>
  <c r="L1199" i="8"/>
  <c r="M1199" i="8"/>
  <c r="I1199" i="8"/>
  <c r="H1200" i="8"/>
  <c r="J1200" i="8"/>
  <c r="K1200" i="8"/>
  <c r="L1200" i="8"/>
  <c r="M1200" i="8"/>
  <c r="I1200" i="8"/>
  <c r="H1201" i="8"/>
  <c r="J1201" i="8"/>
  <c r="K1201" i="8"/>
  <c r="L1201" i="8"/>
  <c r="M1201" i="8"/>
  <c r="I1201" i="8"/>
  <c r="H1202" i="8"/>
  <c r="J1202" i="8"/>
  <c r="K1202" i="8"/>
  <c r="L1202" i="8"/>
  <c r="M1202" i="8"/>
  <c r="I1202" i="8"/>
  <c r="H1203" i="8"/>
  <c r="J1203" i="8"/>
  <c r="K1203" i="8"/>
  <c r="L1203" i="8"/>
  <c r="M1203" i="8"/>
  <c r="I1203" i="8"/>
  <c r="H1204" i="8"/>
  <c r="J1204" i="8"/>
  <c r="K1204" i="8"/>
  <c r="L1204" i="8"/>
  <c r="M1204" i="8"/>
  <c r="I1204" i="8"/>
  <c r="H1205" i="8"/>
  <c r="J1205" i="8"/>
  <c r="K1205" i="8"/>
  <c r="L1205" i="8"/>
  <c r="M1205" i="8"/>
  <c r="I1205" i="8"/>
  <c r="H1206" i="8"/>
  <c r="J1206" i="8"/>
  <c r="K1206" i="8"/>
  <c r="L1206" i="8"/>
  <c r="M1206" i="8"/>
  <c r="I1206" i="8"/>
  <c r="H1207" i="8"/>
  <c r="J1207" i="8"/>
  <c r="K1207" i="8"/>
  <c r="L1207" i="8"/>
  <c r="M1207" i="8"/>
  <c r="I1207" i="8"/>
  <c r="H1208" i="8"/>
  <c r="J1208" i="8"/>
  <c r="K1208" i="8"/>
  <c r="L1208" i="8"/>
  <c r="M1208" i="8"/>
  <c r="I1208" i="8"/>
  <c r="H1209" i="8"/>
  <c r="J1209" i="8"/>
  <c r="K1209" i="8"/>
  <c r="L1209" i="8"/>
  <c r="M1209" i="8"/>
  <c r="I1209" i="8"/>
  <c r="H1210" i="8"/>
  <c r="J1210" i="8"/>
  <c r="K1210" i="8"/>
  <c r="L1210" i="8"/>
  <c r="M1210" i="8"/>
  <c r="I1210" i="8"/>
  <c r="H1211" i="8"/>
  <c r="J1211" i="8"/>
  <c r="K1211" i="8"/>
  <c r="L1211" i="8"/>
  <c r="M1211" i="8"/>
  <c r="I1211" i="8"/>
  <c r="H1212" i="8"/>
  <c r="J1212" i="8"/>
  <c r="K1212" i="8"/>
  <c r="L1212" i="8"/>
  <c r="M1212" i="8"/>
  <c r="I1212" i="8"/>
  <c r="H1213" i="8"/>
  <c r="J1213" i="8"/>
  <c r="K1213" i="8"/>
  <c r="L1213" i="8"/>
  <c r="M1213" i="8"/>
  <c r="I1213" i="8"/>
  <c r="H1214" i="8"/>
  <c r="J1214" i="8"/>
  <c r="K1214" i="8"/>
  <c r="L1214" i="8"/>
  <c r="M1214" i="8"/>
  <c r="I1214" i="8"/>
  <c r="H1215" i="8"/>
  <c r="J1215" i="8"/>
  <c r="K1215" i="8"/>
  <c r="L1215" i="8"/>
  <c r="M1215" i="8"/>
  <c r="I1215" i="8"/>
  <c r="H1216" i="8"/>
  <c r="J1216" i="8"/>
  <c r="K1216" i="8"/>
  <c r="L1216" i="8"/>
  <c r="M1216" i="8"/>
  <c r="I1216" i="8"/>
  <c r="H1217" i="8"/>
  <c r="J1217" i="8"/>
  <c r="K1217" i="8"/>
  <c r="L1217" i="8"/>
  <c r="M1217" i="8"/>
  <c r="I1217" i="8"/>
  <c r="H1218" i="8"/>
  <c r="J1218" i="8"/>
  <c r="K1218" i="8"/>
  <c r="L1218" i="8"/>
  <c r="M1218" i="8"/>
  <c r="I1218" i="8"/>
  <c r="H1219" i="8"/>
  <c r="J1219" i="8"/>
  <c r="K1219" i="8"/>
  <c r="L1219" i="8"/>
  <c r="M1219" i="8"/>
  <c r="I1219" i="8"/>
  <c r="H1220" i="8"/>
  <c r="J1220" i="8"/>
  <c r="K1220" i="8"/>
  <c r="L1220" i="8"/>
  <c r="M1220" i="8"/>
  <c r="I1220" i="8"/>
  <c r="H1221" i="8"/>
  <c r="J1221" i="8"/>
  <c r="K1221" i="8"/>
  <c r="L1221" i="8"/>
  <c r="M1221" i="8"/>
  <c r="I1221" i="8"/>
  <c r="H1222" i="8"/>
  <c r="J1222" i="8"/>
  <c r="K1222" i="8"/>
  <c r="L1222" i="8"/>
  <c r="M1222" i="8"/>
  <c r="I1222" i="8"/>
  <c r="H1223" i="8"/>
  <c r="J1223" i="8"/>
  <c r="K1223" i="8"/>
  <c r="L1223" i="8"/>
  <c r="M1223" i="8"/>
  <c r="I1223" i="8"/>
  <c r="H1224" i="8"/>
  <c r="J1224" i="8"/>
  <c r="K1224" i="8"/>
  <c r="L1224" i="8"/>
  <c r="M1224" i="8"/>
  <c r="I1224" i="8"/>
  <c r="H1225" i="8"/>
  <c r="J1225" i="8"/>
  <c r="K1225" i="8"/>
  <c r="L1225" i="8"/>
  <c r="M1225" i="8"/>
  <c r="I1225" i="8"/>
  <c r="H1226" i="8"/>
  <c r="J1226" i="8"/>
  <c r="K1226" i="8"/>
  <c r="L1226" i="8"/>
  <c r="M1226" i="8"/>
  <c r="I1226" i="8"/>
  <c r="H1227" i="8"/>
  <c r="J1227" i="8"/>
  <c r="K1227" i="8"/>
  <c r="L1227" i="8"/>
  <c r="M1227" i="8"/>
  <c r="I1227" i="8"/>
  <c r="H1228" i="8"/>
  <c r="J1228" i="8"/>
  <c r="K1228" i="8"/>
  <c r="L1228" i="8"/>
  <c r="M1228" i="8"/>
  <c r="I1228" i="8"/>
  <c r="H1229" i="8"/>
  <c r="J1229" i="8"/>
  <c r="K1229" i="8"/>
  <c r="L1229" i="8"/>
  <c r="M1229" i="8"/>
  <c r="I1229" i="8"/>
  <c r="H1230" i="8"/>
  <c r="J1230" i="8"/>
  <c r="K1230" i="8"/>
  <c r="L1230" i="8"/>
  <c r="M1230" i="8"/>
  <c r="I1230" i="8"/>
  <c r="H1231" i="8"/>
  <c r="J1231" i="8"/>
  <c r="K1231" i="8"/>
  <c r="L1231" i="8"/>
  <c r="M1231" i="8"/>
  <c r="I1231" i="8"/>
  <c r="H1232" i="8"/>
  <c r="J1232" i="8"/>
  <c r="K1232" i="8"/>
  <c r="L1232" i="8"/>
  <c r="M1232" i="8"/>
  <c r="I1232" i="8"/>
  <c r="H1233" i="8"/>
  <c r="J1233" i="8"/>
  <c r="K1233" i="8"/>
  <c r="L1233" i="8"/>
  <c r="M1233" i="8"/>
  <c r="I1233" i="8"/>
  <c r="H1234" i="8"/>
  <c r="J1234" i="8"/>
  <c r="K1234" i="8"/>
  <c r="L1234" i="8"/>
  <c r="M1234" i="8"/>
  <c r="I1234" i="8"/>
  <c r="H1235" i="8"/>
  <c r="J1235" i="8"/>
  <c r="K1235" i="8"/>
  <c r="L1235" i="8"/>
  <c r="M1235" i="8"/>
  <c r="I1235" i="8"/>
  <c r="H1236" i="8"/>
  <c r="J1236" i="8"/>
  <c r="K1236" i="8"/>
  <c r="L1236" i="8"/>
  <c r="M1236" i="8"/>
  <c r="I1236" i="8"/>
  <c r="H1237" i="8"/>
  <c r="J1237" i="8"/>
  <c r="K1237" i="8"/>
  <c r="L1237" i="8"/>
  <c r="M1237" i="8"/>
  <c r="I1237" i="8"/>
  <c r="H1238" i="8"/>
  <c r="J1238" i="8"/>
  <c r="K1238" i="8"/>
  <c r="L1238" i="8"/>
  <c r="M1238" i="8"/>
  <c r="I1238" i="8"/>
  <c r="H1239" i="8"/>
  <c r="J1239" i="8"/>
  <c r="K1239" i="8"/>
  <c r="L1239" i="8"/>
  <c r="M1239" i="8"/>
  <c r="I1239" i="8"/>
  <c r="H1240" i="8"/>
  <c r="J1240" i="8"/>
  <c r="K1240" i="8"/>
  <c r="L1240" i="8"/>
  <c r="M1240" i="8"/>
  <c r="I1240" i="8"/>
  <c r="H1241" i="8"/>
  <c r="J1241" i="8"/>
  <c r="K1241" i="8"/>
  <c r="L1241" i="8"/>
  <c r="M1241" i="8"/>
  <c r="I1241" i="8"/>
  <c r="H1242" i="8"/>
  <c r="J1242" i="8"/>
  <c r="K1242" i="8"/>
  <c r="L1242" i="8"/>
  <c r="M1242" i="8"/>
  <c r="I1242" i="8"/>
  <c r="H1243" i="8"/>
  <c r="J1243" i="8"/>
  <c r="K1243" i="8"/>
  <c r="L1243" i="8"/>
  <c r="M1243" i="8"/>
  <c r="I1243" i="8"/>
  <c r="H1244" i="8"/>
  <c r="J1244" i="8"/>
  <c r="K1244" i="8"/>
  <c r="L1244" i="8"/>
  <c r="M1244" i="8"/>
  <c r="I1244" i="8"/>
  <c r="H1245" i="8"/>
  <c r="J1245" i="8"/>
  <c r="K1245" i="8"/>
  <c r="L1245" i="8"/>
  <c r="M1245" i="8"/>
  <c r="I1245" i="8"/>
  <c r="H1246" i="8"/>
  <c r="J1246" i="8"/>
  <c r="K1246" i="8"/>
  <c r="L1246" i="8"/>
  <c r="M1246" i="8"/>
  <c r="I1246" i="8"/>
  <c r="H1247" i="8"/>
  <c r="J1247" i="8"/>
  <c r="K1247" i="8"/>
  <c r="L1247" i="8"/>
  <c r="M1247" i="8"/>
  <c r="I1247" i="8"/>
  <c r="H1248" i="8"/>
  <c r="J1248" i="8"/>
  <c r="K1248" i="8"/>
  <c r="L1248" i="8"/>
  <c r="M1248" i="8"/>
  <c r="I1248" i="8"/>
  <c r="H1249" i="8"/>
  <c r="J1249" i="8"/>
  <c r="K1249" i="8"/>
  <c r="L1249" i="8"/>
  <c r="M1249" i="8"/>
  <c r="I1249" i="8"/>
  <c r="H1250" i="8"/>
  <c r="J1250" i="8"/>
  <c r="K1250" i="8"/>
  <c r="L1250" i="8"/>
  <c r="M1250" i="8"/>
  <c r="I1250" i="8"/>
  <c r="H1251" i="8"/>
  <c r="J1251" i="8"/>
  <c r="K1251" i="8"/>
  <c r="L1251" i="8"/>
  <c r="M1251" i="8"/>
  <c r="I1251" i="8"/>
  <c r="H1252" i="8"/>
  <c r="J1252" i="8"/>
  <c r="K1252" i="8"/>
  <c r="L1252" i="8"/>
  <c r="M1252" i="8"/>
  <c r="I1252" i="8"/>
  <c r="H1253" i="8"/>
  <c r="J1253" i="8"/>
  <c r="K1253" i="8"/>
  <c r="L1253" i="8"/>
  <c r="M1253" i="8"/>
  <c r="I1253" i="8"/>
  <c r="H1254" i="8"/>
  <c r="J1254" i="8"/>
  <c r="K1254" i="8"/>
  <c r="L1254" i="8"/>
  <c r="M1254" i="8"/>
  <c r="I1254" i="8"/>
  <c r="H1255" i="8"/>
  <c r="J1255" i="8"/>
  <c r="K1255" i="8"/>
  <c r="L1255" i="8"/>
  <c r="M1255" i="8"/>
  <c r="I1255" i="8"/>
  <c r="H1256" i="8"/>
  <c r="J1256" i="8"/>
  <c r="K1256" i="8"/>
  <c r="L1256" i="8"/>
  <c r="M1256" i="8"/>
  <c r="I1256" i="8"/>
  <c r="H1257" i="8"/>
  <c r="J1257" i="8"/>
  <c r="K1257" i="8"/>
  <c r="L1257" i="8"/>
  <c r="M1257" i="8"/>
  <c r="I1257" i="8"/>
  <c r="H1258" i="8"/>
  <c r="J1258" i="8"/>
  <c r="K1258" i="8"/>
  <c r="L1258" i="8"/>
  <c r="M1258" i="8"/>
  <c r="I1258" i="8"/>
  <c r="H1259" i="8"/>
  <c r="J1259" i="8"/>
  <c r="K1259" i="8"/>
  <c r="L1259" i="8"/>
  <c r="M1259" i="8"/>
  <c r="I1259" i="8"/>
  <c r="H1260" i="8"/>
  <c r="J1260" i="8"/>
  <c r="K1260" i="8"/>
  <c r="L1260" i="8"/>
  <c r="M1260" i="8"/>
  <c r="I1260" i="8"/>
  <c r="H1261" i="8"/>
  <c r="J1261" i="8"/>
  <c r="K1261" i="8"/>
  <c r="L1261" i="8"/>
  <c r="M1261" i="8"/>
  <c r="I1261" i="8"/>
  <c r="H1262" i="8"/>
  <c r="J1262" i="8"/>
  <c r="K1262" i="8"/>
  <c r="L1262" i="8"/>
  <c r="M1262" i="8"/>
  <c r="I1262" i="8"/>
  <c r="H1263" i="8"/>
  <c r="J1263" i="8"/>
  <c r="K1263" i="8"/>
  <c r="L1263" i="8"/>
  <c r="M1263" i="8"/>
  <c r="I1263" i="8"/>
  <c r="H1264" i="8"/>
  <c r="J1264" i="8"/>
  <c r="K1264" i="8"/>
  <c r="L1264" i="8"/>
  <c r="M1264" i="8"/>
  <c r="I1264" i="8"/>
  <c r="H1265" i="8"/>
  <c r="J1265" i="8"/>
  <c r="K1265" i="8"/>
  <c r="L1265" i="8"/>
  <c r="M1265" i="8"/>
  <c r="I1265" i="8"/>
  <c r="H1266" i="8"/>
  <c r="J1266" i="8"/>
  <c r="K1266" i="8"/>
  <c r="L1266" i="8"/>
  <c r="M1266" i="8"/>
  <c r="I1266" i="8"/>
  <c r="H1267" i="8"/>
  <c r="J1267" i="8"/>
  <c r="K1267" i="8"/>
  <c r="L1267" i="8"/>
  <c r="M1267" i="8"/>
  <c r="I1267" i="8"/>
  <c r="H1268" i="8"/>
  <c r="J1268" i="8"/>
  <c r="K1268" i="8"/>
  <c r="L1268" i="8"/>
  <c r="M1268" i="8"/>
  <c r="I1268" i="8"/>
  <c r="H1269" i="8"/>
  <c r="J1269" i="8"/>
  <c r="K1269" i="8"/>
  <c r="L1269" i="8"/>
  <c r="M1269" i="8"/>
  <c r="I1269" i="8"/>
  <c r="H1270" i="8"/>
  <c r="J1270" i="8"/>
  <c r="K1270" i="8"/>
  <c r="L1270" i="8"/>
  <c r="M1270" i="8"/>
  <c r="I1270" i="8"/>
  <c r="H1271" i="8"/>
  <c r="J1271" i="8"/>
  <c r="K1271" i="8"/>
  <c r="L1271" i="8"/>
  <c r="M1271" i="8"/>
  <c r="I1271" i="8"/>
  <c r="H1272" i="8"/>
  <c r="J1272" i="8"/>
  <c r="K1272" i="8"/>
  <c r="L1272" i="8"/>
  <c r="M1272" i="8"/>
  <c r="I1272" i="8"/>
  <c r="H1273" i="8"/>
  <c r="J1273" i="8"/>
  <c r="K1273" i="8"/>
  <c r="L1273" i="8"/>
  <c r="M1273" i="8"/>
  <c r="I1273" i="8"/>
  <c r="H1274" i="8"/>
  <c r="J1274" i="8"/>
  <c r="K1274" i="8"/>
  <c r="L1274" i="8"/>
  <c r="M1274" i="8"/>
  <c r="I1274" i="8"/>
  <c r="H1275" i="8"/>
  <c r="J1275" i="8"/>
  <c r="K1275" i="8"/>
  <c r="L1275" i="8"/>
  <c r="M1275" i="8"/>
  <c r="I1275" i="8"/>
  <c r="H1276" i="8"/>
  <c r="J1276" i="8"/>
  <c r="K1276" i="8"/>
  <c r="L1276" i="8"/>
  <c r="M1276" i="8"/>
  <c r="I1276" i="8"/>
  <c r="H1277" i="8"/>
  <c r="J1277" i="8"/>
  <c r="K1277" i="8"/>
  <c r="L1277" i="8"/>
  <c r="M1277" i="8"/>
  <c r="I1277" i="8"/>
  <c r="H1278" i="8"/>
  <c r="J1278" i="8"/>
  <c r="K1278" i="8"/>
  <c r="L1278" i="8"/>
  <c r="M1278" i="8"/>
  <c r="I1278" i="8"/>
  <c r="H1279" i="8"/>
  <c r="J1279" i="8"/>
  <c r="K1279" i="8"/>
  <c r="L1279" i="8"/>
  <c r="M1279" i="8"/>
  <c r="I1279" i="8"/>
  <c r="H1280" i="8"/>
  <c r="J1280" i="8"/>
  <c r="K1280" i="8"/>
  <c r="L1280" i="8"/>
  <c r="M1280" i="8"/>
  <c r="I1280" i="8"/>
  <c r="H1281" i="8"/>
  <c r="J1281" i="8"/>
  <c r="K1281" i="8"/>
  <c r="L1281" i="8"/>
  <c r="M1281" i="8"/>
  <c r="I1281" i="8"/>
  <c r="H1282" i="8"/>
  <c r="J1282" i="8"/>
  <c r="K1282" i="8"/>
  <c r="L1282" i="8"/>
  <c r="M1282" i="8"/>
  <c r="I1282" i="8"/>
  <c r="H1283" i="8"/>
  <c r="J1283" i="8"/>
  <c r="K1283" i="8"/>
  <c r="L1283" i="8"/>
  <c r="M1283" i="8"/>
  <c r="I1283" i="8"/>
  <c r="H1284" i="8"/>
  <c r="J1284" i="8"/>
  <c r="K1284" i="8"/>
  <c r="L1284" i="8"/>
  <c r="M1284" i="8"/>
  <c r="I1284" i="8"/>
  <c r="H1285" i="8"/>
  <c r="J1285" i="8"/>
  <c r="K1285" i="8"/>
  <c r="L1285" i="8"/>
  <c r="M1285" i="8"/>
  <c r="I1285" i="8"/>
  <c r="H1286" i="8"/>
  <c r="J1286" i="8"/>
  <c r="K1286" i="8"/>
  <c r="L1286" i="8"/>
  <c r="M1286" i="8"/>
  <c r="I1286" i="8"/>
  <c r="H1287" i="8"/>
  <c r="J1287" i="8"/>
  <c r="K1287" i="8"/>
  <c r="L1287" i="8"/>
  <c r="M1287" i="8"/>
  <c r="I1287" i="8"/>
  <c r="H1288" i="8"/>
  <c r="J1288" i="8"/>
  <c r="K1288" i="8"/>
  <c r="L1288" i="8"/>
  <c r="M1288" i="8"/>
  <c r="I1288" i="8"/>
  <c r="H1289" i="8"/>
  <c r="J1289" i="8"/>
  <c r="K1289" i="8"/>
  <c r="L1289" i="8"/>
  <c r="M1289" i="8"/>
  <c r="I1289" i="8"/>
  <c r="H1290" i="8"/>
  <c r="J1290" i="8"/>
  <c r="K1290" i="8"/>
  <c r="L1290" i="8"/>
  <c r="M1290" i="8"/>
  <c r="I1290" i="8"/>
  <c r="H1291" i="8"/>
  <c r="J1291" i="8"/>
  <c r="K1291" i="8"/>
  <c r="L1291" i="8"/>
  <c r="M1291" i="8"/>
  <c r="I1291" i="8"/>
  <c r="H1292" i="8"/>
  <c r="J1292" i="8"/>
  <c r="K1292" i="8"/>
  <c r="L1292" i="8"/>
  <c r="M1292" i="8"/>
  <c r="I1292" i="8"/>
  <c r="H1293" i="8"/>
  <c r="J1293" i="8"/>
  <c r="K1293" i="8"/>
  <c r="L1293" i="8"/>
  <c r="M1293" i="8"/>
  <c r="I1293" i="8"/>
  <c r="H1294" i="8"/>
  <c r="J1294" i="8"/>
  <c r="K1294" i="8"/>
  <c r="L1294" i="8"/>
  <c r="M1294" i="8"/>
  <c r="I1294" i="8"/>
  <c r="H1295" i="8"/>
  <c r="J1295" i="8"/>
  <c r="K1295" i="8"/>
  <c r="L1295" i="8"/>
  <c r="M1295" i="8"/>
  <c r="I1295" i="8"/>
  <c r="H1296" i="8"/>
  <c r="J1296" i="8"/>
  <c r="K1296" i="8"/>
  <c r="L1296" i="8"/>
  <c r="M1296" i="8"/>
  <c r="I1296" i="8"/>
  <c r="H1297" i="8"/>
  <c r="J1297" i="8"/>
  <c r="K1297" i="8"/>
  <c r="L1297" i="8"/>
  <c r="M1297" i="8"/>
  <c r="I1297" i="8"/>
  <c r="H1298" i="8"/>
  <c r="J1298" i="8"/>
  <c r="K1298" i="8"/>
  <c r="L1298" i="8"/>
  <c r="M1298" i="8"/>
  <c r="I1298" i="8"/>
  <c r="H1299" i="8"/>
  <c r="J1299" i="8"/>
  <c r="K1299" i="8"/>
  <c r="L1299" i="8"/>
  <c r="M1299" i="8"/>
  <c r="I1299" i="8"/>
  <c r="H1300" i="8"/>
  <c r="J1300" i="8"/>
  <c r="K1300" i="8"/>
  <c r="L1300" i="8"/>
  <c r="M1300" i="8"/>
  <c r="I1300" i="8"/>
  <c r="H1301" i="8"/>
  <c r="J1301" i="8"/>
  <c r="K1301" i="8"/>
  <c r="L1301" i="8"/>
  <c r="M1301" i="8"/>
  <c r="I1301" i="8"/>
  <c r="H1302" i="8"/>
  <c r="J1302" i="8"/>
  <c r="K1302" i="8"/>
  <c r="L1302" i="8"/>
  <c r="M1302" i="8"/>
  <c r="I1302" i="8"/>
  <c r="H1303" i="8"/>
  <c r="J1303" i="8"/>
  <c r="K1303" i="8"/>
  <c r="L1303" i="8"/>
  <c r="M1303" i="8"/>
  <c r="I1303" i="8"/>
  <c r="H1304" i="8"/>
  <c r="J1304" i="8"/>
  <c r="K1304" i="8"/>
  <c r="L1304" i="8"/>
  <c r="M1304" i="8"/>
  <c r="I1304" i="8"/>
  <c r="H1305" i="8"/>
  <c r="J1305" i="8"/>
  <c r="K1305" i="8"/>
  <c r="L1305" i="8"/>
  <c r="M1305" i="8"/>
  <c r="I1305" i="8"/>
  <c r="H1306" i="8"/>
  <c r="J1306" i="8"/>
  <c r="K1306" i="8"/>
  <c r="L1306" i="8"/>
  <c r="M1306" i="8"/>
  <c r="I1306" i="8"/>
  <c r="H1307" i="8"/>
  <c r="J1307" i="8"/>
  <c r="K1307" i="8"/>
  <c r="L1307" i="8"/>
  <c r="M1307" i="8"/>
  <c r="I1307" i="8"/>
  <c r="H1308" i="8"/>
  <c r="J1308" i="8"/>
  <c r="K1308" i="8"/>
  <c r="L1308" i="8"/>
  <c r="M1308" i="8"/>
  <c r="I1308" i="8"/>
  <c r="H1309" i="8"/>
  <c r="J1309" i="8"/>
  <c r="K1309" i="8"/>
  <c r="L1309" i="8"/>
  <c r="M1309" i="8"/>
  <c r="I1309" i="8"/>
  <c r="H1310" i="8"/>
  <c r="J1310" i="8"/>
  <c r="K1310" i="8"/>
  <c r="L1310" i="8"/>
  <c r="M1310" i="8"/>
  <c r="I1310" i="8"/>
  <c r="H1311" i="8"/>
  <c r="J1311" i="8"/>
  <c r="K1311" i="8"/>
  <c r="L1311" i="8"/>
  <c r="M1311" i="8"/>
  <c r="I1311" i="8"/>
  <c r="H1312" i="8"/>
  <c r="J1312" i="8"/>
  <c r="K1312" i="8"/>
  <c r="L1312" i="8"/>
  <c r="M1312" i="8"/>
  <c r="I1312" i="8"/>
  <c r="H1313" i="8"/>
  <c r="J1313" i="8"/>
  <c r="K1313" i="8"/>
  <c r="L1313" i="8"/>
  <c r="M1313" i="8"/>
  <c r="I1313" i="8"/>
  <c r="H1314" i="8"/>
  <c r="J1314" i="8"/>
  <c r="K1314" i="8"/>
  <c r="L1314" i="8"/>
  <c r="M1314" i="8"/>
  <c r="I1314" i="8"/>
  <c r="H1315" i="8"/>
  <c r="J1315" i="8"/>
  <c r="K1315" i="8"/>
  <c r="L1315" i="8"/>
  <c r="M1315" i="8"/>
  <c r="I1315" i="8"/>
  <c r="H1316" i="8"/>
  <c r="J1316" i="8"/>
  <c r="K1316" i="8"/>
  <c r="L1316" i="8"/>
  <c r="M1316" i="8"/>
  <c r="I1316" i="8"/>
  <c r="H1317" i="8"/>
  <c r="J1317" i="8"/>
  <c r="K1317" i="8"/>
  <c r="L1317" i="8"/>
  <c r="M1317" i="8"/>
  <c r="I1317" i="8"/>
  <c r="H1318" i="8"/>
  <c r="J1318" i="8"/>
  <c r="K1318" i="8"/>
  <c r="L1318" i="8"/>
  <c r="M1318" i="8"/>
  <c r="I1318" i="8"/>
  <c r="H1319" i="8"/>
  <c r="J1319" i="8"/>
  <c r="K1319" i="8"/>
  <c r="L1319" i="8"/>
  <c r="M1319" i="8"/>
  <c r="I1319" i="8"/>
  <c r="H1320" i="8"/>
  <c r="J1320" i="8"/>
  <c r="K1320" i="8"/>
  <c r="L1320" i="8"/>
  <c r="M1320" i="8"/>
  <c r="I1320" i="8"/>
  <c r="H1321" i="8"/>
  <c r="J1321" i="8"/>
  <c r="K1321" i="8"/>
  <c r="L1321" i="8"/>
  <c r="M1321" i="8"/>
  <c r="I1321" i="8"/>
  <c r="H1322" i="8"/>
  <c r="J1322" i="8"/>
  <c r="K1322" i="8"/>
  <c r="L1322" i="8"/>
  <c r="M1322" i="8"/>
  <c r="I1322" i="8"/>
  <c r="H1323" i="8"/>
  <c r="J1323" i="8"/>
  <c r="K1323" i="8"/>
  <c r="L1323" i="8"/>
  <c r="M1323" i="8"/>
  <c r="I1323" i="8"/>
  <c r="H1324" i="8"/>
  <c r="J1324" i="8"/>
  <c r="K1324" i="8"/>
  <c r="L1324" i="8"/>
  <c r="M1324" i="8"/>
  <c r="I1324" i="8"/>
  <c r="H1325" i="8"/>
  <c r="J1325" i="8"/>
  <c r="K1325" i="8"/>
  <c r="L1325" i="8"/>
  <c r="M1325" i="8"/>
  <c r="I1325" i="8"/>
  <c r="H1326" i="8"/>
  <c r="J1326" i="8"/>
  <c r="K1326" i="8"/>
  <c r="L1326" i="8"/>
  <c r="M1326" i="8"/>
  <c r="I1326" i="8"/>
  <c r="H1327" i="8"/>
  <c r="J1327" i="8"/>
  <c r="K1327" i="8"/>
  <c r="L1327" i="8"/>
  <c r="M1327" i="8"/>
  <c r="I1327" i="8"/>
  <c r="H1328" i="8"/>
  <c r="J1328" i="8"/>
  <c r="K1328" i="8"/>
  <c r="L1328" i="8"/>
  <c r="M1328" i="8"/>
  <c r="I1328" i="8"/>
  <c r="H1329" i="8"/>
  <c r="J1329" i="8"/>
  <c r="K1329" i="8"/>
  <c r="L1329" i="8"/>
  <c r="M1329" i="8"/>
  <c r="I1329" i="8"/>
  <c r="H1330" i="8"/>
  <c r="J1330" i="8"/>
  <c r="K1330" i="8"/>
  <c r="L1330" i="8"/>
  <c r="M1330" i="8"/>
  <c r="I1330" i="8"/>
  <c r="H1331" i="8"/>
  <c r="J1331" i="8"/>
  <c r="K1331" i="8"/>
  <c r="L1331" i="8"/>
  <c r="M1331" i="8"/>
  <c r="I1331" i="8"/>
  <c r="H1332" i="8"/>
  <c r="J1332" i="8"/>
  <c r="K1332" i="8"/>
  <c r="L1332" i="8"/>
  <c r="M1332" i="8"/>
  <c r="I1332" i="8"/>
  <c r="H1333" i="8"/>
  <c r="J1333" i="8"/>
  <c r="K1333" i="8"/>
  <c r="L1333" i="8"/>
  <c r="M1333" i="8"/>
  <c r="I1333" i="8"/>
  <c r="H1334" i="8"/>
  <c r="J1334" i="8"/>
  <c r="K1334" i="8"/>
  <c r="L1334" i="8"/>
  <c r="M1334" i="8"/>
  <c r="I1334" i="8"/>
  <c r="H1335" i="8"/>
  <c r="J1335" i="8"/>
  <c r="K1335" i="8"/>
  <c r="L1335" i="8"/>
  <c r="M1335" i="8"/>
  <c r="I1335" i="8"/>
  <c r="H1336" i="8"/>
  <c r="J1336" i="8"/>
  <c r="K1336" i="8"/>
  <c r="L1336" i="8"/>
  <c r="M1336" i="8"/>
  <c r="I1336" i="8"/>
  <c r="H1337" i="8"/>
  <c r="J1337" i="8"/>
  <c r="K1337" i="8"/>
  <c r="L1337" i="8"/>
  <c r="M1337" i="8"/>
  <c r="I1337" i="8"/>
  <c r="H1338" i="8"/>
  <c r="J1338" i="8"/>
  <c r="K1338" i="8"/>
  <c r="L1338" i="8"/>
  <c r="M1338" i="8"/>
  <c r="I1338" i="8"/>
  <c r="H1339" i="8"/>
  <c r="J1339" i="8"/>
  <c r="K1339" i="8"/>
  <c r="L1339" i="8"/>
  <c r="M1339" i="8"/>
  <c r="I1339" i="8"/>
  <c r="H1340" i="8"/>
  <c r="J1340" i="8"/>
  <c r="K1340" i="8"/>
  <c r="L1340" i="8"/>
  <c r="M1340" i="8"/>
  <c r="I1340" i="8"/>
  <c r="H1341" i="8"/>
  <c r="J1341" i="8"/>
  <c r="K1341" i="8"/>
  <c r="L1341" i="8"/>
  <c r="M1341" i="8"/>
  <c r="I1341" i="8"/>
  <c r="H1342" i="8"/>
  <c r="J1342" i="8"/>
  <c r="K1342" i="8"/>
  <c r="L1342" i="8"/>
  <c r="M1342" i="8"/>
  <c r="I1342" i="8"/>
  <c r="H1343" i="8"/>
  <c r="J1343" i="8"/>
  <c r="K1343" i="8"/>
  <c r="L1343" i="8"/>
  <c r="M1343" i="8"/>
  <c r="I1343" i="8"/>
  <c r="H1344" i="8"/>
  <c r="J1344" i="8"/>
  <c r="K1344" i="8"/>
  <c r="L1344" i="8"/>
  <c r="M1344" i="8"/>
  <c r="I1344" i="8"/>
  <c r="H1345" i="8"/>
  <c r="J1345" i="8"/>
  <c r="K1345" i="8"/>
  <c r="L1345" i="8"/>
  <c r="M1345" i="8"/>
  <c r="I1345" i="8"/>
  <c r="H1346" i="8"/>
  <c r="J1346" i="8"/>
  <c r="K1346" i="8"/>
  <c r="L1346" i="8"/>
  <c r="M1346" i="8"/>
  <c r="I1346" i="8"/>
  <c r="H1347" i="8"/>
  <c r="J1347" i="8"/>
  <c r="K1347" i="8"/>
  <c r="L1347" i="8"/>
  <c r="M1347" i="8"/>
  <c r="I1347" i="8"/>
  <c r="H1348" i="8"/>
  <c r="J1348" i="8"/>
  <c r="K1348" i="8"/>
  <c r="L1348" i="8"/>
  <c r="M1348" i="8"/>
  <c r="I1348" i="8"/>
  <c r="H1349" i="8"/>
  <c r="J1349" i="8"/>
  <c r="K1349" i="8"/>
  <c r="L1349" i="8"/>
  <c r="M1349" i="8"/>
  <c r="I1349" i="8"/>
  <c r="H1350" i="8"/>
  <c r="J1350" i="8"/>
  <c r="K1350" i="8"/>
  <c r="L1350" i="8"/>
  <c r="M1350" i="8"/>
  <c r="I1350" i="8"/>
  <c r="H1351" i="8"/>
  <c r="J1351" i="8"/>
  <c r="K1351" i="8"/>
  <c r="L1351" i="8"/>
  <c r="M1351" i="8"/>
  <c r="I1351" i="8"/>
  <c r="H1352" i="8"/>
  <c r="J1352" i="8"/>
  <c r="K1352" i="8"/>
  <c r="L1352" i="8"/>
  <c r="M1352" i="8"/>
  <c r="I1352" i="8"/>
  <c r="H1353" i="8"/>
  <c r="J1353" i="8"/>
  <c r="K1353" i="8"/>
  <c r="L1353" i="8"/>
  <c r="M1353" i="8"/>
  <c r="I1353" i="8"/>
  <c r="H1354" i="8"/>
  <c r="J1354" i="8"/>
  <c r="K1354" i="8"/>
  <c r="L1354" i="8"/>
  <c r="M1354" i="8"/>
  <c r="I1354" i="8"/>
  <c r="H1355" i="8"/>
  <c r="J1355" i="8"/>
  <c r="K1355" i="8"/>
  <c r="L1355" i="8"/>
  <c r="M1355" i="8"/>
  <c r="I1355" i="8"/>
  <c r="H1356" i="8"/>
  <c r="J1356" i="8"/>
  <c r="K1356" i="8"/>
  <c r="L1356" i="8"/>
  <c r="M1356" i="8"/>
  <c r="I1356" i="8"/>
  <c r="H1357" i="8"/>
  <c r="J1357" i="8"/>
  <c r="K1357" i="8"/>
  <c r="L1357" i="8"/>
  <c r="M1357" i="8"/>
  <c r="I1357" i="8"/>
  <c r="H1358" i="8"/>
  <c r="J1358" i="8"/>
  <c r="K1358" i="8"/>
  <c r="L1358" i="8"/>
  <c r="M1358" i="8"/>
  <c r="I1358" i="8"/>
  <c r="H1359" i="8"/>
  <c r="J1359" i="8"/>
  <c r="K1359" i="8"/>
  <c r="L1359" i="8"/>
  <c r="M1359" i="8"/>
  <c r="I1359" i="8"/>
  <c r="H1360" i="8"/>
  <c r="J1360" i="8"/>
  <c r="K1360" i="8"/>
  <c r="L1360" i="8"/>
  <c r="M1360" i="8"/>
  <c r="I1360" i="8"/>
  <c r="H1361" i="8"/>
  <c r="J1361" i="8"/>
  <c r="K1361" i="8"/>
  <c r="L1361" i="8"/>
  <c r="M1361" i="8"/>
  <c r="I1361" i="8"/>
  <c r="H1362" i="8"/>
  <c r="J1362" i="8"/>
  <c r="K1362" i="8"/>
  <c r="L1362" i="8"/>
  <c r="M1362" i="8"/>
  <c r="I1362" i="8"/>
  <c r="H1363" i="8"/>
  <c r="J1363" i="8"/>
  <c r="K1363" i="8"/>
  <c r="L1363" i="8"/>
  <c r="M1363" i="8"/>
  <c r="I1363" i="8"/>
  <c r="H1364" i="8"/>
  <c r="J1364" i="8"/>
  <c r="K1364" i="8"/>
  <c r="L1364" i="8"/>
  <c r="M1364" i="8"/>
  <c r="I1364" i="8"/>
  <c r="H1365" i="8"/>
  <c r="J1365" i="8"/>
  <c r="K1365" i="8"/>
  <c r="L1365" i="8"/>
  <c r="M1365" i="8"/>
  <c r="I1365" i="8"/>
  <c r="H1366" i="8"/>
  <c r="J1366" i="8"/>
  <c r="K1366" i="8"/>
  <c r="L1366" i="8"/>
  <c r="M1366" i="8"/>
  <c r="I1366" i="8"/>
  <c r="H1367" i="8"/>
  <c r="J1367" i="8"/>
  <c r="K1367" i="8"/>
  <c r="L1367" i="8"/>
  <c r="M1367" i="8"/>
  <c r="I1367" i="8"/>
  <c r="H1368" i="8"/>
  <c r="J1368" i="8"/>
  <c r="K1368" i="8"/>
  <c r="L1368" i="8"/>
  <c r="M1368" i="8"/>
  <c r="I1368" i="8"/>
  <c r="H1369" i="8"/>
  <c r="J1369" i="8"/>
  <c r="K1369" i="8"/>
  <c r="L1369" i="8"/>
  <c r="M1369" i="8"/>
  <c r="I1369" i="8"/>
  <c r="H1370" i="8"/>
  <c r="J1370" i="8"/>
  <c r="K1370" i="8"/>
  <c r="L1370" i="8"/>
  <c r="M1370" i="8"/>
  <c r="I1370" i="8"/>
  <c r="H1371" i="8"/>
  <c r="J1371" i="8"/>
  <c r="K1371" i="8"/>
  <c r="L1371" i="8"/>
  <c r="M1371" i="8"/>
  <c r="I1371" i="8"/>
  <c r="H1372" i="8"/>
  <c r="J1372" i="8"/>
  <c r="K1372" i="8"/>
  <c r="L1372" i="8"/>
  <c r="M1372" i="8"/>
  <c r="I1372" i="8"/>
  <c r="H1373" i="8"/>
  <c r="J1373" i="8"/>
  <c r="K1373" i="8"/>
  <c r="L1373" i="8"/>
  <c r="M1373" i="8"/>
  <c r="I1373" i="8"/>
  <c r="H1374" i="8"/>
  <c r="J1374" i="8"/>
  <c r="K1374" i="8"/>
  <c r="L1374" i="8"/>
  <c r="M1374" i="8"/>
  <c r="I1374" i="8"/>
  <c r="H1375" i="8"/>
  <c r="J1375" i="8"/>
  <c r="K1375" i="8"/>
  <c r="L1375" i="8"/>
  <c r="M1375" i="8"/>
  <c r="I1375" i="8"/>
  <c r="H1376" i="8"/>
  <c r="J1376" i="8"/>
  <c r="K1376" i="8"/>
  <c r="L1376" i="8"/>
  <c r="M1376" i="8"/>
  <c r="I1376" i="8"/>
  <c r="H1377" i="8"/>
  <c r="J1377" i="8"/>
  <c r="K1377" i="8"/>
  <c r="L1377" i="8"/>
  <c r="M1377" i="8"/>
  <c r="I1377" i="8"/>
  <c r="H1378" i="8"/>
  <c r="J1378" i="8"/>
  <c r="K1378" i="8"/>
  <c r="L1378" i="8"/>
  <c r="M1378" i="8"/>
  <c r="I1378" i="8"/>
  <c r="H1379" i="8"/>
  <c r="J1379" i="8"/>
  <c r="K1379" i="8"/>
  <c r="L1379" i="8"/>
  <c r="M1379" i="8"/>
  <c r="I1379" i="8"/>
  <c r="H1380" i="8"/>
  <c r="J1380" i="8"/>
  <c r="K1380" i="8"/>
  <c r="L1380" i="8"/>
  <c r="M1380" i="8"/>
  <c r="I1380" i="8"/>
  <c r="H1381" i="8"/>
  <c r="J1381" i="8"/>
  <c r="K1381" i="8"/>
  <c r="L1381" i="8"/>
  <c r="M1381" i="8"/>
  <c r="I1381" i="8"/>
  <c r="H1382" i="8"/>
  <c r="J1382" i="8"/>
  <c r="K1382" i="8"/>
  <c r="L1382" i="8"/>
  <c r="M1382" i="8"/>
  <c r="I1382" i="8"/>
  <c r="H1383" i="8"/>
  <c r="J1383" i="8"/>
  <c r="K1383" i="8"/>
  <c r="L1383" i="8"/>
  <c r="M1383" i="8"/>
  <c r="I1383" i="8"/>
  <c r="H1384" i="8"/>
  <c r="J1384" i="8"/>
  <c r="K1384" i="8"/>
  <c r="L1384" i="8"/>
  <c r="M1384" i="8"/>
  <c r="I1384" i="8"/>
  <c r="H1385" i="8"/>
  <c r="J1385" i="8"/>
  <c r="K1385" i="8"/>
  <c r="L1385" i="8"/>
  <c r="M1385" i="8"/>
  <c r="I1385" i="8"/>
  <c r="H1386" i="8"/>
  <c r="J1386" i="8"/>
  <c r="K1386" i="8"/>
  <c r="L1386" i="8"/>
  <c r="M1386" i="8"/>
  <c r="I1386" i="8"/>
  <c r="H1387" i="8"/>
  <c r="J1387" i="8"/>
  <c r="K1387" i="8"/>
  <c r="L1387" i="8"/>
  <c r="M1387" i="8"/>
  <c r="I1387" i="8"/>
  <c r="H1388" i="8"/>
  <c r="J1388" i="8"/>
  <c r="K1388" i="8"/>
  <c r="L1388" i="8"/>
  <c r="M1388" i="8"/>
  <c r="I1388" i="8"/>
  <c r="H1389" i="8"/>
  <c r="J1389" i="8"/>
  <c r="K1389" i="8"/>
  <c r="L1389" i="8"/>
  <c r="M1389" i="8"/>
  <c r="I1389" i="8"/>
  <c r="H1390" i="8"/>
  <c r="J1390" i="8"/>
  <c r="K1390" i="8"/>
  <c r="L1390" i="8"/>
  <c r="M1390" i="8"/>
  <c r="I1390" i="8"/>
  <c r="H1391" i="8"/>
  <c r="J1391" i="8"/>
  <c r="K1391" i="8"/>
  <c r="L1391" i="8"/>
  <c r="M1391" i="8"/>
  <c r="I1391" i="8"/>
  <c r="H1392" i="8"/>
  <c r="J1392" i="8"/>
  <c r="K1392" i="8"/>
  <c r="L1392" i="8"/>
  <c r="M1392" i="8"/>
  <c r="I1392" i="8"/>
  <c r="H1393" i="8"/>
  <c r="J1393" i="8"/>
  <c r="K1393" i="8"/>
  <c r="L1393" i="8"/>
  <c r="M1393" i="8"/>
  <c r="I1393" i="8"/>
  <c r="H1394" i="8"/>
  <c r="J1394" i="8"/>
  <c r="K1394" i="8"/>
  <c r="L1394" i="8"/>
  <c r="M1394" i="8"/>
  <c r="I1394" i="8"/>
  <c r="H1395" i="8"/>
  <c r="J1395" i="8"/>
  <c r="K1395" i="8"/>
  <c r="L1395" i="8"/>
  <c r="M1395" i="8"/>
  <c r="I1395" i="8"/>
  <c r="H1396" i="8"/>
  <c r="J1396" i="8"/>
  <c r="K1396" i="8"/>
  <c r="L1396" i="8"/>
  <c r="M1396" i="8"/>
  <c r="I1396" i="8"/>
  <c r="H1397" i="8"/>
  <c r="J1397" i="8"/>
  <c r="K1397" i="8"/>
  <c r="L1397" i="8"/>
  <c r="M1397" i="8"/>
  <c r="I1397" i="8"/>
  <c r="H1398" i="8"/>
  <c r="J1398" i="8"/>
  <c r="K1398" i="8"/>
  <c r="L1398" i="8"/>
  <c r="M1398" i="8"/>
  <c r="I1398" i="8"/>
  <c r="H1399" i="8"/>
  <c r="J1399" i="8"/>
  <c r="K1399" i="8"/>
  <c r="L1399" i="8"/>
  <c r="M1399" i="8"/>
  <c r="I1399" i="8"/>
  <c r="H1400" i="8"/>
  <c r="J1400" i="8"/>
  <c r="K1400" i="8"/>
  <c r="L1400" i="8"/>
  <c r="M1400" i="8"/>
  <c r="I1400" i="8"/>
  <c r="H1401" i="8"/>
  <c r="J1401" i="8"/>
  <c r="K1401" i="8"/>
  <c r="L1401" i="8"/>
  <c r="M1401" i="8"/>
  <c r="I1401" i="8"/>
  <c r="H1402" i="8"/>
  <c r="J1402" i="8"/>
  <c r="K1402" i="8"/>
  <c r="L1402" i="8"/>
  <c r="M1402" i="8"/>
  <c r="I1402" i="8"/>
  <c r="H1403" i="8"/>
  <c r="J1403" i="8"/>
  <c r="K1403" i="8"/>
  <c r="L1403" i="8"/>
  <c r="M1403" i="8"/>
  <c r="I1403" i="8"/>
  <c r="H1404" i="8"/>
  <c r="J1404" i="8"/>
  <c r="K1404" i="8"/>
  <c r="L1404" i="8"/>
  <c r="M1404" i="8"/>
  <c r="I1404" i="8"/>
  <c r="H1405" i="8"/>
  <c r="J1405" i="8"/>
  <c r="K1405" i="8"/>
  <c r="L1405" i="8"/>
  <c r="M1405" i="8"/>
  <c r="I1405" i="8"/>
  <c r="H1406" i="8"/>
  <c r="J1406" i="8"/>
  <c r="K1406" i="8"/>
  <c r="L1406" i="8"/>
  <c r="M1406" i="8"/>
  <c r="I1406" i="8"/>
  <c r="H1407" i="8"/>
  <c r="J1407" i="8"/>
  <c r="K1407" i="8"/>
  <c r="L1407" i="8"/>
  <c r="M1407" i="8"/>
  <c r="I1407" i="8"/>
  <c r="H1408" i="8"/>
  <c r="J1408" i="8"/>
  <c r="K1408" i="8"/>
  <c r="L1408" i="8"/>
  <c r="M1408" i="8"/>
  <c r="I1408" i="8"/>
  <c r="H1409" i="8"/>
  <c r="J1409" i="8"/>
  <c r="K1409" i="8"/>
  <c r="L1409" i="8"/>
  <c r="M1409" i="8"/>
  <c r="I1409" i="8"/>
  <c r="H1410" i="8"/>
  <c r="J1410" i="8"/>
  <c r="K1410" i="8"/>
  <c r="L1410" i="8"/>
  <c r="M1410" i="8"/>
  <c r="I1410" i="8"/>
  <c r="H1411" i="8"/>
  <c r="J1411" i="8"/>
  <c r="K1411" i="8"/>
  <c r="L1411" i="8"/>
  <c r="M1411" i="8"/>
  <c r="I1411" i="8"/>
  <c r="H1412" i="8"/>
  <c r="J1412" i="8"/>
  <c r="K1412" i="8"/>
  <c r="L1412" i="8"/>
  <c r="M1412" i="8"/>
  <c r="I1412" i="8"/>
  <c r="H1413" i="8"/>
  <c r="J1413" i="8"/>
  <c r="K1413" i="8"/>
  <c r="L1413" i="8"/>
  <c r="M1413" i="8"/>
  <c r="I1413" i="8"/>
  <c r="H1414" i="8"/>
  <c r="J1414" i="8"/>
  <c r="K1414" i="8"/>
  <c r="L1414" i="8"/>
  <c r="M1414" i="8"/>
  <c r="I1414" i="8"/>
  <c r="H1415" i="8"/>
  <c r="J1415" i="8"/>
  <c r="K1415" i="8"/>
  <c r="L1415" i="8"/>
  <c r="M1415" i="8"/>
  <c r="I1415" i="8"/>
  <c r="H1416" i="8"/>
  <c r="J1416" i="8"/>
  <c r="K1416" i="8"/>
  <c r="L1416" i="8"/>
  <c r="M1416" i="8"/>
  <c r="I1416" i="8"/>
  <c r="H1417" i="8"/>
  <c r="J1417" i="8"/>
  <c r="K1417" i="8"/>
  <c r="L1417" i="8"/>
  <c r="M1417" i="8"/>
  <c r="I1417" i="8"/>
  <c r="H1418" i="8"/>
  <c r="J1418" i="8"/>
  <c r="K1418" i="8"/>
  <c r="L1418" i="8"/>
  <c r="M1418" i="8"/>
  <c r="I1418" i="8"/>
  <c r="H1419" i="8"/>
  <c r="J1419" i="8"/>
  <c r="K1419" i="8"/>
  <c r="L1419" i="8"/>
  <c r="M1419" i="8"/>
  <c r="I1419" i="8"/>
  <c r="H1420" i="8"/>
  <c r="J1420" i="8"/>
  <c r="K1420" i="8"/>
  <c r="L1420" i="8"/>
  <c r="M1420" i="8"/>
  <c r="I1420" i="8"/>
  <c r="H1421" i="8"/>
  <c r="J1421" i="8"/>
  <c r="K1421" i="8"/>
  <c r="L1421" i="8"/>
  <c r="M1421" i="8"/>
  <c r="I1421" i="8"/>
  <c r="H1422" i="8"/>
  <c r="J1422" i="8"/>
  <c r="K1422" i="8"/>
  <c r="L1422" i="8"/>
  <c r="M1422" i="8"/>
  <c r="I1422" i="8"/>
  <c r="H1423" i="8"/>
  <c r="J1423" i="8"/>
  <c r="K1423" i="8"/>
  <c r="L1423" i="8"/>
  <c r="M1423" i="8"/>
  <c r="I1423" i="8"/>
  <c r="H1424" i="8"/>
  <c r="J1424" i="8"/>
  <c r="K1424" i="8"/>
  <c r="L1424" i="8"/>
  <c r="M1424" i="8"/>
  <c r="I1424" i="8"/>
  <c r="H1425" i="8"/>
  <c r="J1425" i="8"/>
  <c r="K1425" i="8"/>
  <c r="L1425" i="8"/>
  <c r="M1425" i="8"/>
  <c r="I1425" i="8"/>
  <c r="H1426" i="8"/>
  <c r="J1426" i="8"/>
  <c r="K1426" i="8"/>
  <c r="L1426" i="8"/>
  <c r="M1426" i="8"/>
  <c r="I1426" i="8"/>
  <c r="H1427" i="8"/>
  <c r="J1427" i="8"/>
  <c r="K1427" i="8"/>
  <c r="L1427" i="8"/>
  <c r="M1427" i="8"/>
  <c r="I1427" i="8"/>
  <c r="H1428" i="8"/>
  <c r="J1428" i="8"/>
  <c r="K1428" i="8"/>
  <c r="L1428" i="8"/>
  <c r="M1428" i="8"/>
  <c r="I1428" i="8"/>
  <c r="H1429" i="8"/>
  <c r="J1429" i="8"/>
  <c r="K1429" i="8"/>
  <c r="L1429" i="8"/>
  <c r="M1429" i="8"/>
  <c r="I1429" i="8"/>
  <c r="H1430" i="8"/>
  <c r="J1430" i="8"/>
  <c r="K1430" i="8"/>
  <c r="L1430" i="8"/>
  <c r="M1430" i="8"/>
  <c r="I1430" i="8"/>
  <c r="H1431" i="8"/>
  <c r="J1431" i="8"/>
  <c r="K1431" i="8"/>
  <c r="L1431" i="8"/>
  <c r="M1431" i="8"/>
  <c r="I1431" i="8"/>
  <c r="H1432" i="8"/>
  <c r="J1432" i="8"/>
  <c r="K1432" i="8"/>
  <c r="L1432" i="8"/>
  <c r="M1432" i="8"/>
  <c r="I1432" i="8"/>
  <c r="H1433" i="8"/>
  <c r="J1433" i="8"/>
  <c r="K1433" i="8"/>
  <c r="L1433" i="8"/>
  <c r="M1433" i="8"/>
  <c r="I1433" i="8"/>
  <c r="H1434" i="8"/>
  <c r="J1434" i="8"/>
  <c r="K1434" i="8"/>
  <c r="L1434" i="8"/>
  <c r="M1434" i="8"/>
  <c r="I1434" i="8"/>
  <c r="H1435" i="8"/>
  <c r="J1435" i="8"/>
  <c r="K1435" i="8"/>
  <c r="L1435" i="8"/>
  <c r="M1435" i="8"/>
  <c r="I1435" i="8"/>
  <c r="H1436" i="8"/>
  <c r="J1436" i="8"/>
  <c r="K1436" i="8"/>
  <c r="L1436" i="8"/>
  <c r="M1436" i="8"/>
  <c r="I1436" i="8"/>
  <c r="H1437" i="8"/>
  <c r="J1437" i="8"/>
  <c r="K1437" i="8"/>
  <c r="L1437" i="8"/>
  <c r="M1437" i="8"/>
  <c r="I1437" i="8"/>
  <c r="H1438" i="8"/>
  <c r="J1438" i="8"/>
  <c r="K1438" i="8"/>
  <c r="L1438" i="8"/>
  <c r="M1438" i="8"/>
  <c r="I1438" i="8"/>
  <c r="H1439" i="8"/>
  <c r="J1439" i="8"/>
  <c r="K1439" i="8"/>
  <c r="L1439" i="8"/>
  <c r="M1439" i="8"/>
  <c r="I1439" i="8"/>
  <c r="H1440" i="8"/>
  <c r="J1440" i="8"/>
  <c r="K1440" i="8"/>
  <c r="L1440" i="8"/>
  <c r="M1440" i="8"/>
  <c r="I1440" i="8"/>
  <c r="H1441" i="8"/>
  <c r="J1441" i="8"/>
  <c r="K1441" i="8"/>
  <c r="L1441" i="8"/>
  <c r="M1441" i="8"/>
  <c r="I1441" i="8"/>
  <c r="H1442" i="8"/>
  <c r="J1442" i="8"/>
  <c r="K1442" i="8"/>
  <c r="L1442" i="8"/>
  <c r="M1442" i="8"/>
  <c r="I1442" i="8"/>
  <c r="H1443" i="8"/>
  <c r="J1443" i="8"/>
  <c r="K1443" i="8"/>
  <c r="L1443" i="8"/>
  <c r="M1443" i="8"/>
  <c r="I1443" i="8"/>
  <c r="H1444" i="8"/>
  <c r="J1444" i="8"/>
  <c r="K1444" i="8"/>
  <c r="L1444" i="8"/>
  <c r="M1444" i="8"/>
  <c r="I1444" i="8"/>
  <c r="H1445" i="8"/>
  <c r="J1445" i="8"/>
  <c r="K1445" i="8"/>
  <c r="L1445" i="8"/>
  <c r="M1445" i="8"/>
  <c r="I1445" i="8"/>
  <c r="H1446" i="8"/>
  <c r="J1446" i="8"/>
  <c r="K1446" i="8"/>
  <c r="L1446" i="8"/>
  <c r="M1446" i="8"/>
  <c r="I1446" i="8"/>
  <c r="H1447" i="8"/>
  <c r="J1447" i="8"/>
  <c r="K1447" i="8"/>
  <c r="L1447" i="8"/>
  <c r="M1447" i="8"/>
  <c r="I1447" i="8"/>
  <c r="H1448" i="8"/>
  <c r="J1448" i="8"/>
  <c r="K1448" i="8"/>
  <c r="L1448" i="8"/>
  <c r="M1448" i="8"/>
  <c r="I1448" i="8"/>
  <c r="H1449" i="8"/>
  <c r="J1449" i="8"/>
  <c r="K1449" i="8"/>
  <c r="L1449" i="8"/>
  <c r="M1449" i="8"/>
  <c r="I1449" i="8"/>
  <c r="H1450" i="8"/>
  <c r="J1450" i="8"/>
  <c r="K1450" i="8"/>
  <c r="L1450" i="8"/>
  <c r="M1450" i="8"/>
  <c r="I1450" i="8"/>
  <c r="H1451" i="8"/>
  <c r="J1451" i="8"/>
  <c r="K1451" i="8"/>
  <c r="L1451" i="8"/>
  <c r="M1451" i="8"/>
  <c r="I1451" i="8"/>
  <c r="H1452" i="8"/>
  <c r="J1452" i="8"/>
  <c r="K1452" i="8"/>
  <c r="L1452" i="8"/>
  <c r="M1452" i="8"/>
  <c r="I1452" i="8"/>
  <c r="H1453" i="8"/>
  <c r="J1453" i="8"/>
  <c r="K1453" i="8"/>
  <c r="L1453" i="8"/>
  <c r="M1453" i="8"/>
  <c r="I1453" i="8"/>
  <c r="H1454" i="8"/>
  <c r="J1454" i="8"/>
  <c r="K1454" i="8"/>
  <c r="L1454" i="8"/>
  <c r="M1454" i="8"/>
  <c r="I1454" i="8"/>
  <c r="H1455" i="8"/>
  <c r="J1455" i="8"/>
  <c r="K1455" i="8"/>
  <c r="L1455" i="8"/>
  <c r="M1455" i="8"/>
  <c r="I1455" i="8"/>
  <c r="H1456" i="8"/>
  <c r="J1456" i="8"/>
  <c r="K1456" i="8"/>
  <c r="L1456" i="8"/>
  <c r="M1456" i="8"/>
  <c r="I1456" i="8"/>
  <c r="H1457" i="8"/>
  <c r="J1457" i="8"/>
  <c r="K1457" i="8"/>
  <c r="L1457" i="8"/>
  <c r="M1457" i="8"/>
  <c r="I1457" i="8"/>
  <c r="H1458" i="8"/>
  <c r="J1458" i="8"/>
  <c r="K1458" i="8"/>
  <c r="L1458" i="8"/>
  <c r="M1458" i="8"/>
  <c r="I1458" i="8"/>
  <c r="H1459" i="8"/>
  <c r="J1459" i="8"/>
  <c r="K1459" i="8"/>
  <c r="L1459" i="8"/>
  <c r="M1459" i="8"/>
  <c r="I1459" i="8"/>
  <c r="H1460" i="8"/>
  <c r="J1460" i="8"/>
  <c r="K1460" i="8"/>
  <c r="L1460" i="8"/>
  <c r="M1460" i="8"/>
  <c r="I1460" i="8"/>
  <c r="H1461" i="8"/>
  <c r="J1461" i="8"/>
  <c r="K1461" i="8"/>
  <c r="L1461" i="8"/>
  <c r="M1461" i="8"/>
  <c r="I1461" i="8"/>
  <c r="H1462" i="8"/>
  <c r="J1462" i="8"/>
  <c r="K1462" i="8"/>
  <c r="L1462" i="8"/>
  <c r="M1462" i="8"/>
  <c r="I1462" i="8"/>
  <c r="H1463" i="8"/>
  <c r="J1463" i="8"/>
  <c r="K1463" i="8"/>
  <c r="L1463" i="8"/>
  <c r="M1463" i="8"/>
  <c r="I1463" i="8"/>
  <c r="H1464" i="8"/>
  <c r="J1464" i="8"/>
  <c r="K1464" i="8"/>
  <c r="L1464" i="8"/>
  <c r="M1464" i="8"/>
  <c r="I1464" i="8"/>
  <c r="H1465" i="8"/>
  <c r="J1465" i="8"/>
  <c r="K1465" i="8"/>
  <c r="L1465" i="8"/>
  <c r="M1465" i="8"/>
  <c r="I1465" i="8"/>
  <c r="H1466" i="8"/>
  <c r="J1466" i="8"/>
  <c r="K1466" i="8"/>
  <c r="L1466" i="8"/>
  <c r="M1466" i="8"/>
  <c r="I1466" i="8"/>
  <c r="H1467" i="8"/>
  <c r="J1467" i="8"/>
  <c r="K1467" i="8"/>
  <c r="L1467" i="8"/>
  <c r="M1467" i="8"/>
  <c r="I1467" i="8"/>
  <c r="H1468" i="8"/>
  <c r="J1468" i="8"/>
  <c r="K1468" i="8"/>
  <c r="L1468" i="8"/>
  <c r="M1468" i="8"/>
  <c r="I1468" i="8"/>
  <c r="H1469" i="8"/>
  <c r="J1469" i="8"/>
  <c r="K1469" i="8"/>
  <c r="L1469" i="8"/>
  <c r="M1469" i="8"/>
  <c r="I1469" i="8"/>
  <c r="H1470" i="8"/>
  <c r="J1470" i="8"/>
  <c r="K1470" i="8"/>
  <c r="L1470" i="8"/>
  <c r="M1470" i="8"/>
  <c r="I1470" i="8"/>
  <c r="H1471" i="8"/>
  <c r="J1471" i="8"/>
  <c r="K1471" i="8"/>
  <c r="L1471" i="8"/>
  <c r="M1471" i="8"/>
  <c r="I1471" i="8"/>
  <c r="H1472" i="8"/>
  <c r="J1472" i="8"/>
  <c r="K1472" i="8"/>
  <c r="L1472" i="8"/>
  <c r="M1472" i="8"/>
  <c r="I1472" i="8"/>
  <c r="H1473" i="8"/>
  <c r="J1473" i="8"/>
  <c r="K1473" i="8"/>
  <c r="L1473" i="8"/>
  <c r="M1473" i="8"/>
  <c r="I1473" i="8"/>
  <c r="H1474" i="8"/>
  <c r="J1474" i="8"/>
  <c r="K1474" i="8"/>
  <c r="L1474" i="8"/>
  <c r="M1474" i="8"/>
  <c r="I1474" i="8"/>
  <c r="H1475" i="8"/>
  <c r="J1475" i="8"/>
  <c r="K1475" i="8"/>
  <c r="L1475" i="8"/>
  <c r="M1475" i="8"/>
  <c r="I1475" i="8"/>
  <c r="H1476" i="8"/>
  <c r="J1476" i="8"/>
  <c r="K1476" i="8"/>
  <c r="L1476" i="8"/>
  <c r="M1476" i="8"/>
  <c r="I1476" i="8"/>
  <c r="H1477" i="8"/>
  <c r="J1477" i="8"/>
  <c r="K1477" i="8"/>
  <c r="L1477" i="8"/>
  <c r="M1477" i="8"/>
  <c r="I1477" i="8"/>
  <c r="H1478" i="8"/>
  <c r="J1478" i="8"/>
  <c r="K1478" i="8"/>
  <c r="L1478" i="8"/>
  <c r="M1478" i="8"/>
  <c r="I1478" i="8"/>
  <c r="H1479" i="8"/>
  <c r="J1479" i="8"/>
  <c r="K1479" i="8"/>
  <c r="L1479" i="8"/>
  <c r="M1479" i="8"/>
  <c r="I1479" i="8"/>
  <c r="H1480" i="8"/>
  <c r="J1480" i="8"/>
  <c r="K1480" i="8"/>
  <c r="L1480" i="8"/>
  <c r="M1480" i="8"/>
  <c r="I1480" i="8"/>
  <c r="H1481" i="8"/>
  <c r="J1481" i="8"/>
  <c r="K1481" i="8"/>
  <c r="L1481" i="8"/>
  <c r="M1481" i="8"/>
  <c r="I1481" i="8"/>
  <c r="H1482" i="8"/>
  <c r="J1482" i="8"/>
  <c r="K1482" i="8"/>
  <c r="L1482" i="8"/>
  <c r="M1482" i="8"/>
  <c r="I1482" i="8"/>
  <c r="H1483" i="8"/>
  <c r="J1483" i="8"/>
  <c r="K1483" i="8"/>
  <c r="L1483" i="8"/>
  <c r="M1483" i="8"/>
  <c r="I1483" i="8"/>
  <c r="H1484" i="8"/>
  <c r="J1484" i="8"/>
  <c r="K1484" i="8"/>
  <c r="L1484" i="8"/>
  <c r="M1484" i="8"/>
  <c r="I1484" i="8"/>
  <c r="H1485" i="8"/>
  <c r="J1485" i="8"/>
  <c r="K1485" i="8"/>
  <c r="L1485" i="8"/>
  <c r="M1485" i="8"/>
  <c r="I1485" i="8"/>
  <c r="H1486" i="8"/>
  <c r="J1486" i="8"/>
  <c r="K1486" i="8"/>
  <c r="L1486" i="8"/>
  <c r="M1486" i="8"/>
  <c r="I1486" i="8"/>
  <c r="H1487" i="8"/>
  <c r="J1487" i="8"/>
  <c r="K1487" i="8"/>
  <c r="L1487" i="8"/>
  <c r="M1487" i="8"/>
  <c r="I1487" i="8"/>
  <c r="H1488" i="8"/>
  <c r="J1488" i="8"/>
  <c r="K1488" i="8"/>
  <c r="L1488" i="8"/>
  <c r="M1488" i="8"/>
  <c r="I1488" i="8"/>
  <c r="H1489" i="8"/>
  <c r="J1489" i="8"/>
  <c r="K1489" i="8"/>
  <c r="L1489" i="8"/>
  <c r="M1489" i="8"/>
  <c r="I1489" i="8"/>
  <c r="H1490" i="8"/>
  <c r="J1490" i="8"/>
  <c r="K1490" i="8"/>
  <c r="L1490" i="8"/>
  <c r="M1490" i="8"/>
  <c r="I1490" i="8"/>
  <c r="H1491" i="8"/>
  <c r="J1491" i="8"/>
  <c r="K1491" i="8"/>
  <c r="L1491" i="8"/>
  <c r="M1491" i="8"/>
  <c r="I1491" i="8"/>
  <c r="H1492" i="8"/>
  <c r="J1492" i="8"/>
  <c r="K1492" i="8"/>
  <c r="L1492" i="8"/>
  <c r="M1492" i="8"/>
  <c r="I1492" i="8"/>
  <c r="H1493" i="8"/>
  <c r="J1493" i="8"/>
  <c r="K1493" i="8"/>
  <c r="L1493" i="8"/>
  <c r="M1493" i="8"/>
  <c r="I1493" i="8"/>
  <c r="H1494" i="8"/>
  <c r="J1494" i="8"/>
  <c r="K1494" i="8"/>
  <c r="L1494" i="8"/>
  <c r="M1494" i="8"/>
  <c r="I1494" i="8"/>
  <c r="H1495" i="8"/>
  <c r="J1495" i="8"/>
  <c r="K1495" i="8"/>
  <c r="L1495" i="8"/>
  <c r="M1495" i="8"/>
  <c r="I1495" i="8"/>
  <c r="H1496" i="8"/>
  <c r="J1496" i="8"/>
  <c r="K1496" i="8"/>
  <c r="L1496" i="8"/>
  <c r="M1496" i="8"/>
  <c r="I1496" i="8"/>
  <c r="H1497" i="8"/>
  <c r="J1497" i="8"/>
  <c r="K1497" i="8"/>
  <c r="L1497" i="8"/>
  <c r="M1497" i="8"/>
  <c r="I1497" i="8"/>
  <c r="H1498" i="8"/>
  <c r="J1498" i="8"/>
  <c r="K1498" i="8"/>
  <c r="L1498" i="8"/>
  <c r="M1498" i="8"/>
  <c r="I1498" i="8"/>
  <c r="H1499" i="8"/>
  <c r="J1499" i="8"/>
  <c r="K1499" i="8"/>
  <c r="L1499" i="8"/>
  <c r="M1499" i="8"/>
  <c r="I1499" i="8"/>
  <c r="H1500" i="8"/>
  <c r="J1500" i="8"/>
  <c r="K1500" i="8"/>
  <c r="L1500" i="8"/>
  <c r="M1500" i="8"/>
  <c r="I1500" i="8"/>
  <c r="H1501" i="8"/>
  <c r="J1501" i="8"/>
  <c r="K1501" i="8"/>
  <c r="L1501" i="8"/>
  <c r="M1501" i="8"/>
  <c r="I1501" i="8"/>
  <c r="H1502" i="8"/>
  <c r="J1502" i="8"/>
  <c r="K1502" i="8"/>
  <c r="L1502" i="8"/>
  <c r="M1502" i="8"/>
  <c r="I1502" i="8"/>
  <c r="H1503" i="8"/>
  <c r="J1503" i="8"/>
  <c r="K1503" i="8"/>
  <c r="L1503" i="8"/>
  <c r="M1503" i="8"/>
  <c r="I1503" i="8"/>
  <c r="H1504" i="8"/>
  <c r="J1504" i="8"/>
  <c r="K1504" i="8"/>
  <c r="L1504" i="8"/>
  <c r="M1504" i="8"/>
  <c r="I1504" i="8"/>
  <c r="H1505" i="8"/>
  <c r="J1505" i="8"/>
  <c r="K1505" i="8"/>
  <c r="L1505" i="8"/>
  <c r="M1505" i="8"/>
  <c r="I1505" i="8"/>
  <c r="H1506" i="8"/>
  <c r="J1506" i="8"/>
  <c r="K1506" i="8"/>
  <c r="L1506" i="8"/>
  <c r="M1506" i="8"/>
  <c r="I1506" i="8"/>
  <c r="H1507" i="8"/>
  <c r="J1507" i="8"/>
  <c r="K1507" i="8"/>
  <c r="L1507" i="8"/>
  <c r="M1507" i="8"/>
  <c r="I1507" i="8"/>
  <c r="H1508" i="8"/>
  <c r="J1508" i="8"/>
  <c r="K1508" i="8"/>
  <c r="L1508" i="8"/>
  <c r="M1508" i="8"/>
  <c r="I1508" i="8"/>
  <c r="H1509" i="8"/>
  <c r="J1509" i="8"/>
  <c r="K1509" i="8"/>
  <c r="L1509" i="8"/>
  <c r="M1509" i="8"/>
  <c r="I1509" i="8"/>
  <c r="H1510" i="8"/>
  <c r="J1510" i="8"/>
  <c r="K1510" i="8"/>
  <c r="L1510" i="8"/>
  <c r="M1510" i="8"/>
  <c r="I1510" i="8"/>
  <c r="H1511" i="8"/>
  <c r="J1511" i="8"/>
  <c r="K1511" i="8"/>
  <c r="L1511" i="8"/>
  <c r="M1511" i="8"/>
  <c r="I1511" i="8"/>
  <c r="H1512" i="8"/>
  <c r="J1512" i="8"/>
  <c r="K1512" i="8"/>
  <c r="L1512" i="8"/>
  <c r="M1512" i="8"/>
  <c r="I1512" i="8"/>
  <c r="H1513" i="8"/>
  <c r="J1513" i="8"/>
  <c r="K1513" i="8"/>
  <c r="L1513" i="8"/>
  <c r="M1513" i="8"/>
  <c r="I1513" i="8"/>
  <c r="H1514" i="8"/>
  <c r="J1514" i="8"/>
  <c r="K1514" i="8"/>
  <c r="L1514" i="8"/>
  <c r="M1514" i="8"/>
  <c r="I1514" i="8"/>
  <c r="H1515" i="8"/>
  <c r="J1515" i="8"/>
  <c r="K1515" i="8"/>
  <c r="L1515" i="8"/>
  <c r="M1515" i="8"/>
  <c r="I1515" i="8"/>
  <c r="H1516" i="8"/>
  <c r="J1516" i="8"/>
  <c r="K1516" i="8"/>
  <c r="L1516" i="8"/>
  <c r="M1516" i="8"/>
  <c r="I1516" i="8"/>
  <c r="H1517" i="8"/>
  <c r="J1517" i="8"/>
  <c r="K1517" i="8"/>
  <c r="L1517" i="8"/>
  <c r="M1517" i="8"/>
  <c r="I1517" i="8"/>
  <c r="H1518" i="8"/>
  <c r="J1518" i="8"/>
  <c r="K1518" i="8"/>
  <c r="L1518" i="8"/>
  <c r="M1518" i="8"/>
  <c r="I1518" i="8"/>
  <c r="H1519" i="8"/>
  <c r="J1519" i="8"/>
  <c r="K1519" i="8"/>
  <c r="L1519" i="8"/>
  <c r="M1519" i="8"/>
  <c r="I1519" i="8"/>
  <c r="H1520" i="8"/>
  <c r="J1520" i="8"/>
  <c r="K1520" i="8"/>
  <c r="L1520" i="8"/>
  <c r="M1520" i="8"/>
  <c r="I1520" i="8"/>
  <c r="H1521" i="8"/>
  <c r="J1521" i="8"/>
  <c r="K1521" i="8"/>
  <c r="L1521" i="8"/>
  <c r="M1521" i="8"/>
  <c r="I1521" i="8"/>
  <c r="H1522" i="8"/>
  <c r="J1522" i="8"/>
  <c r="K1522" i="8"/>
  <c r="L1522" i="8"/>
  <c r="M1522" i="8"/>
  <c r="I1522" i="8"/>
  <c r="H1523" i="8"/>
  <c r="J1523" i="8"/>
  <c r="K1523" i="8"/>
  <c r="L1523" i="8"/>
  <c r="M1523" i="8"/>
  <c r="I1523" i="8"/>
  <c r="H1524" i="8"/>
  <c r="J1524" i="8"/>
  <c r="K1524" i="8"/>
  <c r="L1524" i="8"/>
  <c r="M1524" i="8"/>
  <c r="I1524" i="8"/>
  <c r="H1525" i="8"/>
  <c r="J1525" i="8"/>
  <c r="K1525" i="8"/>
  <c r="L1525" i="8"/>
  <c r="M1525" i="8"/>
  <c r="I1525" i="8"/>
  <c r="H1526" i="8"/>
  <c r="J1526" i="8"/>
  <c r="K1526" i="8"/>
  <c r="L1526" i="8"/>
  <c r="M1526" i="8"/>
  <c r="I1526" i="8"/>
  <c r="H1527" i="8"/>
  <c r="J1527" i="8"/>
  <c r="K1527" i="8"/>
  <c r="L1527" i="8"/>
  <c r="M1527" i="8"/>
  <c r="I1527" i="8"/>
  <c r="H1528" i="8"/>
  <c r="J1528" i="8"/>
  <c r="K1528" i="8"/>
  <c r="L1528" i="8"/>
  <c r="M1528" i="8"/>
  <c r="I1528" i="8"/>
  <c r="H1529" i="8"/>
  <c r="J1529" i="8"/>
  <c r="K1529" i="8"/>
  <c r="L1529" i="8"/>
  <c r="M1529" i="8"/>
  <c r="I1529" i="8"/>
  <c r="H1530" i="8"/>
  <c r="J1530" i="8"/>
  <c r="K1530" i="8"/>
  <c r="L1530" i="8"/>
  <c r="M1530" i="8"/>
  <c r="I1530" i="8"/>
  <c r="H1531" i="8"/>
  <c r="J1531" i="8"/>
  <c r="K1531" i="8"/>
  <c r="L1531" i="8"/>
  <c r="M1531" i="8"/>
  <c r="I1531" i="8"/>
  <c r="H1532" i="8"/>
  <c r="J1532" i="8"/>
  <c r="K1532" i="8"/>
  <c r="L1532" i="8"/>
  <c r="M1532" i="8"/>
  <c r="I1532" i="8"/>
  <c r="H1533" i="8"/>
  <c r="J1533" i="8"/>
  <c r="K1533" i="8"/>
  <c r="L1533" i="8"/>
  <c r="M1533" i="8"/>
  <c r="I1533" i="8"/>
  <c r="H1534" i="8"/>
  <c r="J1534" i="8"/>
  <c r="K1534" i="8"/>
  <c r="L1534" i="8"/>
  <c r="M1534" i="8"/>
  <c r="I1534" i="8"/>
  <c r="H1535" i="8"/>
  <c r="J1535" i="8"/>
  <c r="K1535" i="8"/>
  <c r="L1535" i="8"/>
  <c r="M1535" i="8"/>
  <c r="I1535" i="8"/>
  <c r="H1536" i="8"/>
  <c r="J1536" i="8"/>
  <c r="K1536" i="8"/>
  <c r="L1536" i="8"/>
  <c r="M1536" i="8"/>
  <c r="I1536" i="8"/>
  <c r="H1537" i="8"/>
  <c r="J1537" i="8"/>
  <c r="K1537" i="8"/>
  <c r="L1537" i="8"/>
  <c r="M1537" i="8"/>
  <c r="I1537" i="8"/>
  <c r="H1538" i="8"/>
  <c r="J1538" i="8"/>
  <c r="K1538" i="8"/>
  <c r="L1538" i="8"/>
  <c r="M1538" i="8"/>
  <c r="I1538" i="8"/>
  <c r="H1539" i="8"/>
  <c r="J1539" i="8"/>
  <c r="K1539" i="8"/>
  <c r="L1539" i="8"/>
  <c r="M1539" i="8"/>
  <c r="I1539" i="8"/>
  <c r="H1540" i="8"/>
  <c r="J1540" i="8"/>
  <c r="K1540" i="8"/>
  <c r="L1540" i="8"/>
  <c r="M1540" i="8"/>
  <c r="I1540" i="8"/>
  <c r="H1541" i="8"/>
  <c r="J1541" i="8"/>
  <c r="K1541" i="8"/>
  <c r="L1541" i="8"/>
  <c r="M1541" i="8"/>
  <c r="I1541" i="8"/>
  <c r="H1542" i="8"/>
  <c r="J1542" i="8"/>
  <c r="K1542" i="8"/>
  <c r="L1542" i="8"/>
  <c r="M1542" i="8"/>
  <c r="I1542" i="8"/>
  <c r="H1543" i="8"/>
  <c r="J1543" i="8"/>
  <c r="K1543" i="8"/>
  <c r="L1543" i="8"/>
  <c r="M1543" i="8"/>
  <c r="I1543" i="8"/>
  <c r="H1544" i="8"/>
  <c r="J1544" i="8"/>
  <c r="K1544" i="8"/>
  <c r="L1544" i="8"/>
  <c r="M1544" i="8"/>
  <c r="I1544" i="8"/>
  <c r="H1545" i="8"/>
  <c r="J1545" i="8"/>
  <c r="K1545" i="8"/>
  <c r="L1545" i="8"/>
  <c r="M1545" i="8"/>
  <c r="I1545" i="8"/>
  <c r="H1546" i="8"/>
  <c r="J1546" i="8"/>
  <c r="K1546" i="8"/>
  <c r="L1546" i="8"/>
  <c r="M1546" i="8"/>
  <c r="I1546" i="8"/>
  <c r="H1547" i="8"/>
  <c r="J1547" i="8"/>
  <c r="K1547" i="8"/>
  <c r="L1547" i="8"/>
  <c r="M1547" i="8"/>
  <c r="I1547" i="8"/>
  <c r="H1548" i="8"/>
  <c r="J1548" i="8"/>
  <c r="K1548" i="8"/>
  <c r="L1548" i="8"/>
  <c r="M1548" i="8"/>
  <c r="I1548" i="8"/>
  <c r="H1549" i="8"/>
  <c r="J1549" i="8"/>
  <c r="K1549" i="8"/>
  <c r="L1549" i="8"/>
  <c r="M1549" i="8"/>
  <c r="I1549" i="8"/>
  <c r="H1550" i="8"/>
  <c r="J1550" i="8"/>
  <c r="K1550" i="8"/>
  <c r="L1550" i="8"/>
  <c r="M1550" i="8"/>
  <c r="I1550" i="8"/>
  <c r="H1551" i="8"/>
  <c r="J1551" i="8"/>
  <c r="K1551" i="8"/>
  <c r="L1551" i="8"/>
  <c r="M1551" i="8"/>
  <c r="I1551" i="8"/>
  <c r="H1552" i="8"/>
  <c r="J1552" i="8"/>
  <c r="K1552" i="8"/>
  <c r="L1552" i="8"/>
  <c r="M1552" i="8"/>
  <c r="I1552" i="8"/>
  <c r="H1553" i="8"/>
  <c r="J1553" i="8"/>
  <c r="K1553" i="8"/>
  <c r="L1553" i="8"/>
  <c r="M1553" i="8"/>
  <c r="I1553" i="8"/>
  <c r="H1554" i="8"/>
  <c r="J1554" i="8"/>
  <c r="K1554" i="8"/>
  <c r="L1554" i="8"/>
  <c r="M1554" i="8"/>
  <c r="I1554" i="8"/>
  <c r="H1555" i="8"/>
  <c r="J1555" i="8"/>
  <c r="K1555" i="8"/>
  <c r="L1555" i="8"/>
  <c r="M1555" i="8"/>
  <c r="I1555" i="8"/>
  <c r="H1556" i="8"/>
  <c r="J1556" i="8"/>
  <c r="K1556" i="8"/>
  <c r="L1556" i="8"/>
  <c r="M1556" i="8"/>
  <c r="I1556" i="8"/>
  <c r="H1557" i="8"/>
  <c r="J1557" i="8"/>
  <c r="K1557" i="8"/>
  <c r="L1557" i="8"/>
  <c r="M1557" i="8"/>
  <c r="I1557" i="8"/>
  <c r="H1558" i="8"/>
  <c r="J1558" i="8"/>
  <c r="K1558" i="8"/>
  <c r="L1558" i="8"/>
  <c r="M1558" i="8"/>
  <c r="I1558" i="8"/>
  <c r="H1559" i="8"/>
  <c r="J1559" i="8"/>
  <c r="K1559" i="8"/>
  <c r="L1559" i="8"/>
  <c r="M1559" i="8"/>
  <c r="I1559" i="8"/>
  <c r="H1560" i="8"/>
  <c r="J1560" i="8"/>
  <c r="K1560" i="8"/>
  <c r="L1560" i="8"/>
  <c r="M1560" i="8"/>
  <c r="I1560" i="8"/>
  <c r="H1561" i="8"/>
  <c r="J1561" i="8"/>
  <c r="K1561" i="8"/>
  <c r="L1561" i="8"/>
  <c r="M1561" i="8"/>
  <c r="I1561" i="8"/>
  <c r="H1562" i="8"/>
  <c r="J1562" i="8"/>
  <c r="K1562" i="8"/>
  <c r="L1562" i="8"/>
  <c r="M1562" i="8"/>
  <c r="I1562" i="8"/>
  <c r="H1563" i="8"/>
  <c r="J1563" i="8"/>
  <c r="K1563" i="8"/>
  <c r="L1563" i="8"/>
  <c r="M1563" i="8"/>
  <c r="I1563" i="8"/>
  <c r="H1564" i="8"/>
  <c r="J1564" i="8"/>
  <c r="K1564" i="8"/>
  <c r="L1564" i="8"/>
  <c r="M1564" i="8"/>
  <c r="I1564" i="8"/>
  <c r="H1565" i="8"/>
  <c r="J1565" i="8"/>
  <c r="K1565" i="8"/>
  <c r="L1565" i="8"/>
  <c r="M1565" i="8"/>
  <c r="I1565" i="8"/>
  <c r="H1566" i="8"/>
  <c r="J1566" i="8"/>
  <c r="K1566" i="8"/>
  <c r="L1566" i="8"/>
  <c r="M1566" i="8"/>
  <c r="I1566" i="8"/>
  <c r="H1567" i="8"/>
  <c r="J1567" i="8"/>
  <c r="K1567" i="8"/>
  <c r="L1567" i="8"/>
  <c r="M1567" i="8"/>
  <c r="I1567" i="8"/>
  <c r="H1568" i="8"/>
  <c r="J1568" i="8"/>
  <c r="K1568" i="8"/>
  <c r="L1568" i="8"/>
  <c r="M1568" i="8"/>
  <c r="I1568" i="8"/>
  <c r="H1569" i="8"/>
  <c r="J1569" i="8"/>
  <c r="K1569" i="8"/>
  <c r="L1569" i="8"/>
  <c r="M1569" i="8"/>
  <c r="I1569" i="8"/>
  <c r="H1570" i="8"/>
  <c r="J1570" i="8"/>
  <c r="K1570" i="8"/>
  <c r="L1570" i="8"/>
  <c r="M1570" i="8"/>
  <c r="I1570" i="8"/>
  <c r="H1571" i="8"/>
  <c r="J1571" i="8"/>
  <c r="K1571" i="8"/>
  <c r="L1571" i="8"/>
  <c r="M1571" i="8"/>
  <c r="I1571" i="8"/>
  <c r="H1572" i="8"/>
  <c r="J1572" i="8"/>
  <c r="K1572" i="8"/>
  <c r="L1572" i="8"/>
  <c r="M1572" i="8"/>
  <c r="I1572" i="8"/>
  <c r="H1573" i="8"/>
  <c r="J1573" i="8"/>
  <c r="K1573" i="8"/>
  <c r="L1573" i="8"/>
  <c r="M1573" i="8"/>
  <c r="I1573" i="8"/>
  <c r="H1574" i="8"/>
  <c r="J1574" i="8"/>
  <c r="K1574" i="8"/>
  <c r="L1574" i="8"/>
  <c r="M1574" i="8"/>
  <c r="I1574" i="8"/>
  <c r="H1575" i="8"/>
  <c r="J1575" i="8"/>
  <c r="K1575" i="8"/>
  <c r="L1575" i="8"/>
  <c r="M1575" i="8"/>
  <c r="I1575" i="8"/>
  <c r="H1576" i="8"/>
  <c r="J1576" i="8"/>
  <c r="K1576" i="8"/>
  <c r="L1576" i="8"/>
  <c r="M1576" i="8"/>
  <c r="I1576" i="8"/>
  <c r="H1577" i="8"/>
  <c r="J1577" i="8"/>
  <c r="K1577" i="8"/>
  <c r="L1577" i="8"/>
  <c r="M1577" i="8"/>
  <c r="I1577" i="8"/>
  <c r="H1578" i="8"/>
  <c r="J1578" i="8"/>
  <c r="K1578" i="8"/>
  <c r="L1578" i="8"/>
  <c r="M1578" i="8"/>
  <c r="I1578" i="8"/>
  <c r="H1579" i="8"/>
  <c r="J1579" i="8"/>
  <c r="K1579" i="8"/>
  <c r="L1579" i="8"/>
  <c r="M1579" i="8"/>
  <c r="I1579" i="8"/>
  <c r="H1580" i="8"/>
  <c r="J1580" i="8"/>
  <c r="K1580" i="8"/>
  <c r="L1580" i="8"/>
  <c r="M1580" i="8"/>
  <c r="I1580" i="8"/>
  <c r="H1581" i="8"/>
  <c r="J1581" i="8"/>
  <c r="K1581" i="8"/>
  <c r="L1581" i="8"/>
  <c r="M1581" i="8"/>
  <c r="I1581" i="8"/>
  <c r="H1582" i="8"/>
  <c r="J1582" i="8"/>
  <c r="K1582" i="8"/>
  <c r="L1582" i="8"/>
  <c r="M1582" i="8"/>
  <c r="I1582" i="8"/>
  <c r="H1583" i="8"/>
  <c r="J1583" i="8"/>
  <c r="K1583" i="8"/>
  <c r="L1583" i="8"/>
  <c r="M1583" i="8"/>
  <c r="I1583" i="8"/>
  <c r="H1584" i="8"/>
  <c r="J1584" i="8"/>
  <c r="K1584" i="8"/>
  <c r="L1584" i="8"/>
  <c r="M1584" i="8"/>
  <c r="I1584" i="8"/>
  <c r="H1585" i="8"/>
  <c r="J1585" i="8"/>
  <c r="K1585" i="8"/>
  <c r="L1585" i="8"/>
  <c r="M1585" i="8"/>
  <c r="I1585" i="8"/>
  <c r="H1586" i="8"/>
  <c r="J1586" i="8"/>
  <c r="K1586" i="8"/>
  <c r="L1586" i="8"/>
  <c r="M1586" i="8"/>
  <c r="I1586" i="8"/>
  <c r="H1587" i="8"/>
  <c r="J1587" i="8"/>
  <c r="K1587" i="8"/>
  <c r="L1587" i="8"/>
  <c r="M1587" i="8"/>
  <c r="I1587" i="8"/>
  <c r="H1588" i="8"/>
  <c r="J1588" i="8"/>
  <c r="K1588" i="8"/>
  <c r="L1588" i="8"/>
  <c r="M1588" i="8"/>
  <c r="I1588" i="8"/>
  <c r="H1589" i="8"/>
  <c r="J1589" i="8"/>
  <c r="K1589" i="8"/>
  <c r="L1589" i="8"/>
  <c r="M1589" i="8"/>
  <c r="I1589" i="8"/>
  <c r="H1590" i="8"/>
  <c r="J1590" i="8"/>
  <c r="K1590" i="8"/>
  <c r="L1590" i="8"/>
  <c r="M1590" i="8"/>
  <c r="I1590" i="8"/>
  <c r="H1591" i="8"/>
  <c r="J1591" i="8"/>
  <c r="K1591" i="8"/>
  <c r="L1591" i="8"/>
  <c r="M1591" i="8"/>
  <c r="I1591" i="8"/>
  <c r="H1592" i="8"/>
  <c r="J1592" i="8"/>
  <c r="K1592" i="8"/>
  <c r="L1592" i="8"/>
  <c r="M1592" i="8"/>
  <c r="I1592" i="8"/>
  <c r="H1593" i="8"/>
  <c r="J1593" i="8"/>
  <c r="K1593" i="8"/>
  <c r="L1593" i="8"/>
  <c r="M1593" i="8"/>
  <c r="I1593" i="8"/>
  <c r="H1594" i="8"/>
  <c r="J1594" i="8"/>
  <c r="K1594" i="8"/>
  <c r="L1594" i="8"/>
  <c r="M1594" i="8"/>
  <c r="I1594" i="8"/>
  <c r="H1595" i="8"/>
  <c r="J1595" i="8"/>
  <c r="K1595" i="8"/>
  <c r="L1595" i="8"/>
  <c r="M1595" i="8"/>
  <c r="I1595" i="8"/>
  <c r="H1596" i="8"/>
  <c r="J1596" i="8"/>
  <c r="K1596" i="8"/>
  <c r="L1596" i="8"/>
  <c r="M1596" i="8"/>
  <c r="I1596" i="8"/>
  <c r="H1597" i="8"/>
  <c r="J1597" i="8"/>
  <c r="K1597" i="8"/>
  <c r="L1597" i="8"/>
  <c r="M1597" i="8"/>
  <c r="I1597" i="8"/>
  <c r="H1598" i="8"/>
  <c r="J1598" i="8"/>
  <c r="K1598" i="8"/>
  <c r="L1598" i="8"/>
  <c r="M1598" i="8"/>
  <c r="I1598" i="8"/>
  <c r="H1599" i="8"/>
  <c r="J1599" i="8"/>
  <c r="K1599" i="8"/>
  <c r="L1599" i="8"/>
  <c r="M1599" i="8"/>
  <c r="I1599" i="8"/>
  <c r="H1600" i="8"/>
  <c r="J1600" i="8"/>
  <c r="K1600" i="8"/>
  <c r="L1600" i="8"/>
  <c r="M1600" i="8"/>
  <c r="I1600" i="8"/>
  <c r="H1601" i="8"/>
  <c r="J1601" i="8"/>
  <c r="K1601" i="8"/>
  <c r="L1601" i="8"/>
  <c r="M1601" i="8"/>
  <c r="I1601" i="8"/>
  <c r="H1602" i="8"/>
  <c r="J1602" i="8"/>
  <c r="K1602" i="8"/>
  <c r="L1602" i="8"/>
  <c r="M1602" i="8"/>
  <c r="I1602" i="8"/>
  <c r="H1603" i="8"/>
  <c r="J1603" i="8"/>
  <c r="K1603" i="8"/>
  <c r="L1603" i="8"/>
  <c r="M1603" i="8"/>
  <c r="I1603" i="8"/>
  <c r="H1604" i="8"/>
  <c r="J1604" i="8"/>
  <c r="K1604" i="8"/>
  <c r="L1604" i="8"/>
  <c r="M1604" i="8"/>
  <c r="I1604" i="8"/>
  <c r="H1605" i="8"/>
  <c r="J1605" i="8"/>
  <c r="K1605" i="8"/>
  <c r="L1605" i="8"/>
  <c r="M1605" i="8"/>
  <c r="I1605" i="8"/>
  <c r="H1606" i="8"/>
  <c r="J1606" i="8"/>
  <c r="K1606" i="8"/>
  <c r="L1606" i="8"/>
  <c r="M1606" i="8"/>
  <c r="I1606" i="8"/>
  <c r="H1607" i="8"/>
  <c r="J1607" i="8"/>
  <c r="K1607" i="8"/>
  <c r="L1607" i="8"/>
  <c r="M1607" i="8"/>
  <c r="I1607" i="8"/>
  <c r="H1608" i="8"/>
  <c r="J1608" i="8"/>
  <c r="K1608" i="8"/>
  <c r="L1608" i="8"/>
  <c r="M1608" i="8"/>
  <c r="I1608" i="8"/>
  <c r="H1609" i="8"/>
  <c r="J1609" i="8"/>
  <c r="K1609" i="8"/>
  <c r="L1609" i="8"/>
  <c r="M1609" i="8"/>
  <c r="I1609" i="8"/>
  <c r="H1610" i="8"/>
  <c r="J1610" i="8"/>
  <c r="K1610" i="8"/>
  <c r="L1610" i="8"/>
  <c r="M1610" i="8"/>
  <c r="I1610" i="8"/>
  <c r="H1611" i="8"/>
  <c r="J1611" i="8"/>
  <c r="K1611" i="8"/>
  <c r="L1611" i="8"/>
  <c r="M1611" i="8"/>
  <c r="I1611" i="8"/>
  <c r="H1612" i="8"/>
  <c r="J1612" i="8"/>
  <c r="K1612" i="8"/>
  <c r="L1612" i="8"/>
  <c r="M1612" i="8"/>
  <c r="I1612" i="8"/>
  <c r="H1613" i="8"/>
  <c r="J1613" i="8"/>
  <c r="K1613" i="8"/>
  <c r="L1613" i="8"/>
  <c r="M1613" i="8"/>
  <c r="I1613" i="8"/>
  <c r="H1614" i="8"/>
  <c r="J1614" i="8"/>
  <c r="K1614" i="8"/>
  <c r="L1614" i="8"/>
  <c r="M1614" i="8"/>
  <c r="I1614" i="8"/>
  <c r="H1615" i="8"/>
  <c r="J1615" i="8"/>
  <c r="K1615" i="8"/>
  <c r="L1615" i="8"/>
  <c r="M1615" i="8"/>
  <c r="I1615" i="8"/>
  <c r="H1616" i="8"/>
  <c r="J1616" i="8"/>
  <c r="K1616" i="8"/>
  <c r="L1616" i="8"/>
  <c r="M1616" i="8"/>
  <c r="I1616" i="8"/>
  <c r="H1617" i="8"/>
  <c r="J1617" i="8"/>
  <c r="K1617" i="8"/>
  <c r="L1617" i="8"/>
  <c r="M1617" i="8"/>
  <c r="I1617" i="8"/>
  <c r="H1618" i="8"/>
  <c r="J1618" i="8"/>
  <c r="K1618" i="8"/>
  <c r="L1618" i="8"/>
  <c r="M1618" i="8"/>
  <c r="I1618" i="8"/>
  <c r="H1619" i="8"/>
  <c r="J1619" i="8"/>
  <c r="K1619" i="8"/>
  <c r="L1619" i="8"/>
  <c r="M1619" i="8"/>
  <c r="I1619" i="8"/>
  <c r="H1620" i="8"/>
  <c r="J1620" i="8"/>
  <c r="K1620" i="8"/>
  <c r="L1620" i="8"/>
  <c r="M1620" i="8"/>
  <c r="I1620" i="8"/>
  <c r="H1621" i="8"/>
  <c r="J1621" i="8"/>
  <c r="K1621" i="8"/>
  <c r="L1621" i="8"/>
  <c r="M1621" i="8"/>
  <c r="I1621" i="8"/>
  <c r="H1622" i="8"/>
  <c r="J1622" i="8"/>
  <c r="K1622" i="8"/>
  <c r="L1622" i="8"/>
  <c r="M1622" i="8"/>
  <c r="I1622" i="8"/>
  <c r="H1623" i="8"/>
  <c r="J1623" i="8"/>
  <c r="K1623" i="8"/>
  <c r="L1623" i="8"/>
  <c r="M1623" i="8"/>
  <c r="I1623" i="8"/>
  <c r="H1624" i="8"/>
  <c r="J1624" i="8"/>
  <c r="K1624" i="8"/>
  <c r="L1624" i="8"/>
  <c r="M1624" i="8"/>
  <c r="I1624" i="8"/>
  <c r="H1625" i="8"/>
  <c r="J1625" i="8"/>
  <c r="K1625" i="8"/>
  <c r="L1625" i="8"/>
  <c r="M1625" i="8"/>
  <c r="I1625" i="8"/>
  <c r="H1626" i="8"/>
  <c r="J1626" i="8"/>
  <c r="K1626" i="8"/>
  <c r="L1626" i="8"/>
  <c r="M1626" i="8"/>
  <c r="I1626" i="8"/>
  <c r="H1627" i="8"/>
  <c r="J1627" i="8"/>
  <c r="K1627" i="8"/>
  <c r="L1627" i="8"/>
  <c r="M1627" i="8"/>
  <c r="I1627" i="8"/>
  <c r="H1628" i="8"/>
  <c r="J1628" i="8"/>
  <c r="K1628" i="8"/>
  <c r="L1628" i="8"/>
  <c r="M1628" i="8"/>
  <c r="I1628" i="8"/>
  <c r="H1629" i="8"/>
  <c r="J1629" i="8"/>
  <c r="K1629" i="8"/>
  <c r="L1629" i="8"/>
  <c r="M1629" i="8"/>
  <c r="I1629" i="8"/>
  <c r="H1630" i="8"/>
  <c r="J1630" i="8"/>
  <c r="K1630" i="8"/>
  <c r="L1630" i="8"/>
  <c r="M1630" i="8"/>
  <c r="I1630" i="8"/>
  <c r="H1631" i="8"/>
  <c r="J1631" i="8"/>
  <c r="K1631" i="8"/>
  <c r="L1631" i="8"/>
  <c r="M1631" i="8"/>
  <c r="I1631" i="8"/>
  <c r="H1632" i="8"/>
  <c r="J1632" i="8"/>
  <c r="K1632" i="8"/>
  <c r="L1632" i="8"/>
  <c r="M1632" i="8"/>
  <c r="I1632" i="8"/>
  <c r="H1633" i="8"/>
  <c r="J1633" i="8"/>
  <c r="K1633" i="8"/>
  <c r="L1633" i="8"/>
  <c r="M1633" i="8"/>
  <c r="I1633" i="8"/>
  <c r="H1634" i="8"/>
  <c r="J1634" i="8"/>
  <c r="K1634" i="8"/>
  <c r="L1634" i="8"/>
  <c r="M1634" i="8"/>
  <c r="I1634" i="8"/>
  <c r="H1635" i="8"/>
  <c r="J1635" i="8"/>
  <c r="K1635" i="8"/>
  <c r="L1635" i="8"/>
  <c r="M1635" i="8"/>
  <c r="I1635" i="8"/>
  <c r="H1636" i="8"/>
  <c r="J1636" i="8"/>
  <c r="K1636" i="8"/>
  <c r="L1636" i="8"/>
  <c r="M1636" i="8"/>
  <c r="I1636" i="8"/>
  <c r="H1637" i="8"/>
  <c r="J1637" i="8"/>
  <c r="K1637" i="8"/>
  <c r="L1637" i="8"/>
  <c r="M1637" i="8"/>
  <c r="I1637" i="8"/>
  <c r="H1638" i="8"/>
  <c r="J1638" i="8"/>
  <c r="K1638" i="8"/>
  <c r="L1638" i="8"/>
  <c r="M1638" i="8"/>
  <c r="I1638" i="8"/>
  <c r="H1639" i="8"/>
  <c r="J1639" i="8"/>
  <c r="K1639" i="8"/>
  <c r="L1639" i="8"/>
  <c r="M1639" i="8"/>
  <c r="I1639" i="8"/>
  <c r="H1640" i="8"/>
  <c r="J1640" i="8"/>
  <c r="K1640" i="8"/>
  <c r="L1640" i="8"/>
  <c r="M1640" i="8"/>
  <c r="I1640" i="8"/>
  <c r="H1641" i="8"/>
  <c r="J1641" i="8"/>
  <c r="K1641" i="8"/>
  <c r="L1641" i="8"/>
  <c r="M1641" i="8"/>
  <c r="I1641" i="8"/>
  <c r="H1642" i="8"/>
  <c r="J1642" i="8"/>
  <c r="K1642" i="8"/>
  <c r="L1642" i="8"/>
  <c r="M1642" i="8"/>
  <c r="I1642" i="8"/>
  <c r="H1643" i="8"/>
  <c r="J1643" i="8"/>
  <c r="K1643" i="8"/>
  <c r="L1643" i="8"/>
  <c r="M1643" i="8"/>
  <c r="I1643" i="8"/>
  <c r="H1644" i="8"/>
  <c r="J1644" i="8"/>
  <c r="K1644" i="8"/>
  <c r="L1644" i="8"/>
  <c r="M1644" i="8"/>
  <c r="I1644" i="8"/>
  <c r="H1645" i="8"/>
  <c r="J1645" i="8"/>
  <c r="K1645" i="8"/>
  <c r="L1645" i="8"/>
  <c r="M1645" i="8"/>
  <c r="I1645" i="8"/>
  <c r="H1646" i="8"/>
  <c r="J1646" i="8"/>
  <c r="K1646" i="8"/>
  <c r="L1646" i="8"/>
  <c r="M1646" i="8"/>
  <c r="I1646" i="8"/>
  <c r="H1647" i="8"/>
  <c r="J1647" i="8"/>
  <c r="K1647" i="8"/>
  <c r="L1647" i="8"/>
  <c r="M1647" i="8"/>
  <c r="I1647" i="8"/>
  <c r="H1648" i="8"/>
  <c r="J1648" i="8"/>
  <c r="K1648" i="8"/>
  <c r="L1648" i="8"/>
  <c r="M1648" i="8"/>
  <c r="I1648" i="8"/>
  <c r="H1649" i="8"/>
  <c r="J1649" i="8"/>
  <c r="K1649" i="8"/>
  <c r="L1649" i="8"/>
  <c r="M1649" i="8"/>
  <c r="I1649" i="8"/>
  <c r="H1650" i="8"/>
  <c r="J1650" i="8"/>
  <c r="K1650" i="8"/>
  <c r="L1650" i="8"/>
  <c r="M1650" i="8"/>
  <c r="I1650" i="8"/>
  <c r="H1651" i="8"/>
  <c r="J1651" i="8"/>
  <c r="K1651" i="8"/>
  <c r="L1651" i="8"/>
  <c r="M1651" i="8"/>
  <c r="I1651" i="8"/>
  <c r="H1652" i="8"/>
  <c r="J1652" i="8"/>
  <c r="K1652" i="8"/>
  <c r="L1652" i="8"/>
  <c r="M1652" i="8"/>
  <c r="I1652" i="8"/>
  <c r="H1653" i="8"/>
  <c r="J1653" i="8"/>
  <c r="K1653" i="8"/>
  <c r="L1653" i="8"/>
  <c r="M1653" i="8"/>
  <c r="I1653" i="8"/>
  <c r="H1654" i="8"/>
  <c r="J1654" i="8"/>
  <c r="K1654" i="8"/>
  <c r="L1654" i="8"/>
  <c r="M1654" i="8"/>
  <c r="I1654" i="8"/>
  <c r="H1655" i="8"/>
  <c r="J1655" i="8"/>
  <c r="K1655" i="8"/>
  <c r="L1655" i="8"/>
  <c r="M1655" i="8"/>
  <c r="I1655" i="8"/>
  <c r="H1656" i="8"/>
  <c r="J1656" i="8"/>
  <c r="K1656" i="8"/>
  <c r="L1656" i="8"/>
  <c r="M1656" i="8"/>
  <c r="I1656" i="8"/>
  <c r="H1657" i="8"/>
  <c r="J1657" i="8"/>
  <c r="K1657" i="8"/>
  <c r="L1657" i="8"/>
  <c r="M1657" i="8"/>
  <c r="I1657" i="8"/>
  <c r="H1658" i="8"/>
  <c r="J1658" i="8"/>
  <c r="K1658" i="8"/>
  <c r="L1658" i="8"/>
  <c r="M1658" i="8"/>
  <c r="I1658" i="8"/>
  <c r="H1659" i="8"/>
  <c r="J1659" i="8"/>
  <c r="K1659" i="8"/>
  <c r="L1659" i="8"/>
  <c r="M1659" i="8"/>
  <c r="I1659" i="8"/>
  <c r="H1660" i="8"/>
  <c r="J1660" i="8"/>
  <c r="K1660" i="8"/>
  <c r="L1660" i="8"/>
  <c r="M1660" i="8"/>
  <c r="I1660" i="8"/>
  <c r="H1661" i="8"/>
  <c r="J1661" i="8"/>
  <c r="K1661" i="8"/>
  <c r="L1661" i="8"/>
  <c r="M1661" i="8"/>
  <c r="I1661" i="8"/>
  <c r="H1662" i="8"/>
  <c r="J1662" i="8"/>
  <c r="K1662" i="8"/>
  <c r="L1662" i="8"/>
  <c r="M1662" i="8"/>
  <c r="I1662" i="8"/>
  <c r="H1663" i="8"/>
  <c r="J1663" i="8"/>
  <c r="K1663" i="8"/>
  <c r="L1663" i="8"/>
  <c r="M1663" i="8"/>
  <c r="I1663" i="8"/>
  <c r="H1664" i="8"/>
  <c r="J1664" i="8"/>
  <c r="K1664" i="8"/>
  <c r="L1664" i="8"/>
  <c r="M1664" i="8"/>
  <c r="I1664" i="8"/>
  <c r="H1665" i="8"/>
  <c r="J1665" i="8"/>
  <c r="K1665" i="8"/>
  <c r="L1665" i="8"/>
  <c r="M1665" i="8"/>
  <c r="I1665" i="8"/>
  <c r="H1666" i="8"/>
  <c r="J1666" i="8"/>
  <c r="K1666" i="8"/>
  <c r="L1666" i="8"/>
  <c r="M1666" i="8"/>
  <c r="I1666" i="8"/>
  <c r="H1667" i="8"/>
  <c r="J1667" i="8"/>
  <c r="K1667" i="8"/>
  <c r="L1667" i="8"/>
  <c r="M1667" i="8"/>
  <c r="I1667" i="8"/>
  <c r="H1668" i="8"/>
  <c r="J1668" i="8"/>
  <c r="K1668" i="8"/>
  <c r="L1668" i="8"/>
  <c r="M1668" i="8"/>
  <c r="I1668" i="8"/>
  <c r="H1669" i="8"/>
  <c r="J1669" i="8"/>
  <c r="K1669" i="8"/>
  <c r="L1669" i="8"/>
  <c r="M1669" i="8"/>
  <c r="I1669" i="8"/>
  <c r="H1670" i="8"/>
  <c r="J1670" i="8"/>
  <c r="K1670" i="8"/>
  <c r="L1670" i="8"/>
  <c r="M1670" i="8"/>
  <c r="I1670" i="8"/>
  <c r="H1671" i="8"/>
  <c r="J1671" i="8"/>
  <c r="K1671" i="8"/>
  <c r="L1671" i="8"/>
  <c r="M1671" i="8"/>
  <c r="I1671" i="8"/>
  <c r="H1672" i="8"/>
  <c r="J1672" i="8"/>
  <c r="K1672" i="8"/>
  <c r="L1672" i="8"/>
  <c r="M1672" i="8"/>
  <c r="I1672" i="8"/>
  <c r="H1673" i="8"/>
  <c r="J1673" i="8"/>
  <c r="K1673" i="8"/>
  <c r="L1673" i="8"/>
  <c r="M1673" i="8"/>
  <c r="I1673" i="8"/>
  <c r="H1674" i="8"/>
  <c r="J1674" i="8"/>
  <c r="K1674" i="8"/>
  <c r="L1674" i="8"/>
  <c r="M1674" i="8"/>
  <c r="I1674" i="8"/>
  <c r="H1675" i="8"/>
  <c r="J1675" i="8"/>
  <c r="K1675" i="8"/>
  <c r="L1675" i="8"/>
  <c r="M1675" i="8"/>
  <c r="I1675" i="8"/>
  <c r="H1676" i="8"/>
  <c r="J1676" i="8"/>
  <c r="K1676" i="8"/>
  <c r="L1676" i="8"/>
  <c r="M1676" i="8"/>
  <c r="I1676" i="8"/>
  <c r="H1677" i="8"/>
  <c r="J1677" i="8"/>
  <c r="K1677" i="8"/>
  <c r="L1677" i="8"/>
  <c r="M1677" i="8"/>
  <c r="I1677" i="8"/>
  <c r="H1678" i="8"/>
  <c r="J1678" i="8"/>
  <c r="K1678" i="8"/>
  <c r="L1678" i="8"/>
  <c r="M1678" i="8"/>
  <c r="I1678" i="8"/>
  <c r="H1679" i="8"/>
  <c r="J1679" i="8"/>
  <c r="K1679" i="8"/>
  <c r="L1679" i="8"/>
  <c r="M1679" i="8"/>
  <c r="I1679" i="8"/>
  <c r="H1680" i="8"/>
  <c r="J1680" i="8"/>
  <c r="K1680" i="8"/>
  <c r="L1680" i="8"/>
  <c r="M1680" i="8"/>
  <c r="I1680" i="8"/>
  <c r="H1681" i="8"/>
  <c r="J1681" i="8"/>
  <c r="K1681" i="8"/>
  <c r="L1681" i="8"/>
  <c r="M1681" i="8"/>
  <c r="I1681" i="8"/>
  <c r="H1682" i="8"/>
  <c r="J1682" i="8"/>
  <c r="K1682" i="8"/>
  <c r="L1682" i="8"/>
  <c r="M1682" i="8"/>
  <c r="I1682" i="8"/>
  <c r="H1683" i="8"/>
  <c r="J1683" i="8"/>
  <c r="K1683" i="8"/>
  <c r="L1683" i="8"/>
  <c r="M1683" i="8"/>
  <c r="I1683" i="8"/>
  <c r="H1684" i="8"/>
  <c r="J1684" i="8"/>
  <c r="K1684" i="8"/>
  <c r="L1684" i="8"/>
  <c r="M1684" i="8"/>
  <c r="I1684" i="8"/>
  <c r="H1685" i="8"/>
  <c r="J1685" i="8"/>
  <c r="K1685" i="8"/>
  <c r="L1685" i="8"/>
  <c r="M1685" i="8"/>
  <c r="I1685" i="8"/>
  <c r="H1686" i="8"/>
  <c r="J1686" i="8"/>
  <c r="K1686" i="8"/>
  <c r="L1686" i="8"/>
  <c r="M1686" i="8"/>
  <c r="I1686" i="8"/>
  <c r="H1687" i="8"/>
  <c r="J1687" i="8"/>
  <c r="K1687" i="8"/>
  <c r="L1687" i="8"/>
  <c r="M1687" i="8"/>
  <c r="I1687" i="8"/>
  <c r="H1688" i="8"/>
  <c r="J1688" i="8"/>
  <c r="K1688" i="8"/>
  <c r="L1688" i="8"/>
  <c r="M1688" i="8"/>
  <c r="I1688" i="8"/>
  <c r="H1689" i="8"/>
  <c r="J1689" i="8"/>
  <c r="K1689" i="8"/>
  <c r="L1689" i="8"/>
  <c r="M1689" i="8"/>
  <c r="I1689" i="8"/>
  <c r="H1690" i="8"/>
  <c r="J1690" i="8"/>
  <c r="K1690" i="8"/>
  <c r="L1690" i="8"/>
  <c r="M1690" i="8"/>
  <c r="I1690" i="8"/>
  <c r="H1691" i="8"/>
  <c r="J1691" i="8"/>
  <c r="K1691" i="8"/>
  <c r="L1691" i="8"/>
  <c r="M1691" i="8"/>
  <c r="I1691" i="8"/>
  <c r="H1692" i="8"/>
  <c r="J1692" i="8"/>
  <c r="K1692" i="8"/>
  <c r="L1692" i="8"/>
  <c r="M1692" i="8"/>
  <c r="I1692" i="8"/>
  <c r="H1693" i="8"/>
  <c r="J1693" i="8"/>
  <c r="K1693" i="8"/>
  <c r="L1693" i="8"/>
  <c r="M1693" i="8"/>
  <c r="I1693" i="8"/>
  <c r="H1694" i="8"/>
  <c r="J1694" i="8"/>
  <c r="K1694" i="8"/>
  <c r="L1694" i="8"/>
  <c r="M1694" i="8"/>
  <c r="I1694" i="8"/>
  <c r="H1695" i="8"/>
  <c r="J1695" i="8"/>
  <c r="K1695" i="8"/>
  <c r="L1695" i="8"/>
  <c r="M1695" i="8"/>
  <c r="I1695" i="8"/>
  <c r="H1696" i="8"/>
  <c r="J1696" i="8"/>
  <c r="K1696" i="8"/>
  <c r="L1696" i="8"/>
  <c r="M1696" i="8"/>
  <c r="I1696" i="8"/>
  <c r="H1697" i="8"/>
  <c r="J1697" i="8"/>
  <c r="K1697" i="8"/>
  <c r="L1697" i="8"/>
  <c r="M1697" i="8"/>
  <c r="H1698" i="8"/>
  <c r="I1697" i="8"/>
  <c r="J1698" i="8"/>
  <c r="K1698" i="8"/>
  <c r="L1698" i="8"/>
  <c r="M1698" i="8"/>
  <c r="I1698" i="8"/>
  <c r="H1699" i="8"/>
  <c r="J1699" i="8"/>
  <c r="K1699" i="8"/>
  <c r="L1699" i="8"/>
  <c r="M1699" i="8"/>
  <c r="I1699" i="8"/>
  <c r="H1700" i="8"/>
  <c r="J1700" i="8"/>
  <c r="K1700" i="8"/>
  <c r="L1700" i="8"/>
  <c r="M1700" i="8"/>
  <c r="I1700" i="8"/>
  <c r="H1701" i="8"/>
  <c r="J1701" i="8"/>
  <c r="K1701" i="8"/>
  <c r="L1701" i="8"/>
  <c r="M1701" i="8"/>
  <c r="I1701" i="8"/>
  <c r="H1702" i="8"/>
  <c r="J1702" i="8"/>
  <c r="K1702" i="8"/>
  <c r="L1702" i="8"/>
  <c r="M1702" i="8"/>
  <c r="I1702" i="8"/>
  <c r="H1703" i="8"/>
  <c r="J1703" i="8"/>
  <c r="K1703" i="8"/>
  <c r="L1703" i="8"/>
  <c r="M1703" i="8"/>
  <c r="I1703" i="8"/>
  <c r="H1704" i="8"/>
  <c r="J1704" i="8"/>
  <c r="K1704" i="8"/>
  <c r="L1704" i="8"/>
  <c r="M1704" i="8"/>
  <c r="I1704" i="8"/>
  <c r="H1705" i="8"/>
  <c r="J1705" i="8"/>
  <c r="K1705" i="8"/>
  <c r="L1705" i="8"/>
  <c r="M1705" i="8"/>
  <c r="I1705" i="8"/>
  <c r="H1706" i="8"/>
  <c r="J1706" i="8"/>
  <c r="K1706" i="8"/>
  <c r="L1706" i="8"/>
  <c r="M1706" i="8"/>
  <c r="I1706" i="8"/>
  <c r="H1707" i="8"/>
  <c r="J1707" i="8"/>
  <c r="K1707" i="8"/>
  <c r="L1707" i="8"/>
  <c r="M1707" i="8"/>
  <c r="I1707" i="8"/>
  <c r="H1708" i="8"/>
  <c r="J1708" i="8"/>
  <c r="K1708" i="8"/>
  <c r="L1708" i="8"/>
  <c r="M1708" i="8"/>
  <c r="I1708" i="8"/>
  <c r="H1709" i="8"/>
  <c r="J1709" i="8"/>
  <c r="K1709" i="8"/>
  <c r="L1709" i="8"/>
  <c r="M1709" i="8"/>
  <c r="I1709" i="8"/>
  <c r="H1710" i="8"/>
  <c r="J1710" i="8"/>
  <c r="K1710" i="8"/>
  <c r="L1710" i="8"/>
  <c r="M1710" i="8"/>
  <c r="I1710" i="8"/>
  <c r="H1711" i="8"/>
  <c r="J1711" i="8"/>
  <c r="K1711" i="8"/>
  <c r="L1711" i="8"/>
  <c r="M1711" i="8"/>
  <c r="I1711" i="8"/>
  <c r="H1712" i="8"/>
  <c r="J1712" i="8"/>
  <c r="K1712" i="8"/>
  <c r="L1712" i="8"/>
  <c r="M1712" i="8"/>
  <c r="I1712" i="8"/>
  <c r="H1713" i="8"/>
  <c r="J1713" i="8"/>
  <c r="K1713" i="8"/>
  <c r="L1713" i="8"/>
  <c r="M1713" i="8"/>
  <c r="H1714" i="8"/>
  <c r="I1713" i="8"/>
  <c r="J1714" i="8"/>
  <c r="K1714" i="8"/>
  <c r="L1714" i="8"/>
  <c r="M1714" i="8"/>
  <c r="I1714" i="8"/>
  <c r="H1715" i="8"/>
  <c r="J1715" i="8"/>
  <c r="K1715" i="8"/>
  <c r="L1715" i="8"/>
  <c r="M1715" i="8"/>
  <c r="I1715" i="8"/>
  <c r="H1716" i="8"/>
  <c r="J1716" i="8"/>
  <c r="K1716" i="8"/>
  <c r="L1716" i="8"/>
  <c r="M1716" i="8"/>
  <c r="I1716" i="8"/>
  <c r="H1717" i="8"/>
  <c r="J1717" i="8"/>
  <c r="K1717" i="8"/>
  <c r="L1717" i="8"/>
  <c r="M1717" i="8"/>
  <c r="I1717" i="8"/>
  <c r="H1718" i="8"/>
  <c r="J1718" i="8"/>
  <c r="K1718" i="8"/>
  <c r="L1718" i="8"/>
  <c r="M1718" i="8"/>
  <c r="I1718" i="8"/>
  <c r="H1719" i="8"/>
  <c r="J1719" i="8"/>
  <c r="K1719" i="8"/>
  <c r="L1719" i="8"/>
  <c r="M1719" i="8"/>
  <c r="I1719" i="8"/>
  <c r="H1720" i="8"/>
  <c r="J1720" i="8"/>
  <c r="K1720" i="8"/>
  <c r="L1720" i="8"/>
  <c r="M1720" i="8"/>
  <c r="I1720" i="8"/>
  <c r="H1721" i="8"/>
  <c r="J1721" i="8"/>
  <c r="K1721" i="8"/>
  <c r="L1721" i="8"/>
  <c r="M1721" i="8"/>
  <c r="I1721" i="8"/>
  <c r="H1722" i="8"/>
  <c r="J1722" i="8"/>
  <c r="K1722" i="8"/>
  <c r="L1722" i="8"/>
  <c r="M1722" i="8"/>
  <c r="I1722" i="8"/>
  <c r="H1723" i="8"/>
  <c r="J1723" i="8"/>
  <c r="K1723" i="8"/>
  <c r="L1723" i="8"/>
  <c r="M1723" i="8"/>
  <c r="I1723" i="8"/>
  <c r="H1724" i="8"/>
  <c r="J1724" i="8"/>
  <c r="K1724" i="8"/>
  <c r="L1724" i="8"/>
  <c r="M1724" i="8"/>
  <c r="I1724" i="8"/>
  <c r="H1725" i="8"/>
  <c r="J1725" i="8"/>
  <c r="K1725" i="8"/>
  <c r="L1725" i="8"/>
  <c r="M1725" i="8"/>
  <c r="I1725" i="8"/>
  <c r="H1726" i="8"/>
  <c r="J1726" i="8"/>
  <c r="K1726" i="8"/>
  <c r="L1726" i="8"/>
  <c r="M1726" i="8"/>
  <c r="I1726" i="8"/>
  <c r="H1727" i="8"/>
  <c r="J1727" i="8"/>
  <c r="K1727" i="8"/>
  <c r="L1727" i="8"/>
  <c r="M1727" i="8"/>
  <c r="I1727" i="8"/>
  <c r="H1728" i="8"/>
  <c r="J1728" i="8"/>
  <c r="K1728" i="8"/>
  <c r="L1728" i="8"/>
  <c r="M1728" i="8"/>
  <c r="I1728" i="8"/>
  <c r="H1729" i="8"/>
  <c r="J1729" i="8"/>
  <c r="K1729" i="8"/>
  <c r="L1729" i="8"/>
  <c r="M1729" i="8"/>
  <c r="H1730" i="8"/>
  <c r="I1729" i="8"/>
  <c r="J1730" i="8"/>
  <c r="K1730" i="8"/>
  <c r="L1730" i="8"/>
  <c r="M1730" i="8"/>
  <c r="I1730" i="8"/>
  <c r="H1731" i="8"/>
  <c r="J1731" i="8"/>
  <c r="K1731" i="8"/>
  <c r="L1731" i="8"/>
  <c r="M1731" i="8"/>
  <c r="I1731" i="8"/>
  <c r="H1732" i="8"/>
  <c r="J1732" i="8"/>
  <c r="K1732" i="8"/>
  <c r="L1732" i="8"/>
  <c r="M1732" i="8"/>
  <c r="I1732" i="8"/>
  <c r="H1733" i="8"/>
  <c r="J1733" i="8"/>
  <c r="K1733" i="8"/>
  <c r="L1733" i="8"/>
  <c r="M1733" i="8"/>
  <c r="H1734" i="8"/>
  <c r="I1733" i="8"/>
  <c r="J1734" i="8"/>
  <c r="K1734" i="8"/>
  <c r="L1734" i="8"/>
  <c r="M1734" i="8"/>
  <c r="I1734" i="8"/>
  <c r="H1735" i="8"/>
  <c r="J1735" i="8"/>
  <c r="K1735" i="8"/>
  <c r="L1735" i="8"/>
  <c r="M1735" i="8"/>
  <c r="I1735" i="8"/>
  <c r="H1736" i="8"/>
  <c r="J1736" i="8"/>
  <c r="K1736" i="8"/>
  <c r="L1736" i="8"/>
  <c r="M1736" i="8"/>
  <c r="I1736" i="8"/>
  <c r="H1737" i="8"/>
  <c r="J1737" i="8"/>
  <c r="K1737" i="8"/>
  <c r="L1737" i="8"/>
  <c r="M1737" i="8"/>
  <c r="I1737" i="8"/>
  <c r="H1738" i="8"/>
  <c r="J1738" i="8"/>
  <c r="K1738" i="8"/>
  <c r="L1738" i="8"/>
  <c r="M1738" i="8"/>
  <c r="I1738" i="8"/>
  <c r="H1739" i="8"/>
  <c r="J1739" i="8"/>
  <c r="K1739" i="8"/>
  <c r="L1739" i="8"/>
  <c r="M1739" i="8"/>
  <c r="I1739" i="8"/>
  <c r="H1740" i="8"/>
  <c r="J1740" i="8"/>
  <c r="K1740" i="8"/>
  <c r="L1740" i="8"/>
  <c r="M1740" i="8"/>
  <c r="I1740" i="8"/>
  <c r="H1741" i="8"/>
  <c r="J1741" i="8"/>
  <c r="K1741" i="8"/>
  <c r="L1741" i="8"/>
  <c r="M1741" i="8"/>
  <c r="I1741" i="8"/>
  <c r="H1742" i="8"/>
  <c r="J1742" i="8"/>
  <c r="K1742" i="8"/>
  <c r="L1742" i="8"/>
  <c r="M1742" i="8"/>
  <c r="I1742" i="8"/>
  <c r="H1743" i="8"/>
  <c r="J1743" i="8"/>
  <c r="K1743" i="8"/>
  <c r="L1743" i="8"/>
  <c r="M1743" i="8"/>
  <c r="I1743" i="8"/>
  <c r="H1744" i="8"/>
  <c r="J1744" i="8"/>
  <c r="K1744" i="8"/>
  <c r="L1744" i="8"/>
  <c r="M1744" i="8"/>
  <c r="I1744" i="8"/>
  <c r="H1745" i="8"/>
  <c r="J1745" i="8"/>
  <c r="K1745" i="8"/>
  <c r="L1745" i="8"/>
  <c r="M1745" i="8"/>
  <c r="I1745" i="8"/>
  <c r="H1746" i="8"/>
  <c r="J1746" i="8"/>
  <c r="K1746" i="8"/>
  <c r="L1746" i="8"/>
  <c r="M1746" i="8"/>
  <c r="I1746" i="8"/>
  <c r="H1747" i="8"/>
  <c r="J1747" i="8"/>
  <c r="K1747" i="8"/>
  <c r="L1747" i="8"/>
  <c r="M1747" i="8"/>
  <c r="I1747" i="8"/>
  <c r="H1748" i="8"/>
  <c r="J1748" i="8"/>
  <c r="K1748" i="8"/>
  <c r="L1748" i="8"/>
  <c r="M1748" i="8"/>
  <c r="I1748" i="8"/>
  <c r="H1749" i="8"/>
  <c r="J1749" i="8"/>
  <c r="K1749" i="8"/>
  <c r="L1749" i="8"/>
  <c r="M1749" i="8"/>
  <c r="I1749" i="8"/>
  <c r="H1750" i="8"/>
  <c r="J1750" i="8"/>
  <c r="K1750" i="8"/>
  <c r="L1750" i="8"/>
  <c r="M1750" i="8"/>
  <c r="I1750" i="8"/>
  <c r="H1751" i="8"/>
  <c r="J1751" i="8"/>
  <c r="K1751" i="8"/>
  <c r="L1751" i="8"/>
  <c r="M1751" i="8"/>
  <c r="I1751" i="8"/>
  <c r="H1752" i="8"/>
  <c r="J1752" i="8"/>
  <c r="K1752" i="8"/>
  <c r="L1752" i="8"/>
  <c r="M1752" i="8"/>
  <c r="I1752" i="8"/>
  <c r="H1753" i="8"/>
  <c r="J1753" i="8"/>
  <c r="K1753" i="8"/>
  <c r="L1753" i="8"/>
  <c r="M1753" i="8"/>
  <c r="I1753" i="8"/>
  <c r="H1754" i="8"/>
  <c r="J1754" i="8"/>
  <c r="K1754" i="8"/>
  <c r="L1754" i="8"/>
  <c r="M1754" i="8"/>
  <c r="I1754" i="8"/>
  <c r="H1755" i="8"/>
  <c r="J1755" i="8"/>
  <c r="K1755" i="8"/>
  <c r="L1755" i="8"/>
  <c r="M1755" i="8"/>
  <c r="I1755" i="8"/>
  <c r="H1756" i="8"/>
  <c r="J1756" i="8"/>
  <c r="K1756" i="8"/>
  <c r="L1756" i="8"/>
  <c r="M1756" i="8"/>
  <c r="I1756" i="8"/>
  <c r="H1757" i="8"/>
  <c r="J1757" i="8"/>
  <c r="K1757" i="8"/>
  <c r="L1757" i="8"/>
  <c r="M1757" i="8"/>
  <c r="I1757" i="8"/>
  <c r="H1758" i="8"/>
  <c r="J1758" i="8"/>
  <c r="K1758" i="8"/>
  <c r="L1758" i="8"/>
  <c r="M1758" i="8"/>
  <c r="I1758" i="8"/>
  <c r="H1759" i="8"/>
  <c r="J1759" i="8"/>
  <c r="K1759" i="8"/>
  <c r="L1759" i="8"/>
  <c r="M1759" i="8"/>
  <c r="I1759" i="8"/>
  <c r="H1760" i="8"/>
  <c r="J1760" i="8"/>
  <c r="K1760" i="8"/>
  <c r="L1760" i="8"/>
  <c r="M1760" i="8"/>
  <c r="I1760" i="8"/>
  <c r="H1761" i="8"/>
  <c r="J1761" i="8"/>
  <c r="K1761" i="8"/>
  <c r="L1761" i="8"/>
  <c r="M1761" i="8"/>
  <c r="I1761" i="8"/>
  <c r="H1762" i="8"/>
  <c r="J1762" i="8"/>
  <c r="K1762" i="8"/>
  <c r="L1762" i="8"/>
  <c r="M1762" i="8"/>
  <c r="I1762" i="8"/>
  <c r="H1763" i="8"/>
  <c r="J1763" i="8"/>
  <c r="K1763" i="8"/>
  <c r="L1763" i="8"/>
  <c r="M1763" i="8"/>
  <c r="I1763" i="8"/>
  <c r="H1764" i="8"/>
  <c r="J1764" i="8"/>
  <c r="K1764" i="8"/>
  <c r="L1764" i="8"/>
  <c r="M1764" i="8"/>
  <c r="I1764" i="8"/>
  <c r="H1765" i="8"/>
  <c r="J1765" i="8"/>
  <c r="K1765" i="8"/>
  <c r="L1765" i="8"/>
  <c r="M1765" i="8"/>
  <c r="I1765" i="8"/>
  <c r="H1766" i="8"/>
  <c r="J1766" i="8"/>
  <c r="K1766" i="8"/>
  <c r="L1766" i="8"/>
  <c r="M1766" i="8"/>
  <c r="I1766" i="8"/>
  <c r="H1767" i="8"/>
  <c r="J1767" i="8"/>
  <c r="K1767" i="8"/>
  <c r="L1767" i="8"/>
  <c r="M1767" i="8"/>
  <c r="I1767" i="8"/>
  <c r="H1768" i="8"/>
  <c r="J1768" i="8"/>
  <c r="K1768" i="8"/>
  <c r="L1768" i="8"/>
  <c r="M1768" i="8"/>
  <c r="I1768" i="8"/>
  <c r="H1769" i="8"/>
  <c r="J1769" i="8"/>
  <c r="K1769" i="8"/>
  <c r="L1769" i="8"/>
  <c r="M1769" i="8"/>
  <c r="I1769" i="8"/>
  <c r="H1770" i="8"/>
  <c r="J1770" i="8"/>
  <c r="K1770" i="8"/>
  <c r="L1770" i="8"/>
  <c r="M1770" i="8"/>
  <c r="I1770" i="8"/>
  <c r="H1771" i="8"/>
  <c r="J1771" i="8"/>
  <c r="K1771" i="8"/>
  <c r="L1771" i="8"/>
  <c r="M1771" i="8"/>
  <c r="I1771" i="8"/>
  <c r="H1772" i="8"/>
  <c r="J1772" i="8"/>
  <c r="K1772" i="8"/>
  <c r="L1772" i="8"/>
  <c r="M1772" i="8"/>
  <c r="I1772" i="8"/>
  <c r="H1773" i="8"/>
  <c r="J1773" i="8"/>
  <c r="K1773" i="8"/>
  <c r="L1773" i="8"/>
  <c r="M1773" i="8"/>
  <c r="I1773" i="8"/>
  <c r="H1774" i="8"/>
  <c r="J1774" i="8"/>
  <c r="K1774" i="8"/>
  <c r="L1774" i="8"/>
  <c r="M1774" i="8"/>
  <c r="I1774" i="8"/>
  <c r="H1775" i="8"/>
  <c r="J1775" i="8"/>
  <c r="K1775" i="8"/>
  <c r="L1775" i="8"/>
  <c r="M1775" i="8"/>
  <c r="I1775" i="8"/>
  <c r="H1776" i="8"/>
  <c r="J1776" i="8"/>
  <c r="K1776" i="8"/>
  <c r="L1776" i="8"/>
  <c r="M1776" i="8"/>
  <c r="I1776" i="8"/>
  <c r="H1777" i="8"/>
  <c r="J1777" i="8"/>
  <c r="K1777" i="8"/>
  <c r="L1777" i="8"/>
  <c r="M1777" i="8"/>
  <c r="I1777" i="8"/>
  <c r="H1778" i="8"/>
  <c r="J1778" i="8"/>
  <c r="K1778" i="8"/>
  <c r="L1778" i="8"/>
  <c r="M1778" i="8"/>
  <c r="I1778" i="8"/>
  <c r="H1779" i="8"/>
  <c r="J1779" i="8"/>
  <c r="K1779" i="8"/>
  <c r="L1779" i="8"/>
  <c r="M1779" i="8"/>
  <c r="I1779" i="8"/>
  <c r="H1780" i="8"/>
  <c r="J1780" i="8"/>
  <c r="K1780" i="8"/>
  <c r="L1780" i="8"/>
  <c r="M1780" i="8"/>
  <c r="I1780" i="8"/>
  <c r="H1781" i="8"/>
  <c r="J1781" i="8"/>
  <c r="K1781" i="8"/>
  <c r="L1781" i="8"/>
  <c r="M1781" i="8"/>
  <c r="I1781" i="8"/>
  <c r="H1782" i="8"/>
  <c r="J1782" i="8"/>
  <c r="K1782" i="8"/>
  <c r="L1782" i="8"/>
  <c r="M1782" i="8"/>
  <c r="I1782" i="8"/>
  <c r="H1783" i="8"/>
  <c r="J1783" i="8"/>
  <c r="K1783" i="8"/>
  <c r="L1783" i="8"/>
  <c r="M1783" i="8"/>
  <c r="I1783" i="8"/>
  <c r="H1784" i="8"/>
  <c r="J1784" i="8"/>
  <c r="K1784" i="8"/>
  <c r="L1784" i="8"/>
  <c r="M1784" i="8"/>
  <c r="I1784" i="8"/>
  <c r="H1785" i="8"/>
  <c r="J1785" i="8"/>
  <c r="K1785" i="8"/>
  <c r="L1785" i="8"/>
  <c r="M1785" i="8"/>
  <c r="I1785" i="8"/>
  <c r="H1786" i="8"/>
  <c r="J1786" i="8"/>
  <c r="K1786" i="8"/>
  <c r="L1786" i="8"/>
  <c r="M1786" i="8"/>
  <c r="I1786" i="8"/>
  <c r="H1787" i="8"/>
  <c r="J1787" i="8"/>
  <c r="K1787" i="8"/>
  <c r="L1787" i="8"/>
  <c r="M1787" i="8"/>
  <c r="I1787" i="8"/>
  <c r="H1788" i="8"/>
  <c r="J1788" i="8"/>
  <c r="K1788" i="8"/>
  <c r="L1788" i="8"/>
  <c r="M1788" i="8"/>
  <c r="I1788" i="8"/>
  <c r="H1789" i="8"/>
  <c r="J1789" i="8"/>
  <c r="K1789" i="8"/>
  <c r="L1789" i="8"/>
  <c r="M1789" i="8"/>
  <c r="I1789" i="8"/>
  <c r="H1790" i="8"/>
  <c r="J1790" i="8"/>
  <c r="K1790" i="8"/>
  <c r="L1790" i="8"/>
  <c r="M1790" i="8"/>
  <c r="I1790" i="8"/>
  <c r="H1791" i="8"/>
  <c r="J1791" i="8"/>
  <c r="K1791" i="8"/>
  <c r="L1791" i="8"/>
  <c r="M1791" i="8"/>
  <c r="I1791" i="8"/>
  <c r="H1792" i="8"/>
  <c r="J1792" i="8"/>
  <c r="K1792" i="8"/>
  <c r="L1792" i="8"/>
  <c r="M1792" i="8"/>
  <c r="I1792" i="8"/>
  <c r="H1793" i="8"/>
  <c r="J1793" i="8"/>
  <c r="K1793" i="8"/>
  <c r="L1793" i="8"/>
  <c r="M1793" i="8"/>
  <c r="I1793" i="8"/>
  <c r="H1794" i="8"/>
  <c r="J1794" i="8"/>
  <c r="K1794" i="8"/>
  <c r="L1794" i="8"/>
  <c r="M1794" i="8"/>
  <c r="I1794" i="8"/>
  <c r="H1795" i="8"/>
  <c r="J1795" i="8"/>
  <c r="K1795" i="8"/>
  <c r="L1795" i="8"/>
  <c r="M1795" i="8"/>
  <c r="I1795" i="8"/>
  <c r="H1796" i="8"/>
  <c r="J1796" i="8"/>
  <c r="K1796" i="8"/>
  <c r="L1796" i="8"/>
  <c r="M1796" i="8"/>
  <c r="I1796" i="8"/>
  <c r="H1797" i="8"/>
  <c r="J1797" i="8"/>
  <c r="K1797" i="8"/>
  <c r="L1797" i="8"/>
  <c r="M1797" i="8"/>
  <c r="I1797" i="8"/>
  <c r="H1798" i="8"/>
  <c r="J1798" i="8"/>
  <c r="K1798" i="8"/>
  <c r="L1798" i="8"/>
  <c r="M1798" i="8"/>
  <c r="I1798" i="8"/>
  <c r="H1799" i="8"/>
  <c r="J1799" i="8"/>
  <c r="K1799" i="8"/>
  <c r="L1799" i="8"/>
  <c r="M1799" i="8"/>
  <c r="I1799" i="8"/>
  <c r="H1800" i="8"/>
  <c r="J1800" i="8"/>
  <c r="K1800" i="8"/>
  <c r="L1800" i="8"/>
  <c r="M1800" i="8"/>
  <c r="I1800" i="8"/>
  <c r="H1801" i="8"/>
  <c r="J1801" i="8"/>
  <c r="K1801" i="8"/>
  <c r="L1801" i="8"/>
  <c r="M1801" i="8"/>
  <c r="I1801" i="8"/>
  <c r="H1802" i="8"/>
  <c r="J1802" i="8"/>
  <c r="K1802" i="8"/>
  <c r="L1802" i="8"/>
  <c r="M1802" i="8"/>
  <c r="I1802" i="8"/>
  <c r="H1803" i="8"/>
  <c r="J1803" i="8"/>
  <c r="K1803" i="8"/>
  <c r="L1803" i="8"/>
  <c r="M1803" i="8"/>
  <c r="I1803" i="8"/>
  <c r="H1804" i="8"/>
  <c r="J1804" i="8"/>
  <c r="K1804" i="8"/>
  <c r="L1804" i="8"/>
  <c r="M1804" i="8"/>
  <c r="I1804" i="8"/>
  <c r="H1805" i="8"/>
  <c r="J1805" i="8"/>
  <c r="K1805" i="8"/>
  <c r="L1805" i="8"/>
  <c r="M1805" i="8"/>
  <c r="I1805" i="8"/>
  <c r="H1806" i="8"/>
  <c r="J1806" i="8"/>
  <c r="K1806" i="8"/>
  <c r="L1806" i="8"/>
  <c r="M1806" i="8"/>
  <c r="I1806" i="8"/>
  <c r="H1807" i="8"/>
  <c r="J1807" i="8"/>
  <c r="K1807" i="8"/>
  <c r="L1807" i="8"/>
  <c r="M1807" i="8"/>
  <c r="I1807" i="8"/>
  <c r="H1808" i="8"/>
  <c r="J1808" i="8"/>
  <c r="K1808" i="8"/>
  <c r="L1808" i="8"/>
  <c r="M1808" i="8"/>
  <c r="H1809" i="8"/>
  <c r="I1808" i="8"/>
  <c r="J1809" i="8"/>
  <c r="K1809" i="8"/>
  <c r="L1809" i="8"/>
  <c r="M1809" i="8"/>
  <c r="I1809" i="8"/>
  <c r="H1810" i="8"/>
  <c r="J1810" i="8"/>
  <c r="K1810" i="8"/>
  <c r="L1810" i="8"/>
  <c r="M1810" i="8"/>
  <c r="I1810" i="8"/>
  <c r="H1811" i="8"/>
  <c r="J1811" i="8"/>
  <c r="K1811" i="8"/>
  <c r="L1811" i="8"/>
  <c r="M1811" i="8"/>
  <c r="I1811" i="8"/>
  <c r="H1812" i="8"/>
  <c r="J1812" i="8"/>
  <c r="K1812" i="8"/>
  <c r="L1812" i="8"/>
  <c r="M1812" i="8"/>
  <c r="I1812" i="8"/>
  <c r="H1813" i="8"/>
  <c r="J1813" i="8"/>
  <c r="K1813" i="8"/>
  <c r="L1813" i="8"/>
  <c r="M1813" i="8"/>
  <c r="H1814" i="8"/>
  <c r="I1813" i="8"/>
  <c r="J1814" i="8"/>
  <c r="K1814" i="8"/>
  <c r="L1814" i="8"/>
  <c r="M1814" i="8"/>
  <c r="I1814" i="8"/>
  <c r="H1815" i="8"/>
  <c r="J1815" i="8"/>
  <c r="K1815" i="8"/>
  <c r="L1815" i="8"/>
  <c r="M1815" i="8"/>
  <c r="I1815" i="8"/>
  <c r="H1816" i="8"/>
  <c r="J1816" i="8"/>
  <c r="K1816" i="8"/>
  <c r="L1816" i="8"/>
  <c r="M1816" i="8"/>
  <c r="I1816" i="8"/>
  <c r="H1817" i="8"/>
  <c r="J1817" i="8"/>
  <c r="K1817" i="8"/>
  <c r="L1817" i="8"/>
  <c r="M1817" i="8"/>
  <c r="I1817" i="8"/>
  <c r="H1818" i="8"/>
  <c r="J1818" i="8"/>
  <c r="K1818" i="8"/>
  <c r="L1818" i="8"/>
  <c r="M1818" i="8"/>
  <c r="I1818" i="8"/>
  <c r="H1819" i="8"/>
  <c r="J1819" i="8"/>
  <c r="K1819" i="8"/>
  <c r="L1819" i="8"/>
  <c r="M1819" i="8"/>
  <c r="I1819" i="8"/>
  <c r="H1820" i="8"/>
  <c r="J1820" i="8"/>
  <c r="K1820" i="8"/>
  <c r="L1820" i="8"/>
  <c r="M1820" i="8"/>
  <c r="I1820" i="8"/>
  <c r="H1821" i="8"/>
  <c r="J1821" i="8"/>
  <c r="K1821" i="8"/>
  <c r="L1821" i="8"/>
  <c r="M1821" i="8"/>
  <c r="I1821" i="8"/>
  <c r="H1822" i="8"/>
  <c r="J1822" i="8"/>
  <c r="K1822" i="8"/>
  <c r="L1822" i="8"/>
  <c r="M1822" i="8"/>
  <c r="I1822" i="8"/>
  <c r="H1823" i="8"/>
  <c r="J1823" i="8"/>
  <c r="K1823" i="8"/>
  <c r="L1823" i="8"/>
  <c r="M1823" i="8"/>
  <c r="I1823" i="8"/>
  <c r="H1824" i="8"/>
  <c r="J1824" i="8"/>
  <c r="K1824" i="8"/>
  <c r="L1824" i="8"/>
  <c r="M1824" i="8"/>
  <c r="I1824" i="8"/>
  <c r="H1825" i="8"/>
  <c r="J1825" i="8"/>
  <c r="K1825" i="8"/>
  <c r="L1825" i="8"/>
  <c r="M1825" i="8"/>
  <c r="I1825" i="8"/>
  <c r="H1826" i="8"/>
  <c r="J1826" i="8"/>
  <c r="K1826" i="8"/>
  <c r="L1826" i="8"/>
  <c r="M1826" i="8"/>
  <c r="I1826" i="8"/>
  <c r="H1827" i="8"/>
  <c r="J1827" i="8"/>
  <c r="K1827" i="8"/>
  <c r="L1827" i="8"/>
  <c r="M1827" i="8"/>
  <c r="I1827" i="8"/>
  <c r="H1828" i="8"/>
  <c r="J1828" i="8"/>
  <c r="K1828" i="8"/>
  <c r="L1828" i="8"/>
  <c r="M1828" i="8"/>
  <c r="I1828" i="8"/>
  <c r="H1829" i="8"/>
  <c r="J1829" i="8"/>
  <c r="K1829" i="8"/>
  <c r="L1829" i="8"/>
  <c r="M1829" i="8"/>
  <c r="I1829" i="8"/>
  <c r="H1830" i="8"/>
  <c r="J1830" i="8"/>
  <c r="K1830" i="8"/>
  <c r="L1830" i="8"/>
  <c r="M1830" i="8"/>
  <c r="I1830" i="8"/>
  <c r="H1831" i="8"/>
  <c r="J1831" i="8"/>
  <c r="K1831" i="8"/>
  <c r="L1831" i="8"/>
  <c r="M1831" i="8"/>
  <c r="I1831" i="8"/>
  <c r="H1832" i="8"/>
  <c r="J1832" i="8"/>
  <c r="K1832" i="8"/>
  <c r="L1832" i="8"/>
  <c r="M1832" i="8"/>
  <c r="I1832" i="8"/>
  <c r="H1833" i="8"/>
  <c r="J1833" i="8"/>
  <c r="K1833" i="8"/>
  <c r="L1833" i="8"/>
  <c r="M1833" i="8"/>
  <c r="I1833" i="8"/>
  <c r="H1834" i="8"/>
  <c r="J1834" i="8"/>
  <c r="K1834" i="8"/>
  <c r="L1834" i="8"/>
  <c r="M1834" i="8"/>
  <c r="I1834" i="8"/>
  <c r="H1835" i="8"/>
  <c r="J1835" i="8"/>
  <c r="K1835" i="8"/>
  <c r="L1835" i="8"/>
  <c r="M1835" i="8"/>
  <c r="I1835" i="8"/>
  <c r="H1836" i="8"/>
  <c r="J1836" i="8"/>
  <c r="K1836" i="8"/>
  <c r="L1836" i="8"/>
  <c r="M1836" i="8"/>
  <c r="I1836" i="8"/>
  <c r="H1837" i="8"/>
  <c r="J1837" i="8"/>
  <c r="K1837" i="8"/>
  <c r="L1837" i="8"/>
  <c r="M1837" i="8"/>
  <c r="I1837" i="8"/>
  <c r="H1838" i="8"/>
  <c r="J1838" i="8"/>
  <c r="K1838" i="8"/>
  <c r="L1838" i="8"/>
  <c r="M1838" i="8"/>
  <c r="I1838" i="8"/>
  <c r="H1839" i="8"/>
  <c r="J1839" i="8"/>
  <c r="K1839" i="8"/>
  <c r="L1839" i="8"/>
  <c r="M1839" i="8"/>
  <c r="I1839" i="8"/>
  <c r="H1840" i="8"/>
  <c r="J1840" i="8"/>
  <c r="K1840" i="8"/>
  <c r="L1840" i="8"/>
  <c r="M1840" i="8"/>
  <c r="I1840" i="8"/>
  <c r="H1841" i="8"/>
  <c r="J1841" i="8"/>
  <c r="K1841" i="8"/>
  <c r="L1841" i="8"/>
  <c r="M1841" i="8"/>
  <c r="I1841" i="8"/>
  <c r="H1842" i="8"/>
  <c r="J1842" i="8"/>
  <c r="K1842" i="8"/>
  <c r="L1842" i="8"/>
  <c r="M1842" i="8"/>
  <c r="H1843" i="8"/>
  <c r="I1842" i="8"/>
  <c r="J1843" i="8"/>
  <c r="K1843" i="8"/>
  <c r="L1843" i="8"/>
  <c r="M1843" i="8"/>
  <c r="I1843" i="8"/>
  <c r="H1844" i="8"/>
  <c r="J1844" i="8"/>
  <c r="K1844" i="8"/>
  <c r="L1844" i="8"/>
  <c r="M1844" i="8"/>
  <c r="H1845" i="8"/>
  <c r="I1844" i="8"/>
  <c r="J1845" i="8"/>
  <c r="K1845" i="8"/>
  <c r="L1845" i="8"/>
  <c r="M1845" i="8"/>
  <c r="I1845" i="8"/>
  <c r="H1846" i="8"/>
  <c r="J1846" i="8"/>
  <c r="K1846" i="8"/>
  <c r="L1846" i="8"/>
  <c r="M1846" i="8"/>
  <c r="I1846" i="8"/>
  <c r="H1847" i="8"/>
  <c r="J1847" i="8"/>
  <c r="K1847" i="8"/>
  <c r="L1847" i="8"/>
  <c r="M1847" i="8"/>
  <c r="I1847" i="8"/>
  <c r="H1848" i="8"/>
  <c r="J1848" i="8"/>
  <c r="K1848" i="8"/>
  <c r="L1848" i="8"/>
  <c r="M1848" i="8"/>
  <c r="H1849" i="8"/>
  <c r="I1848" i="8"/>
  <c r="J1849" i="8"/>
  <c r="K1849" i="8"/>
  <c r="L1849" i="8"/>
  <c r="M1849" i="8"/>
  <c r="I1849" i="8"/>
  <c r="H1850" i="8"/>
  <c r="J1850" i="8"/>
  <c r="K1850" i="8"/>
  <c r="L1850" i="8"/>
  <c r="M1850" i="8"/>
  <c r="I1850" i="8"/>
  <c r="H1851" i="8"/>
  <c r="J1851" i="8"/>
  <c r="K1851" i="8"/>
  <c r="L1851" i="8"/>
  <c r="M1851" i="8"/>
  <c r="I1851" i="8"/>
  <c r="H1852" i="8"/>
  <c r="J1852" i="8"/>
  <c r="K1852" i="8"/>
  <c r="L1852" i="8"/>
  <c r="M1852" i="8"/>
  <c r="I1852" i="8"/>
  <c r="H1853" i="8"/>
  <c r="J1853" i="8"/>
  <c r="K1853" i="8"/>
  <c r="L1853" i="8"/>
  <c r="M1853" i="8"/>
  <c r="I1853" i="8"/>
  <c r="H1854" i="8"/>
  <c r="J1854" i="8"/>
  <c r="K1854" i="8"/>
  <c r="L1854" i="8"/>
  <c r="M1854" i="8"/>
  <c r="I1854" i="8"/>
  <c r="H1855" i="8"/>
  <c r="J1855" i="8"/>
  <c r="K1855" i="8"/>
  <c r="L1855" i="8"/>
  <c r="M1855" i="8"/>
  <c r="H1856" i="8"/>
  <c r="I1855" i="8"/>
  <c r="J1856" i="8"/>
  <c r="K1856" i="8"/>
  <c r="L1856" i="8"/>
  <c r="M1856" i="8"/>
  <c r="I1856" i="8"/>
  <c r="H1857" i="8"/>
  <c r="J1857" i="8"/>
  <c r="K1857" i="8"/>
  <c r="L1857" i="8"/>
  <c r="M1857" i="8"/>
  <c r="I1857" i="8"/>
  <c r="H1858" i="8"/>
  <c r="J1858" i="8"/>
  <c r="K1858" i="8"/>
  <c r="L1858" i="8"/>
  <c r="M1858" i="8"/>
  <c r="I1858" i="8"/>
  <c r="H1859" i="8"/>
  <c r="J1859" i="8"/>
  <c r="K1859" i="8"/>
  <c r="L1859" i="8"/>
  <c r="M1859" i="8"/>
  <c r="I1859" i="8"/>
  <c r="H1860" i="8"/>
  <c r="J1860" i="8"/>
  <c r="K1860" i="8"/>
  <c r="L1860" i="8"/>
  <c r="M1860" i="8"/>
  <c r="I1860" i="8"/>
  <c r="H1861" i="8"/>
  <c r="J1861" i="8"/>
  <c r="K1861" i="8"/>
  <c r="L1861" i="8"/>
  <c r="M1861" i="8"/>
  <c r="I1861" i="8"/>
  <c r="H1862" i="8"/>
  <c r="J1862" i="8"/>
  <c r="K1862" i="8"/>
  <c r="L1862" i="8"/>
  <c r="M1862" i="8"/>
  <c r="I1862" i="8"/>
  <c r="H1863" i="8"/>
  <c r="J1863" i="8"/>
  <c r="K1863" i="8"/>
  <c r="L1863" i="8"/>
  <c r="M1863" i="8"/>
  <c r="I1863" i="8"/>
  <c r="H1864" i="8"/>
  <c r="J1864" i="8"/>
  <c r="K1864" i="8"/>
  <c r="L1864" i="8"/>
  <c r="M1864" i="8"/>
  <c r="I1864" i="8"/>
  <c r="H1865" i="8"/>
  <c r="J1865" i="8"/>
  <c r="K1865" i="8"/>
  <c r="L1865" i="8"/>
  <c r="M1865" i="8"/>
  <c r="I1865" i="8"/>
  <c r="H1866" i="8"/>
  <c r="J1866" i="8"/>
  <c r="K1866" i="8"/>
  <c r="L1866" i="8"/>
  <c r="M1866" i="8"/>
  <c r="I1866" i="8"/>
  <c r="H1867" i="8"/>
  <c r="J1867" i="8"/>
  <c r="K1867" i="8"/>
  <c r="L1867" i="8"/>
  <c r="M1867" i="8"/>
  <c r="I1867" i="8"/>
  <c r="H1868" i="8"/>
  <c r="J1868" i="8"/>
  <c r="K1868" i="8"/>
  <c r="L1868" i="8"/>
  <c r="M1868" i="8"/>
  <c r="I1868" i="8"/>
  <c r="H1869" i="8"/>
  <c r="J1869" i="8"/>
  <c r="K1869" i="8"/>
  <c r="L1869" i="8"/>
  <c r="M1869" i="8"/>
  <c r="I1869" i="8"/>
  <c r="H1870" i="8"/>
  <c r="J1870" i="8"/>
  <c r="K1870" i="8"/>
  <c r="L1870" i="8"/>
  <c r="M1870" i="8"/>
  <c r="I1870" i="8"/>
  <c r="H1871" i="8"/>
  <c r="J1871" i="8"/>
  <c r="K1871" i="8"/>
  <c r="L1871" i="8"/>
  <c r="M1871" i="8"/>
  <c r="I1871" i="8"/>
  <c r="H1872" i="8"/>
  <c r="J1872" i="8"/>
  <c r="K1872" i="8"/>
  <c r="L1872" i="8"/>
  <c r="M1872" i="8"/>
  <c r="I1872" i="8"/>
  <c r="H1873" i="8"/>
  <c r="J1873" i="8"/>
  <c r="K1873" i="8"/>
  <c r="L1873" i="8"/>
  <c r="M1873" i="8"/>
  <c r="I1873" i="8"/>
  <c r="H1874" i="8"/>
  <c r="J1874" i="8"/>
  <c r="K1874" i="8"/>
  <c r="L1874" i="8"/>
  <c r="M1874" i="8"/>
  <c r="I1874" i="8"/>
  <c r="H1875" i="8"/>
  <c r="J1875" i="8"/>
  <c r="K1875" i="8"/>
  <c r="L1875" i="8"/>
  <c r="M1875" i="8"/>
  <c r="I1875" i="8"/>
  <c r="H1876" i="8"/>
  <c r="J1876" i="8"/>
  <c r="K1876" i="8"/>
  <c r="L1876" i="8"/>
  <c r="M1876" i="8"/>
  <c r="I1876" i="8"/>
  <c r="H1877" i="8"/>
  <c r="J1877" i="8"/>
  <c r="K1877" i="8"/>
  <c r="L1877" i="8"/>
  <c r="M1877" i="8"/>
  <c r="I1877" i="8"/>
  <c r="H1878" i="8"/>
  <c r="J1878" i="8"/>
  <c r="K1878" i="8"/>
  <c r="L1878" i="8"/>
  <c r="M1878" i="8"/>
  <c r="I1878" i="8"/>
  <c r="H1879" i="8"/>
  <c r="J1879" i="8"/>
  <c r="K1879" i="8"/>
  <c r="L1879" i="8"/>
  <c r="M1879" i="8"/>
  <c r="I1879" i="8"/>
  <c r="H1880" i="8"/>
  <c r="J1880" i="8"/>
  <c r="K1880" i="8"/>
  <c r="L1880" i="8"/>
  <c r="M1880" i="8"/>
  <c r="H1881" i="8"/>
  <c r="I1880" i="8"/>
  <c r="J1881" i="8"/>
  <c r="K1881" i="8"/>
  <c r="L1881" i="8"/>
  <c r="M1881" i="8"/>
  <c r="I1881" i="8"/>
  <c r="H1882" i="8"/>
  <c r="J1882" i="8"/>
  <c r="K1882" i="8"/>
  <c r="L1882" i="8"/>
  <c r="M1882" i="8"/>
  <c r="H1883" i="8"/>
  <c r="I1882" i="8"/>
  <c r="J1883" i="8"/>
  <c r="K1883" i="8"/>
  <c r="L1883" i="8"/>
  <c r="M1883" i="8"/>
  <c r="I1883" i="8"/>
  <c r="H1884" i="8"/>
  <c r="J1884" i="8"/>
  <c r="K1884" i="8"/>
  <c r="L1884" i="8"/>
  <c r="M1884" i="8"/>
  <c r="I1884" i="8"/>
  <c r="H1885" i="8"/>
  <c r="J1885" i="8"/>
  <c r="K1885" i="8"/>
  <c r="L1885" i="8"/>
  <c r="M1885" i="8"/>
  <c r="I1885" i="8"/>
  <c r="H1886" i="8"/>
  <c r="J1886" i="8"/>
  <c r="K1886" i="8"/>
  <c r="L1886" i="8"/>
  <c r="M1886" i="8"/>
  <c r="I1886" i="8"/>
  <c r="H1887" i="8"/>
  <c r="J1887" i="8"/>
  <c r="K1887" i="8"/>
  <c r="L1887" i="8"/>
  <c r="M1887" i="8"/>
  <c r="I1887" i="8"/>
  <c r="H1888" i="8"/>
  <c r="J1888" i="8"/>
  <c r="K1888" i="8"/>
  <c r="L1888" i="8"/>
  <c r="M1888" i="8"/>
  <c r="I1888" i="8"/>
  <c r="H1889" i="8"/>
  <c r="J1889" i="8"/>
  <c r="K1889" i="8"/>
  <c r="L1889" i="8"/>
  <c r="M1889" i="8"/>
  <c r="I1889" i="8"/>
  <c r="H1890" i="8"/>
  <c r="J1890" i="8"/>
  <c r="K1890" i="8"/>
  <c r="L1890" i="8"/>
  <c r="M1890" i="8"/>
  <c r="I1890" i="8"/>
  <c r="H1891" i="8"/>
  <c r="J1891" i="8"/>
  <c r="K1891" i="8"/>
  <c r="L1891" i="8"/>
  <c r="M1891" i="8"/>
  <c r="I1891" i="8"/>
  <c r="H1892" i="8"/>
  <c r="J1892" i="8"/>
  <c r="K1892" i="8"/>
  <c r="L1892" i="8"/>
  <c r="M1892" i="8"/>
  <c r="H1893" i="8"/>
  <c r="I1892" i="8"/>
  <c r="J1893" i="8"/>
  <c r="K1893" i="8"/>
  <c r="L1893" i="8"/>
  <c r="M1893" i="8"/>
  <c r="I1893" i="8"/>
  <c r="H1894" i="8"/>
  <c r="J1894" i="8"/>
  <c r="K1894" i="8"/>
  <c r="L1894" i="8"/>
  <c r="M1894" i="8"/>
  <c r="I1894" i="8"/>
  <c r="H1895" i="8"/>
  <c r="J1895" i="8"/>
  <c r="K1895" i="8"/>
  <c r="L1895" i="8"/>
  <c r="M1895" i="8"/>
  <c r="I1895" i="8"/>
  <c r="H1896" i="8"/>
  <c r="J1896" i="8"/>
  <c r="K1896" i="8"/>
  <c r="L1896" i="8"/>
  <c r="M1896" i="8"/>
  <c r="I1896" i="8"/>
  <c r="H1897" i="8"/>
  <c r="J1897" i="8"/>
  <c r="K1897" i="8"/>
  <c r="L1897" i="8"/>
  <c r="M1897" i="8"/>
  <c r="I1897" i="8"/>
  <c r="H1898" i="8"/>
  <c r="J1898" i="8"/>
  <c r="K1898" i="8"/>
  <c r="L1898" i="8"/>
  <c r="M1898" i="8"/>
  <c r="I1898" i="8"/>
  <c r="H1899" i="8"/>
  <c r="J1899" i="8"/>
  <c r="K1899" i="8"/>
  <c r="L1899" i="8"/>
  <c r="M1899" i="8"/>
  <c r="I1899" i="8"/>
  <c r="H1900" i="8"/>
  <c r="J1900" i="8"/>
  <c r="K1900" i="8"/>
  <c r="L1900" i="8"/>
  <c r="M1900" i="8"/>
  <c r="I1900" i="8"/>
  <c r="H1901" i="8"/>
  <c r="J1901" i="8"/>
  <c r="K1901" i="8"/>
  <c r="L1901" i="8"/>
  <c r="M1901" i="8"/>
  <c r="H1902" i="8"/>
  <c r="I1901" i="8"/>
  <c r="J1902" i="8"/>
  <c r="K1902" i="8"/>
  <c r="L1902" i="8"/>
  <c r="M1902" i="8"/>
  <c r="I1902" i="8"/>
  <c r="H1903" i="8"/>
  <c r="J1903" i="8"/>
  <c r="K1903" i="8"/>
  <c r="L1903" i="8"/>
  <c r="M1903" i="8"/>
  <c r="I1903" i="8"/>
  <c r="H1904" i="8"/>
  <c r="J1904" i="8"/>
  <c r="K1904" i="8"/>
  <c r="L1904" i="8"/>
  <c r="M1904" i="8"/>
  <c r="I1904" i="8"/>
  <c r="H1905" i="8"/>
  <c r="J1905" i="8"/>
  <c r="K1905" i="8"/>
  <c r="L1905" i="8"/>
  <c r="M1905" i="8"/>
  <c r="I1905" i="8"/>
  <c r="H1906" i="8"/>
  <c r="J1906" i="8"/>
  <c r="K1906" i="8"/>
  <c r="L1906" i="8"/>
  <c r="M1906" i="8"/>
  <c r="H1907" i="8"/>
  <c r="I1906" i="8"/>
  <c r="J1907" i="8"/>
  <c r="K1907" i="8"/>
  <c r="L1907" i="8"/>
  <c r="M1907" i="8"/>
  <c r="I1907" i="8"/>
  <c r="H1908" i="8"/>
  <c r="J1908" i="8"/>
  <c r="K1908" i="8"/>
  <c r="L1908" i="8"/>
  <c r="M1908" i="8"/>
  <c r="I1908" i="8"/>
  <c r="H1909" i="8"/>
  <c r="J1909" i="8"/>
  <c r="K1909" i="8"/>
  <c r="L1909" i="8"/>
  <c r="M1909" i="8"/>
  <c r="I1909" i="8"/>
  <c r="H1910" i="8"/>
  <c r="J1910" i="8"/>
  <c r="K1910" i="8"/>
  <c r="L1910" i="8"/>
  <c r="M1910" i="8"/>
  <c r="I1910" i="8"/>
  <c r="H1911" i="8"/>
  <c r="J1911" i="8"/>
  <c r="K1911" i="8"/>
  <c r="L1911" i="8"/>
  <c r="M1911" i="8"/>
  <c r="I1911" i="8"/>
  <c r="H1912" i="8"/>
  <c r="J1912" i="8"/>
  <c r="K1912" i="8"/>
  <c r="L1912" i="8"/>
  <c r="M1912" i="8"/>
  <c r="I1912" i="8"/>
  <c r="H1913" i="8"/>
  <c r="J1913" i="8"/>
  <c r="K1913" i="8"/>
  <c r="L1913" i="8"/>
  <c r="M1913" i="8"/>
  <c r="I1913" i="8"/>
  <c r="H1914" i="8"/>
  <c r="J1914" i="8"/>
  <c r="K1914" i="8"/>
  <c r="L1914" i="8"/>
  <c r="M1914" i="8"/>
  <c r="I1914" i="8"/>
  <c r="H1915" i="8"/>
  <c r="J1915" i="8"/>
  <c r="K1915" i="8"/>
  <c r="L1915" i="8"/>
  <c r="M1915" i="8"/>
  <c r="I1915" i="8"/>
  <c r="H1916" i="8"/>
  <c r="J1916" i="8"/>
  <c r="K1916" i="8"/>
  <c r="L1916" i="8"/>
  <c r="M1916" i="8"/>
  <c r="I1916" i="8"/>
  <c r="H1917" i="8"/>
  <c r="J1917" i="8"/>
  <c r="K1917" i="8"/>
  <c r="L1917" i="8"/>
  <c r="M1917" i="8"/>
  <c r="I1917" i="8"/>
  <c r="H1918" i="8"/>
  <c r="J1918" i="8"/>
  <c r="K1918" i="8"/>
  <c r="L1918" i="8"/>
  <c r="M1918" i="8"/>
  <c r="I1918" i="8"/>
  <c r="H1919" i="8"/>
  <c r="J1919" i="8"/>
  <c r="K1919" i="8"/>
  <c r="L1919" i="8"/>
  <c r="M1919" i="8"/>
  <c r="I1919" i="8"/>
  <c r="H1920" i="8"/>
  <c r="J1920" i="8"/>
  <c r="K1920" i="8"/>
  <c r="L1920" i="8"/>
  <c r="M1920" i="8"/>
  <c r="I1920" i="8"/>
  <c r="H1921" i="8"/>
  <c r="J1921" i="8"/>
  <c r="K1921" i="8"/>
  <c r="L1921" i="8"/>
  <c r="M1921" i="8"/>
  <c r="I1921" i="8"/>
  <c r="H1922" i="8"/>
  <c r="J1922" i="8"/>
  <c r="K1922" i="8"/>
  <c r="L1922" i="8"/>
  <c r="M1922" i="8"/>
  <c r="I1922" i="8"/>
  <c r="H1923" i="8"/>
  <c r="J1923" i="8"/>
  <c r="K1923" i="8"/>
  <c r="L1923" i="8"/>
  <c r="M1923" i="8"/>
  <c r="I1923" i="8"/>
  <c r="H1924" i="8"/>
  <c r="J1924" i="8"/>
  <c r="K1924" i="8"/>
  <c r="L1924" i="8"/>
  <c r="M1924" i="8"/>
  <c r="I1924" i="8"/>
  <c r="H1925" i="8"/>
  <c r="J1925" i="8"/>
  <c r="K1925" i="8"/>
  <c r="L1925" i="8"/>
  <c r="M1925" i="8"/>
  <c r="I1925" i="8"/>
  <c r="H1926" i="8"/>
  <c r="J1926" i="8"/>
  <c r="K1926" i="8"/>
  <c r="L1926" i="8"/>
  <c r="M1926" i="8"/>
  <c r="I1926" i="8"/>
  <c r="H1927" i="8"/>
  <c r="J1927" i="8"/>
  <c r="K1927" i="8"/>
  <c r="L1927" i="8"/>
  <c r="M1927" i="8"/>
  <c r="I1927" i="8"/>
  <c r="H1928" i="8"/>
  <c r="J1928" i="8"/>
  <c r="K1928" i="8"/>
  <c r="L1928" i="8"/>
  <c r="M1928" i="8"/>
  <c r="I1928" i="8"/>
  <c r="H1929" i="8"/>
  <c r="J1929" i="8"/>
  <c r="K1929" i="8"/>
  <c r="L1929" i="8"/>
  <c r="M1929" i="8"/>
  <c r="I1929" i="8"/>
  <c r="H1930" i="8"/>
  <c r="J1930" i="8"/>
  <c r="K1930" i="8"/>
  <c r="L1930" i="8"/>
  <c r="M1930" i="8"/>
  <c r="I1930" i="8"/>
  <c r="H1931" i="8"/>
  <c r="J1931" i="8"/>
  <c r="K1931" i="8"/>
  <c r="L1931" i="8"/>
  <c r="M1931" i="8"/>
  <c r="I1931" i="8"/>
  <c r="H1932" i="8"/>
  <c r="J1932" i="8"/>
  <c r="K1932" i="8"/>
  <c r="L1932" i="8"/>
  <c r="M1932" i="8"/>
  <c r="I1932" i="8"/>
  <c r="H1933" i="8"/>
  <c r="J1933" i="8"/>
  <c r="K1933" i="8"/>
  <c r="L1933" i="8"/>
  <c r="M1933" i="8"/>
  <c r="I1933" i="8"/>
  <c r="H1934" i="8"/>
  <c r="J1934" i="8"/>
  <c r="K1934" i="8"/>
  <c r="L1934" i="8"/>
  <c r="M1934" i="8"/>
  <c r="I1934" i="8"/>
  <c r="H1935" i="8"/>
  <c r="J1935" i="8"/>
  <c r="K1935" i="8"/>
  <c r="L1935" i="8"/>
  <c r="M1935" i="8"/>
  <c r="I1935" i="8"/>
  <c r="H1936" i="8"/>
  <c r="J1936" i="8"/>
  <c r="K1936" i="8"/>
  <c r="L1936" i="8"/>
  <c r="M1936" i="8"/>
  <c r="I1936" i="8"/>
  <c r="H1937" i="8"/>
  <c r="J1937" i="8"/>
  <c r="K1937" i="8"/>
  <c r="L1937" i="8"/>
  <c r="M1937" i="8"/>
  <c r="H1938" i="8"/>
  <c r="I1937" i="8"/>
  <c r="J1938" i="8"/>
  <c r="K1938" i="8"/>
  <c r="L1938" i="8"/>
  <c r="M1938" i="8"/>
  <c r="I1938" i="8"/>
  <c r="H1939" i="8"/>
  <c r="J1939" i="8"/>
  <c r="K1939" i="8"/>
  <c r="L1939" i="8"/>
  <c r="M1939" i="8"/>
  <c r="I1939" i="8"/>
  <c r="H1940" i="8"/>
  <c r="J1940" i="8"/>
  <c r="K1940" i="8"/>
  <c r="L1940" i="8"/>
  <c r="M1940" i="8"/>
  <c r="I1940" i="8"/>
  <c r="H1941" i="8"/>
  <c r="J1941" i="8"/>
  <c r="K1941" i="8"/>
  <c r="L1941" i="8"/>
  <c r="M1941" i="8"/>
  <c r="I1941" i="8"/>
  <c r="H1942" i="8"/>
  <c r="J1942" i="8"/>
  <c r="K1942" i="8"/>
  <c r="L1942" i="8"/>
  <c r="M1942" i="8"/>
  <c r="I1942" i="8"/>
  <c r="H1943" i="8"/>
  <c r="J1943" i="8"/>
  <c r="K1943" i="8"/>
  <c r="L1943" i="8"/>
  <c r="M1943" i="8"/>
  <c r="I1943" i="8"/>
  <c r="H1944" i="8"/>
  <c r="J1944" i="8"/>
  <c r="K1944" i="8"/>
  <c r="L1944" i="8"/>
  <c r="M1944" i="8"/>
  <c r="I1944" i="8"/>
  <c r="H1945" i="8"/>
  <c r="J1945" i="8"/>
  <c r="K1945" i="8"/>
  <c r="L1945" i="8"/>
  <c r="M1945" i="8"/>
  <c r="I1945" i="8"/>
  <c r="H1946" i="8"/>
  <c r="J1946" i="8"/>
  <c r="K1946" i="8"/>
  <c r="L1946" i="8"/>
  <c r="M1946" i="8"/>
  <c r="I1946" i="8"/>
  <c r="H1947" i="8"/>
  <c r="J1947" i="8"/>
  <c r="K1947" i="8"/>
  <c r="L1947" i="8"/>
  <c r="M1947" i="8"/>
  <c r="I1947" i="8"/>
  <c r="H1948" i="8"/>
  <c r="J1948" i="8"/>
  <c r="K1948" i="8"/>
  <c r="L1948" i="8"/>
  <c r="M1948" i="8"/>
  <c r="I1948" i="8"/>
  <c r="H1949" i="8"/>
  <c r="J1949" i="8"/>
  <c r="K1949" i="8"/>
  <c r="L1949" i="8"/>
  <c r="M1949" i="8"/>
  <c r="I1949" i="8"/>
  <c r="H1950" i="8"/>
  <c r="J1950" i="8"/>
  <c r="K1950" i="8"/>
  <c r="L1950" i="8"/>
  <c r="M1950" i="8"/>
  <c r="I1950" i="8"/>
  <c r="H1951" i="8"/>
  <c r="J1951" i="8"/>
  <c r="K1951" i="8"/>
  <c r="L1951" i="8"/>
  <c r="M1951" i="8"/>
  <c r="I1951" i="8"/>
  <c r="H1952" i="8"/>
  <c r="J1952" i="8"/>
  <c r="K1952" i="8"/>
  <c r="L1952" i="8"/>
  <c r="M1952" i="8"/>
  <c r="I1952" i="8"/>
  <c r="H1953" i="8"/>
  <c r="J1953" i="8"/>
  <c r="K1953" i="8"/>
  <c r="L1953" i="8"/>
  <c r="M1953" i="8"/>
  <c r="I1953" i="8"/>
  <c r="H1954" i="8"/>
  <c r="J1954" i="8"/>
  <c r="K1954" i="8"/>
  <c r="L1954" i="8"/>
  <c r="M1954" i="8"/>
  <c r="I1954" i="8"/>
  <c r="H1955" i="8"/>
  <c r="J1955" i="8"/>
  <c r="K1955" i="8"/>
  <c r="L1955" i="8"/>
  <c r="M1955" i="8"/>
  <c r="I1955" i="8"/>
  <c r="H1956" i="8"/>
  <c r="J1956" i="8"/>
  <c r="K1956" i="8"/>
  <c r="L1956" i="8"/>
  <c r="M1956" i="8"/>
  <c r="H1957" i="8"/>
  <c r="I1956" i="8"/>
  <c r="J1957" i="8"/>
  <c r="K1957" i="8"/>
  <c r="L1957" i="8"/>
  <c r="M1957" i="8"/>
  <c r="I1957" i="8"/>
  <c r="H1958" i="8"/>
  <c r="J1958" i="8"/>
  <c r="K1958" i="8"/>
  <c r="L1958" i="8"/>
  <c r="M1958" i="8"/>
  <c r="I1958" i="8"/>
  <c r="H1959" i="8"/>
  <c r="J1959" i="8"/>
  <c r="K1959" i="8"/>
  <c r="L1959" i="8"/>
  <c r="M1959" i="8"/>
  <c r="I1959" i="8"/>
  <c r="H1960" i="8"/>
  <c r="J1960" i="8"/>
  <c r="K1960" i="8"/>
  <c r="L1960" i="8"/>
  <c r="M1960" i="8"/>
  <c r="I1960" i="8"/>
  <c r="H1961" i="8"/>
  <c r="J1961" i="8"/>
  <c r="K1961" i="8"/>
  <c r="L1961" i="8"/>
  <c r="M1961" i="8"/>
  <c r="I1961" i="8"/>
  <c r="H1962" i="8"/>
  <c r="J1962" i="8"/>
  <c r="K1962" i="8"/>
  <c r="L1962" i="8"/>
  <c r="M1962" i="8"/>
  <c r="I1962" i="8"/>
  <c r="H1963" i="8"/>
  <c r="J1963" i="8"/>
  <c r="K1963" i="8"/>
  <c r="L1963" i="8"/>
  <c r="M1963" i="8"/>
  <c r="I1963" i="8"/>
  <c r="H1964" i="8"/>
  <c r="J1964" i="8"/>
  <c r="K1964" i="8"/>
  <c r="L1964" i="8"/>
  <c r="M1964" i="8"/>
  <c r="I1964" i="8"/>
  <c r="H1965" i="8"/>
  <c r="J1965" i="8"/>
  <c r="K1965" i="8"/>
  <c r="L1965" i="8"/>
  <c r="M1965" i="8"/>
  <c r="I1965" i="8"/>
  <c r="H1966" i="8"/>
  <c r="J1966" i="8"/>
  <c r="K1966" i="8"/>
  <c r="L1966" i="8"/>
  <c r="M1966" i="8"/>
  <c r="I1966" i="8"/>
  <c r="H1967" i="8"/>
  <c r="J1967" i="8"/>
  <c r="K1967" i="8"/>
  <c r="L1967" i="8"/>
  <c r="M1967" i="8"/>
  <c r="I1967" i="8"/>
  <c r="H1968" i="8"/>
  <c r="J1968" i="8"/>
  <c r="K1968" i="8"/>
  <c r="L1968" i="8"/>
  <c r="M1968" i="8"/>
  <c r="I1968" i="8"/>
  <c r="H1969" i="8"/>
  <c r="J1969" i="8"/>
  <c r="K1969" i="8"/>
  <c r="L1969" i="8"/>
  <c r="M1969" i="8"/>
  <c r="H1970" i="8"/>
  <c r="I1969" i="8"/>
  <c r="J1970" i="8"/>
  <c r="K1970" i="8"/>
  <c r="L1970" i="8"/>
  <c r="M1970" i="8"/>
  <c r="H1971" i="8"/>
  <c r="I1970" i="8"/>
  <c r="J1971" i="8"/>
  <c r="K1971" i="8"/>
  <c r="L1971" i="8"/>
  <c r="M1971" i="8"/>
  <c r="I1971" i="8"/>
  <c r="H1972" i="8"/>
  <c r="J1972" i="8"/>
  <c r="K1972" i="8"/>
  <c r="L1972" i="8"/>
  <c r="M1972" i="8"/>
  <c r="I1972" i="8"/>
  <c r="H1973" i="8"/>
  <c r="J1973" i="8"/>
  <c r="K1973" i="8"/>
  <c r="L1973" i="8"/>
  <c r="M1973" i="8"/>
  <c r="H1974" i="8"/>
  <c r="I1973" i="8"/>
  <c r="J1974" i="8"/>
  <c r="K1974" i="8"/>
  <c r="L1974" i="8"/>
  <c r="M1974" i="8"/>
  <c r="I1974" i="8"/>
  <c r="H1975" i="8"/>
  <c r="J1975" i="8"/>
  <c r="K1975" i="8"/>
  <c r="L1975" i="8"/>
  <c r="M1975" i="8"/>
  <c r="I1975" i="8"/>
  <c r="H1976" i="8"/>
  <c r="J1976" i="8"/>
  <c r="K1976" i="8"/>
  <c r="L1976" i="8"/>
  <c r="M1976" i="8"/>
  <c r="I1976" i="8"/>
  <c r="H1977" i="8"/>
  <c r="J1977" i="8"/>
  <c r="K1977" i="8"/>
  <c r="L1977" i="8"/>
  <c r="M1977" i="8"/>
  <c r="I1977" i="8"/>
  <c r="H1978" i="8"/>
  <c r="J1978" i="8"/>
  <c r="K1978" i="8"/>
  <c r="L1978" i="8"/>
  <c r="M1978" i="8"/>
  <c r="I1978" i="8"/>
  <c r="H1979" i="8"/>
  <c r="J1979" i="8"/>
  <c r="K1979" i="8"/>
  <c r="L1979" i="8"/>
  <c r="M1979" i="8"/>
  <c r="I1979" i="8"/>
  <c r="H1980" i="8"/>
  <c r="J1980" i="8"/>
  <c r="K1980" i="8"/>
  <c r="L1980" i="8"/>
  <c r="M1980" i="8"/>
  <c r="I1980" i="8"/>
  <c r="H1981" i="8"/>
  <c r="J1981" i="8"/>
  <c r="K1981" i="8"/>
  <c r="L1981" i="8"/>
  <c r="M1981" i="8"/>
  <c r="I1981" i="8"/>
  <c r="H1982" i="8"/>
  <c r="J1982" i="8"/>
  <c r="K1982" i="8"/>
  <c r="L1982" i="8"/>
  <c r="M1982" i="8"/>
  <c r="I1982" i="8"/>
  <c r="H1983" i="8"/>
  <c r="J1983" i="8"/>
  <c r="K1983" i="8"/>
  <c r="L1983" i="8"/>
  <c r="M1983" i="8"/>
  <c r="I1983" i="8"/>
  <c r="H1984" i="8"/>
  <c r="J1984" i="8"/>
  <c r="K1984" i="8"/>
  <c r="L1984" i="8"/>
  <c r="M1984" i="8"/>
  <c r="I1984" i="8"/>
  <c r="H1985" i="8"/>
  <c r="J1985" i="8"/>
  <c r="K1985" i="8"/>
  <c r="L1985" i="8"/>
  <c r="M1985" i="8"/>
  <c r="I1985" i="8"/>
  <c r="H1986" i="8"/>
  <c r="J1986" i="8"/>
  <c r="K1986" i="8"/>
  <c r="L1986" i="8"/>
  <c r="M1986" i="8"/>
  <c r="I1986" i="8"/>
  <c r="H1987" i="8"/>
  <c r="J1987" i="8"/>
  <c r="K1987" i="8"/>
  <c r="L1987" i="8"/>
  <c r="M1987" i="8"/>
  <c r="I1987" i="8"/>
  <c r="H1988" i="8"/>
  <c r="J1988" i="8"/>
  <c r="K1988" i="8"/>
  <c r="L1988" i="8"/>
  <c r="M1988" i="8"/>
  <c r="I1988" i="8"/>
  <c r="H1989" i="8"/>
  <c r="J1989" i="8"/>
  <c r="K1989" i="8"/>
  <c r="L1989" i="8"/>
  <c r="M1989" i="8"/>
  <c r="I1989" i="8"/>
  <c r="H1990" i="8"/>
  <c r="J1990" i="8"/>
  <c r="K1990" i="8"/>
  <c r="L1990" i="8"/>
  <c r="M1990" i="8"/>
  <c r="I1990" i="8"/>
  <c r="H1991" i="8"/>
  <c r="J1991" i="8"/>
  <c r="K1991" i="8"/>
  <c r="L1991" i="8"/>
  <c r="M1991" i="8"/>
  <c r="I1991" i="8"/>
  <c r="H1992" i="8"/>
  <c r="J1992" i="8"/>
  <c r="K1992" i="8"/>
  <c r="L1992" i="8"/>
  <c r="M1992" i="8"/>
  <c r="I1992" i="8"/>
  <c r="H1993" i="8"/>
  <c r="J1993" i="8"/>
  <c r="K1993" i="8"/>
  <c r="L1993" i="8"/>
  <c r="M1993" i="8"/>
  <c r="H1994" i="8"/>
  <c r="I1993" i="8"/>
  <c r="J1994" i="8"/>
  <c r="K1994" i="8"/>
  <c r="L1994" i="8"/>
  <c r="M1994" i="8"/>
  <c r="I1994" i="8"/>
  <c r="H1995" i="8"/>
  <c r="J1995" i="8"/>
  <c r="K1995" i="8"/>
  <c r="L1995" i="8"/>
  <c r="M1995" i="8"/>
  <c r="I1995" i="8"/>
  <c r="H1996" i="8"/>
  <c r="J1996" i="8"/>
  <c r="K1996" i="8"/>
  <c r="L1996" i="8"/>
  <c r="M1996" i="8"/>
  <c r="H1997" i="8"/>
  <c r="I1996" i="8"/>
  <c r="J1997" i="8"/>
  <c r="K1997" i="8"/>
  <c r="L1997" i="8"/>
  <c r="M1997" i="8"/>
  <c r="I1997" i="8"/>
  <c r="H1998" i="8"/>
  <c r="J1998" i="8"/>
  <c r="K1998" i="8"/>
  <c r="L1998" i="8"/>
  <c r="M1998" i="8"/>
  <c r="I1998" i="8"/>
  <c r="H1999" i="8"/>
  <c r="J1999" i="8"/>
  <c r="K1999" i="8"/>
  <c r="L1999" i="8"/>
  <c r="M1999" i="8"/>
  <c r="H2000" i="8"/>
  <c r="I1999" i="8"/>
  <c r="J2000" i="8"/>
  <c r="K2000" i="8"/>
  <c r="L2000" i="8"/>
  <c r="M2000" i="8"/>
  <c r="H2001" i="8"/>
  <c r="I2000" i="8"/>
  <c r="J2001" i="8"/>
  <c r="K2001" i="8"/>
  <c r="L2001" i="8"/>
  <c r="M2001" i="8"/>
  <c r="I2001" i="8"/>
  <c r="H2002" i="8"/>
  <c r="J2002" i="8"/>
  <c r="K2002" i="8"/>
  <c r="L2002" i="8"/>
  <c r="M2002" i="8"/>
  <c r="H2003" i="8"/>
  <c r="I2002" i="8"/>
  <c r="J2003" i="8"/>
  <c r="K2003" i="8"/>
  <c r="L2003" i="8"/>
  <c r="M2003" i="8"/>
  <c r="I2003" i="8"/>
  <c r="H2004" i="8"/>
  <c r="J2004" i="8"/>
  <c r="K2004" i="8"/>
  <c r="L2004" i="8"/>
  <c r="M2004" i="8"/>
  <c r="I2004" i="8"/>
  <c r="H2005" i="8"/>
  <c r="J2005" i="8"/>
  <c r="K2005" i="8"/>
  <c r="L2005" i="8"/>
  <c r="M2005" i="8"/>
  <c r="I2005" i="8"/>
  <c r="H2006" i="8"/>
  <c r="J2006" i="8"/>
  <c r="K2006" i="8"/>
  <c r="L2006" i="8"/>
  <c r="M2006" i="8"/>
  <c r="I2006" i="8"/>
  <c r="H2007" i="8"/>
  <c r="J2007" i="8"/>
  <c r="K2007" i="8"/>
  <c r="L2007" i="8"/>
  <c r="M2007" i="8"/>
  <c r="I2007" i="8"/>
  <c r="H2008" i="8"/>
  <c r="J2008" i="8"/>
  <c r="K2008" i="8"/>
  <c r="L2008" i="8"/>
  <c r="M2008" i="8"/>
  <c r="I2008" i="8"/>
  <c r="H2009" i="8"/>
  <c r="J2009" i="8"/>
  <c r="K2009" i="8"/>
  <c r="L2009" i="8"/>
  <c r="M2009" i="8"/>
  <c r="I2009" i="8"/>
  <c r="H2010" i="8"/>
  <c r="J2010" i="8"/>
  <c r="K2010" i="8"/>
  <c r="L2010" i="8"/>
  <c r="M2010" i="8"/>
  <c r="I2010" i="8"/>
  <c r="H2011" i="8"/>
  <c r="J2011" i="8"/>
  <c r="K2011" i="8"/>
  <c r="L2011" i="8"/>
  <c r="M2011" i="8"/>
  <c r="I2011" i="8"/>
  <c r="H2012" i="8"/>
  <c r="J2012" i="8"/>
  <c r="K2012" i="8"/>
  <c r="L2012" i="8"/>
  <c r="M2012" i="8"/>
  <c r="I2012" i="8"/>
  <c r="H2013" i="8"/>
  <c r="J2013" i="8"/>
  <c r="K2013" i="8"/>
  <c r="L2013" i="8"/>
  <c r="M2013" i="8"/>
  <c r="I2013" i="8"/>
  <c r="H2014" i="8"/>
  <c r="J2014" i="8"/>
  <c r="K2014" i="8"/>
  <c r="L2014" i="8"/>
  <c r="M2014" i="8"/>
  <c r="I2014" i="8"/>
  <c r="H2015" i="8"/>
  <c r="J2015" i="8"/>
  <c r="K2015" i="8"/>
  <c r="L2015" i="8"/>
  <c r="M2015" i="8"/>
  <c r="I2015" i="8"/>
  <c r="H2016" i="8"/>
  <c r="J2016" i="8"/>
  <c r="K2016" i="8"/>
  <c r="L2016" i="8"/>
  <c r="M2016" i="8"/>
  <c r="I2016" i="8"/>
  <c r="H2017" i="8"/>
  <c r="J2017" i="8"/>
  <c r="K2017" i="8"/>
  <c r="L2017" i="8"/>
  <c r="M2017" i="8"/>
  <c r="I2017" i="8"/>
  <c r="H2018" i="8"/>
  <c r="J2018" i="8"/>
  <c r="K2018" i="8"/>
  <c r="L2018" i="8"/>
  <c r="M2018" i="8"/>
  <c r="I2018" i="8"/>
  <c r="H2019" i="8"/>
  <c r="J2019" i="8"/>
  <c r="K2019" i="8"/>
  <c r="L2019" i="8"/>
  <c r="M2019" i="8"/>
  <c r="I2019" i="8"/>
  <c r="H2020" i="8"/>
  <c r="J2020" i="8"/>
  <c r="K2020" i="8"/>
  <c r="L2020" i="8"/>
  <c r="M2020" i="8"/>
  <c r="H2021" i="8"/>
  <c r="I2020" i="8"/>
  <c r="J2021" i="8"/>
  <c r="K2021" i="8"/>
  <c r="L2021" i="8"/>
  <c r="M2021" i="8"/>
  <c r="I2021" i="8"/>
  <c r="H2022" i="8"/>
  <c r="J2022" i="8"/>
  <c r="K2022" i="8"/>
  <c r="L2022" i="8"/>
  <c r="M2022" i="8"/>
  <c r="I2022" i="8"/>
  <c r="H2023" i="8"/>
  <c r="J2023" i="8"/>
  <c r="K2023" i="8"/>
  <c r="L2023" i="8"/>
  <c r="M2023" i="8"/>
  <c r="I2023" i="8"/>
  <c r="H2024" i="8"/>
  <c r="J2024" i="8"/>
  <c r="K2024" i="8"/>
  <c r="L2024" i="8"/>
  <c r="M2024" i="8"/>
  <c r="I2024" i="8"/>
  <c r="H2025" i="8"/>
  <c r="J2025" i="8"/>
  <c r="K2025" i="8"/>
  <c r="L2025" i="8"/>
  <c r="M2025" i="8"/>
  <c r="H2026" i="8"/>
  <c r="I2025" i="8"/>
  <c r="J2026" i="8"/>
  <c r="K2026" i="8"/>
  <c r="L2026" i="8"/>
  <c r="M2026" i="8"/>
  <c r="I2026" i="8"/>
  <c r="H2027" i="8"/>
  <c r="J2027" i="8"/>
  <c r="K2027" i="8"/>
  <c r="L2027" i="8"/>
  <c r="M2027" i="8"/>
  <c r="I2027" i="8"/>
  <c r="H2028" i="8"/>
  <c r="J2028" i="8"/>
  <c r="K2028" i="8"/>
  <c r="L2028" i="8"/>
  <c r="M2028" i="8"/>
  <c r="I2028" i="8"/>
  <c r="H2029" i="8"/>
  <c r="J2029" i="8"/>
  <c r="K2029" i="8"/>
  <c r="L2029" i="8"/>
  <c r="M2029" i="8"/>
  <c r="I2029" i="8"/>
  <c r="H2030" i="8"/>
  <c r="J2030" i="8"/>
  <c r="K2030" i="8"/>
  <c r="L2030" i="8"/>
  <c r="M2030" i="8"/>
  <c r="H2031" i="8"/>
  <c r="I2030" i="8"/>
  <c r="J2031" i="8"/>
  <c r="K2031" i="8"/>
  <c r="L2031" i="8"/>
  <c r="M2031" i="8"/>
  <c r="I2031" i="8"/>
  <c r="H2032" i="8"/>
  <c r="J2032" i="8"/>
  <c r="K2032" i="8"/>
  <c r="L2032" i="8"/>
  <c r="M2032" i="8"/>
  <c r="I2032" i="8"/>
  <c r="H2033" i="8"/>
  <c r="J2033" i="8"/>
  <c r="K2033" i="8"/>
  <c r="L2033" i="8"/>
  <c r="M2033" i="8"/>
  <c r="I2033" i="8"/>
  <c r="H2034" i="8"/>
  <c r="J2034" i="8"/>
  <c r="K2034" i="8"/>
  <c r="L2034" i="8"/>
  <c r="M2034" i="8"/>
  <c r="I2034" i="8"/>
  <c r="H2035" i="8"/>
  <c r="J2035" i="8"/>
  <c r="K2035" i="8"/>
  <c r="L2035" i="8"/>
  <c r="M2035" i="8"/>
  <c r="I2035" i="8"/>
  <c r="H2036" i="8"/>
  <c r="J2036" i="8"/>
  <c r="K2036" i="8"/>
  <c r="L2036" i="8"/>
  <c r="M2036" i="8"/>
  <c r="I2036" i="8"/>
  <c r="H2037" i="8"/>
  <c r="J2037" i="8"/>
  <c r="K2037" i="8"/>
  <c r="L2037" i="8"/>
  <c r="M2037" i="8"/>
  <c r="I2037" i="8"/>
  <c r="H2038" i="8"/>
  <c r="J2038" i="8"/>
  <c r="K2038" i="8"/>
  <c r="L2038" i="8"/>
  <c r="M2038" i="8"/>
  <c r="I2038" i="8"/>
  <c r="H2039" i="8"/>
  <c r="J2039" i="8"/>
  <c r="K2039" i="8"/>
  <c r="L2039" i="8"/>
  <c r="M2039" i="8"/>
  <c r="I2039" i="8"/>
  <c r="H2040" i="8"/>
  <c r="J2040" i="8"/>
  <c r="K2040" i="8"/>
  <c r="L2040" i="8"/>
  <c r="M2040" i="8"/>
  <c r="I2040" i="8"/>
  <c r="H2041" i="8"/>
  <c r="J2041" i="8"/>
  <c r="K2041" i="8"/>
  <c r="L2041" i="8"/>
  <c r="M2041" i="8"/>
  <c r="I2041" i="8"/>
  <c r="H2042" i="8"/>
  <c r="J2042" i="8"/>
  <c r="K2042" i="8"/>
  <c r="L2042" i="8"/>
  <c r="M2042" i="8"/>
  <c r="I2042" i="8"/>
  <c r="H2043" i="8"/>
  <c r="J2043" i="8"/>
  <c r="K2043" i="8"/>
  <c r="L2043" i="8"/>
  <c r="M2043" i="8"/>
  <c r="I2043" i="8"/>
  <c r="H2044" i="8"/>
  <c r="J2044" i="8"/>
  <c r="K2044" i="8"/>
  <c r="L2044" i="8"/>
  <c r="M2044" i="8"/>
  <c r="I2044" i="8"/>
  <c r="H2045" i="8"/>
  <c r="J2045" i="8"/>
  <c r="K2045" i="8"/>
  <c r="L2045" i="8"/>
  <c r="M2045" i="8"/>
  <c r="I2045" i="8"/>
  <c r="H2046" i="8"/>
  <c r="J2046" i="8"/>
  <c r="K2046" i="8"/>
  <c r="L2046" i="8"/>
  <c r="M2046" i="8"/>
  <c r="I2046" i="8"/>
  <c r="H2047" i="8"/>
  <c r="J2047" i="8"/>
  <c r="K2047" i="8"/>
  <c r="L2047" i="8"/>
  <c r="M2047" i="8"/>
  <c r="I2047" i="8"/>
  <c r="H2048" i="8"/>
  <c r="J2048" i="8"/>
  <c r="K2048" i="8"/>
  <c r="L2048" i="8"/>
  <c r="M2048" i="8"/>
  <c r="I2048" i="8"/>
  <c r="H2049" i="8"/>
  <c r="J2049" i="8"/>
  <c r="K2049" i="8"/>
  <c r="L2049" i="8"/>
  <c r="M2049" i="8"/>
  <c r="I2049" i="8"/>
  <c r="H2050" i="8"/>
  <c r="J2050" i="8"/>
  <c r="K2050" i="8"/>
  <c r="L2050" i="8"/>
  <c r="M2050" i="8"/>
  <c r="I2050" i="8"/>
  <c r="H2051" i="8"/>
  <c r="J2051" i="8"/>
  <c r="K2051" i="8"/>
  <c r="L2051" i="8"/>
  <c r="M2051" i="8"/>
  <c r="I2051" i="8"/>
  <c r="H2052" i="8"/>
  <c r="J2052" i="8"/>
  <c r="K2052" i="8"/>
  <c r="L2052" i="8"/>
  <c r="M2052" i="8"/>
  <c r="I2052" i="8"/>
  <c r="H2053" i="8"/>
  <c r="J2053" i="8"/>
  <c r="K2053" i="8"/>
  <c r="L2053" i="8"/>
  <c r="M2053" i="8"/>
  <c r="I2053" i="8"/>
  <c r="H2054" i="8"/>
  <c r="J2054" i="8"/>
  <c r="K2054" i="8"/>
  <c r="L2054" i="8"/>
  <c r="M2054" i="8"/>
  <c r="I2054" i="8"/>
  <c r="H2055" i="8"/>
  <c r="J2055" i="8"/>
  <c r="K2055" i="8"/>
  <c r="L2055" i="8"/>
  <c r="M2055" i="8"/>
  <c r="I2055" i="8"/>
  <c r="H2056" i="8"/>
  <c r="J2056" i="8"/>
  <c r="K2056" i="8"/>
  <c r="L2056" i="8"/>
  <c r="M2056" i="8"/>
  <c r="I2056" i="8"/>
  <c r="H2057" i="8"/>
  <c r="J2057" i="8"/>
  <c r="K2057" i="8"/>
  <c r="L2057" i="8"/>
  <c r="M2057" i="8"/>
  <c r="I2057" i="8"/>
  <c r="H2058" i="8"/>
  <c r="J2058" i="8"/>
  <c r="K2058" i="8"/>
  <c r="L2058" i="8"/>
  <c r="M2058" i="8"/>
  <c r="I2058" i="8"/>
  <c r="H2059" i="8"/>
  <c r="J2059" i="8"/>
  <c r="K2059" i="8"/>
  <c r="L2059" i="8"/>
  <c r="M2059" i="8"/>
  <c r="I2059" i="8"/>
  <c r="H2060" i="8"/>
  <c r="J2060" i="8"/>
  <c r="K2060" i="8"/>
  <c r="L2060" i="8"/>
  <c r="M2060" i="8"/>
  <c r="I2060" i="8"/>
  <c r="H2061" i="8"/>
  <c r="J2061" i="8"/>
  <c r="K2061" i="8"/>
  <c r="L2061" i="8"/>
  <c r="M2061" i="8"/>
  <c r="I2061" i="8"/>
  <c r="H2062" i="8"/>
  <c r="J2062" i="8"/>
  <c r="K2062" i="8"/>
  <c r="L2062" i="8"/>
  <c r="M2062" i="8"/>
  <c r="I2062" i="8"/>
  <c r="H2063" i="8"/>
  <c r="J2063" i="8"/>
  <c r="K2063" i="8"/>
  <c r="L2063" i="8"/>
  <c r="M2063" i="8"/>
  <c r="I2063" i="8"/>
  <c r="H2064" i="8"/>
  <c r="J2064" i="8"/>
  <c r="K2064" i="8"/>
  <c r="L2064" i="8"/>
  <c r="M2064" i="8"/>
  <c r="I2064" i="8"/>
  <c r="H2065" i="8"/>
  <c r="J2065" i="8"/>
  <c r="K2065" i="8"/>
  <c r="L2065" i="8"/>
  <c r="M2065" i="8"/>
  <c r="I2065" i="8"/>
  <c r="H2066" i="8"/>
  <c r="J2066" i="8"/>
  <c r="K2066" i="8"/>
  <c r="L2066" i="8"/>
  <c r="M2066" i="8"/>
  <c r="I2066" i="8"/>
  <c r="H2067" i="8"/>
  <c r="J2067" i="8"/>
  <c r="K2067" i="8"/>
  <c r="L2067" i="8"/>
  <c r="M2067" i="8"/>
  <c r="I2067" i="8"/>
  <c r="H2068" i="8"/>
  <c r="J2068" i="8"/>
  <c r="K2068" i="8"/>
  <c r="L2068" i="8"/>
  <c r="M2068" i="8"/>
  <c r="I2068" i="8"/>
  <c r="H2069" i="8"/>
  <c r="J2069" i="8"/>
  <c r="K2069" i="8"/>
  <c r="L2069" i="8"/>
  <c r="M2069" i="8"/>
  <c r="I2069" i="8"/>
  <c r="H2070" i="8"/>
  <c r="J2070" i="8"/>
  <c r="K2070" i="8"/>
  <c r="L2070" i="8"/>
  <c r="M2070" i="8"/>
  <c r="I2070" i="8"/>
  <c r="H2071" i="8"/>
  <c r="J2071" i="8"/>
  <c r="K2071" i="8"/>
  <c r="L2071" i="8"/>
  <c r="M2071" i="8"/>
  <c r="I2071" i="8"/>
  <c r="H2072" i="8"/>
  <c r="J2072" i="8"/>
  <c r="K2072" i="8"/>
  <c r="L2072" i="8"/>
  <c r="M2072" i="8"/>
  <c r="I2072" i="8"/>
  <c r="H2073" i="8"/>
  <c r="J2073" i="8"/>
  <c r="K2073" i="8"/>
  <c r="L2073" i="8"/>
  <c r="M2073" i="8"/>
  <c r="I2073" i="8"/>
  <c r="H2074" i="8"/>
  <c r="J2074" i="8"/>
  <c r="K2074" i="8"/>
  <c r="L2074" i="8"/>
  <c r="M2074" i="8"/>
  <c r="I2074" i="8"/>
  <c r="H2075" i="8"/>
  <c r="J2075" i="8"/>
  <c r="K2075" i="8"/>
  <c r="L2075" i="8"/>
  <c r="M2075" i="8"/>
  <c r="I2075" i="8"/>
  <c r="H2076" i="8"/>
  <c r="J2076" i="8"/>
  <c r="K2076" i="8"/>
  <c r="L2076" i="8"/>
  <c r="M2076" i="8"/>
  <c r="I2076" i="8"/>
  <c r="H2077" i="8"/>
  <c r="J2077" i="8"/>
  <c r="K2077" i="8"/>
  <c r="L2077" i="8"/>
  <c r="M2077" i="8"/>
  <c r="I2077" i="8"/>
  <c r="H2078" i="8"/>
  <c r="J2078" i="8"/>
  <c r="K2078" i="8"/>
  <c r="L2078" i="8"/>
  <c r="M2078" i="8"/>
  <c r="I2078" i="8"/>
  <c r="H2079" i="8"/>
  <c r="J2079" i="8"/>
  <c r="K2079" i="8"/>
  <c r="L2079" i="8"/>
  <c r="M2079" i="8"/>
  <c r="I2079" i="8"/>
  <c r="H2080" i="8"/>
  <c r="J2080" i="8"/>
  <c r="K2080" i="8"/>
  <c r="L2080" i="8"/>
  <c r="M2080" i="8"/>
  <c r="I2080" i="8"/>
  <c r="H2081" i="8"/>
  <c r="J2081" i="8"/>
  <c r="K2081" i="8"/>
  <c r="L2081" i="8"/>
  <c r="M2081" i="8"/>
  <c r="I2081" i="8"/>
  <c r="H2082" i="8"/>
  <c r="J2082" i="8"/>
  <c r="K2082" i="8"/>
  <c r="L2082" i="8"/>
  <c r="M2082" i="8"/>
  <c r="I2082" i="8"/>
  <c r="H2083" i="8"/>
  <c r="J2083" i="8"/>
  <c r="K2083" i="8"/>
  <c r="L2083" i="8"/>
  <c r="M2083" i="8"/>
  <c r="I2083" i="8"/>
  <c r="H2084" i="8"/>
  <c r="J2084" i="8"/>
  <c r="K2084" i="8"/>
  <c r="L2084" i="8"/>
  <c r="M2084" i="8"/>
  <c r="I2084" i="8"/>
  <c r="H2085" i="8"/>
  <c r="J2085" i="8"/>
  <c r="K2085" i="8"/>
  <c r="L2085" i="8"/>
  <c r="M2085" i="8"/>
  <c r="I2085" i="8"/>
  <c r="H2086" i="8"/>
  <c r="J2086" i="8"/>
  <c r="K2086" i="8"/>
  <c r="L2086" i="8"/>
  <c r="M2086" i="8"/>
  <c r="I2086" i="8"/>
  <c r="H2087" i="8"/>
  <c r="J2087" i="8"/>
  <c r="K2087" i="8"/>
  <c r="L2087" i="8"/>
  <c r="M2087" i="8"/>
  <c r="I2087" i="8"/>
  <c r="H2088" i="8"/>
  <c r="J2088" i="8"/>
  <c r="K2088" i="8"/>
  <c r="L2088" i="8"/>
  <c r="M2088" i="8"/>
  <c r="I2088" i="8"/>
  <c r="H2089" i="8"/>
  <c r="J2089" i="8"/>
  <c r="K2089" i="8"/>
  <c r="L2089" i="8"/>
  <c r="M2089" i="8"/>
  <c r="I2089" i="8"/>
  <c r="H2090" i="8"/>
  <c r="J2090" i="8"/>
  <c r="K2090" i="8"/>
  <c r="L2090" i="8"/>
  <c r="M2090" i="8"/>
  <c r="I2090" i="8"/>
  <c r="H2091" i="8"/>
  <c r="J2091" i="8"/>
  <c r="K2091" i="8"/>
  <c r="L2091" i="8"/>
  <c r="M2091" i="8"/>
  <c r="I2091" i="8"/>
  <c r="H2092" i="8"/>
  <c r="J2092" i="8"/>
  <c r="K2092" i="8"/>
  <c r="L2092" i="8"/>
  <c r="M2092" i="8"/>
  <c r="H2093" i="8"/>
  <c r="I2092" i="8"/>
  <c r="J2093" i="8"/>
  <c r="K2093" i="8"/>
  <c r="L2093" i="8"/>
  <c r="M2093" i="8"/>
  <c r="H2094" i="8"/>
  <c r="I2093" i="8"/>
  <c r="J2094" i="8"/>
  <c r="K2094" i="8"/>
  <c r="L2094" i="8"/>
  <c r="M2094" i="8"/>
  <c r="I2094" i="8"/>
  <c r="H2095" i="8"/>
  <c r="J2095" i="8"/>
  <c r="K2095" i="8"/>
  <c r="L2095" i="8"/>
  <c r="M2095" i="8"/>
  <c r="H2096" i="8"/>
  <c r="I2095" i="8"/>
  <c r="J2096" i="8"/>
  <c r="K2096" i="8"/>
  <c r="L2096" i="8"/>
  <c r="M2096" i="8"/>
  <c r="I2096" i="8"/>
  <c r="H2097" i="8"/>
  <c r="J2097" i="8"/>
  <c r="K2097" i="8"/>
  <c r="L2097" i="8"/>
  <c r="M2097" i="8"/>
  <c r="I2097" i="8"/>
  <c r="H2098" i="8"/>
  <c r="J2098" i="8"/>
  <c r="K2098" i="8"/>
  <c r="L2098" i="8"/>
  <c r="M2098" i="8"/>
  <c r="I2098" i="8"/>
  <c r="H2099" i="8"/>
  <c r="J2099" i="8"/>
  <c r="K2099" i="8"/>
  <c r="L2099" i="8"/>
  <c r="M2099" i="8"/>
  <c r="I2099" i="8"/>
  <c r="H2100" i="8"/>
  <c r="J2100" i="8"/>
  <c r="K2100" i="8"/>
  <c r="L2100" i="8"/>
  <c r="M2100" i="8"/>
  <c r="I2100" i="8"/>
  <c r="H2101" i="8"/>
  <c r="J2101" i="8"/>
  <c r="K2101" i="8"/>
  <c r="L2101" i="8"/>
  <c r="M2101" i="8"/>
  <c r="H2102" i="8"/>
  <c r="I2101" i="8"/>
  <c r="J2102" i="8"/>
  <c r="K2102" i="8"/>
  <c r="L2102" i="8"/>
  <c r="M2102" i="8"/>
  <c r="I2102" i="8"/>
  <c r="H2103" i="8"/>
  <c r="J2103" i="8"/>
  <c r="K2103" i="8"/>
  <c r="L2103" i="8"/>
  <c r="M2103" i="8"/>
  <c r="I2103" i="8"/>
  <c r="H2104" i="8"/>
  <c r="J2104" i="8"/>
  <c r="K2104" i="8"/>
  <c r="L2104" i="8"/>
  <c r="M2104" i="8"/>
  <c r="I2104" i="8"/>
  <c r="H2105" i="8"/>
  <c r="J2105" i="8"/>
  <c r="K2105" i="8"/>
  <c r="L2105" i="8"/>
  <c r="M2105" i="8"/>
  <c r="I2105" i="8"/>
  <c r="H2106" i="8"/>
  <c r="J2106" i="8"/>
  <c r="K2106" i="8"/>
  <c r="L2106" i="8"/>
  <c r="M2106" i="8"/>
  <c r="I2106" i="8"/>
  <c r="H2107" i="8"/>
  <c r="J2107" i="8"/>
  <c r="K2107" i="8"/>
  <c r="L2107" i="8"/>
  <c r="M2107" i="8"/>
  <c r="I2107" i="8"/>
  <c r="H2108" i="8"/>
  <c r="J2108" i="8"/>
  <c r="K2108" i="8"/>
  <c r="L2108" i="8"/>
  <c r="M2108" i="8"/>
  <c r="I2108" i="8"/>
  <c r="H2109" i="8"/>
  <c r="J2109" i="8"/>
  <c r="K2109" i="8"/>
  <c r="L2109" i="8"/>
  <c r="M2109" i="8"/>
  <c r="H2110" i="8"/>
  <c r="I2109" i="8"/>
  <c r="J2110" i="8"/>
  <c r="K2110" i="8"/>
  <c r="L2110" i="8"/>
  <c r="M2110" i="8"/>
  <c r="I2110" i="8"/>
  <c r="H2111" i="8"/>
  <c r="J2111" i="8"/>
  <c r="K2111" i="8"/>
  <c r="L2111" i="8"/>
  <c r="M2111" i="8"/>
  <c r="I2111" i="8"/>
  <c r="H2112" i="8"/>
  <c r="J2112" i="8"/>
  <c r="K2112" i="8"/>
  <c r="L2112" i="8"/>
  <c r="M2112" i="8"/>
  <c r="H2113" i="8"/>
  <c r="I2112" i="8"/>
  <c r="J2113" i="8"/>
  <c r="K2113" i="8"/>
  <c r="L2113" i="8"/>
  <c r="M2113" i="8"/>
  <c r="I2113" i="8"/>
  <c r="H2114" i="8"/>
  <c r="J2114" i="8"/>
  <c r="K2114" i="8"/>
  <c r="L2114" i="8"/>
  <c r="M2114" i="8"/>
  <c r="H2115" i="8"/>
  <c r="I2114" i="8"/>
  <c r="J2115" i="8"/>
  <c r="K2115" i="8"/>
  <c r="L2115" i="8"/>
  <c r="M2115" i="8"/>
  <c r="I2115" i="8"/>
  <c r="H2116" i="8"/>
  <c r="J2116" i="8"/>
  <c r="K2116" i="8"/>
  <c r="L2116" i="8"/>
  <c r="M2116" i="8"/>
  <c r="I2116" i="8"/>
  <c r="H2117" i="8"/>
  <c r="J2117" i="8"/>
  <c r="K2117" i="8"/>
  <c r="L2117" i="8"/>
  <c r="M2117" i="8"/>
  <c r="I2117" i="8"/>
  <c r="H2118" i="8"/>
  <c r="J2118" i="8"/>
  <c r="K2118" i="8"/>
  <c r="L2118" i="8"/>
  <c r="M2118" i="8"/>
  <c r="I2118" i="8"/>
  <c r="H2119" i="8"/>
  <c r="J2119" i="8"/>
  <c r="K2119" i="8"/>
  <c r="L2119" i="8"/>
  <c r="M2119" i="8"/>
  <c r="I2119" i="8"/>
  <c r="H2120" i="8"/>
  <c r="J2120" i="8"/>
  <c r="K2120" i="8"/>
  <c r="L2120" i="8"/>
  <c r="M2120" i="8"/>
  <c r="I2120" i="8"/>
  <c r="H2121" i="8"/>
  <c r="J2121" i="8"/>
  <c r="K2121" i="8"/>
  <c r="L2121" i="8"/>
  <c r="M2121" i="8"/>
  <c r="H2122" i="8"/>
  <c r="I2121" i="8"/>
  <c r="J2122" i="8"/>
  <c r="K2122" i="8"/>
  <c r="L2122" i="8"/>
  <c r="M2122" i="8"/>
  <c r="I2122" i="8"/>
  <c r="H2123" i="8"/>
  <c r="J2123" i="8"/>
  <c r="K2123" i="8"/>
  <c r="L2123" i="8"/>
  <c r="M2123" i="8"/>
  <c r="I2123" i="8"/>
  <c r="H2124" i="8"/>
  <c r="J2124" i="8"/>
  <c r="K2124" i="8"/>
  <c r="L2124" i="8"/>
  <c r="M2124" i="8"/>
  <c r="I2124" i="8"/>
  <c r="H2125" i="8"/>
  <c r="J2125" i="8"/>
  <c r="K2125" i="8"/>
  <c r="L2125" i="8"/>
  <c r="M2125" i="8"/>
  <c r="I2125" i="8"/>
  <c r="H2126" i="8"/>
  <c r="J2126" i="8"/>
  <c r="K2126" i="8"/>
  <c r="L2126" i="8"/>
  <c r="M2126" i="8"/>
  <c r="I2126" i="8"/>
  <c r="H2127" i="8"/>
  <c r="J2127" i="8"/>
  <c r="K2127" i="8"/>
  <c r="L2127" i="8"/>
  <c r="M2127" i="8"/>
  <c r="I2127" i="8"/>
  <c r="H2128" i="8"/>
  <c r="J2128" i="8"/>
  <c r="K2128" i="8"/>
  <c r="L2128" i="8"/>
  <c r="M2128" i="8"/>
  <c r="I2128" i="8"/>
  <c r="H2129" i="8"/>
  <c r="J2129" i="8"/>
  <c r="K2129" i="8"/>
  <c r="L2129" i="8"/>
  <c r="M2129" i="8"/>
  <c r="I2129" i="8"/>
  <c r="H2130" i="8"/>
  <c r="J2130" i="8"/>
  <c r="K2130" i="8"/>
  <c r="L2130" i="8"/>
  <c r="M2130" i="8"/>
  <c r="I2130" i="8"/>
  <c r="H2131" i="8"/>
  <c r="J2131" i="8"/>
  <c r="K2131" i="8"/>
  <c r="L2131" i="8"/>
  <c r="M2131" i="8"/>
  <c r="I2131" i="8"/>
  <c r="H2132" i="8"/>
  <c r="J2132" i="8"/>
  <c r="K2132" i="8"/>
  <c r="L2132" i="8"/>
  <c r="M2132" i="8"/>
  <c r="I2132" i="8"/>
  <c r="H2133" i="8"/>
  <c r="J2133" i="8"/>
  <c r="K2133" i="8"/>
  <c r="L2133" i="8"/>
  <c r="M2133" i="8"/>
  <c r="I2133" i="8"/>
  <c r="H2134" i="8"/>
  <c r="J2134" i="8"/>
  <c r="K2134" i="8"/>
  <c r="L2134" i="8"/>
  <c r="M2134" i="8"/>
  <c r="I2134" i="8"/>
  <c r="H2135" i="8"/>
  <c r="J2135" i="8"/>
  <c r="K2135" i="8"/>
  <c r="L2135" i="8"/>
  <c r="M2135" i="8"/>
  <c r="I2135" i="8"/>
  <c r="H2136" i="8"/>
  <c r="J2136" i="8"/>
  <c r="K2136" i="8"/>
  <c r="L2136" i="8"/>
  <c r="M2136" i="8"/>
  <c r="I2136" i="8"/>
  <c r="H2137" i="8"/>
  <c r="J2137" i="8"/>
  <c r="K2137" i="8"/>
  <c r="L2137" i="8"/>
  <c r="M2137" i="8"/>
  <c r="I2137" i="8"/>
  <c r="H2138" i="8"/>
  <c r="J2138" i="8"/>
  <c r="K2138" i="8"/>
  <c r="L2138" i="8"/>
  <c r="M2138" i="8"/>
  <c r="I2138" i="8"/>
  <c r="H2139" i="8"/>
  <c r="J2139" i="8"/>
  <c r="K2139" i="8"/>
  <c r="L2139" i="8"/>
  <c r="M2139" i="8"/>
  <c r="I2139" i="8"/>
  <c r="H2140" i="8"/>
  <c r="J2140" i="8"/>
  <c r="K2140" i="8"/>
  <c r="L2140" i="8"/>
  <c r="M2140" i="8"/>
  <c r="I2140" i="8"/>
  <c r="H2141" i="8"/>
  <c r="J2141" i="8"/>
  <c r="K2141" i="8"/>
  <c r="L2141" i="8"/>
  <c r="M2141" i="8"/>
  <c r="H2142" i="8"/>
  <c r="I2141" i="8"/>
  <c r="J2142" i="8"/>
  <c r="K2142" i="8"/>
  <c r="L2142" i="8"/>
  <c r="M2142" i="8"/>
  <c r="I2142" i="8"/>
  <c r="H2143" i="8"/>
  <c r="J2143" i="8"/>
  <c r="K2143" i="8"/>
  <c r="L2143" i="8"/>
  <c r="M2143" i="8"/>
  <c r="I2143" i="8"/>
  <c r="H2144" i="8"/>
  <c r="J2144" i="8"/>
  <c r="K2144" i="8"/>
  <c r="L2144" i="8"/>
  <c r="M2144" i="8"/>
  <c r="I2144" i="8"/>
  <c r="H2145" i="8"/>
  <c r="J2145" i="8"/>
  <c r="K2145" i="8"/>
  <c r="L2145" i="8"/>
  <c r="M2145" i="8"/>
  <c r="I2145" i="8"/>
  <c r="H2146" i="8"/>
  <c r="J2146" i="8"/>
  <c r="K2146" i="8"/>
  <c r="L2146" i="8"/>
  <c r="M2146" i="8"/>
  <c r="I2146" i="8"/>
  <c r="H2147" i="8"/>
  <c r="J2147" i="8"/>
  <c r="K2147" i="8"/>
  <c r="L2147" i="8"/>
  <c r="M2147" i="8"/>
  <c r="I2147" i="8"/>
  <c r="H2148" i="8"/>
  <c r="J2148" i="8"/>
  <c r="K2148" i="8"/>
  <c r="L2148" i="8"/>
  <c r="M2148" i="8"/>
  <c r="I2148" i="8"/>
  <c r="H2149" i="8"/>
  <c r="J2149" i="8"/>
  <c r="K2149" i="8"/>
  <c r="L2149" i="8"/>
  <c r="M2149" i="8"/>
  <c r="I2149" i="8"/>
  <c r="H2150" i="8"/>
  <c r="J2150" i="8"/>
  <c r="K2150" i="8"/>
  <c r="L2150" i="8"/>
  <c r="M2150" i="8"/>
  <c r="I2150" i="8"/>
  <c r="H2151" i="8"/>
  <c r="J2151" i="8"/>
  <c r="K2151" i="8"/>
  <c r="L2151" i="8"/>
  <c r="M2151" i="8"/>
  <c r="I2151" i="8"/>
  <c r="H2152" i="8"/>
  <c r="J2152" i="8"/>
  <c r="K2152" i="8"/>
  <c r="L2152" i="8"/>
  <c r="M2152" i="8"/>
  <c r="I2152" i="8"/>
  <c r="H2153" i="8"/>
  <c r="J2153" i="8"/>
  <c r="K2153" i="8"/>
  <c r="L2153" i="8"/>
  <c r="M2153" i="8"/>
  <c r="I2153" i="8"/>
  <c r="H2154" i="8"/>
  <c r="J2154" i="8"/>
  <c r="K2154" i="8"/>
  <c r="L2154" i="8"/>
  <c r="M2154" i="8"/>
  <c r="I2154" i="8"/>
  <c r="H2155" i="8"/>
  <c r="J2155" i="8"/>
  <c r="K2155" i="8"/>
  <c r="L2155" i="8"/>
  <c r="M2155" i="8"/>
  <c r="I2155" i="8"/>
  <c r="H2156" i="8"/>
  <c r="J2156" i="8"/>
  <c r="K2156" i="8"/>
  <c r="L2156" i="8"/>
  <c r="M2156" i="8"/>
  <c r="I2156" i="8"/>
  <c r="H2157" i="8"/>
  <c r="J2157" i="8"/>
  <c r="K2157" i="8"/>
  <c r="L2157" i="8"/>
  <c r="M2157" i="8"/>
  <c r="I2157" i="8"/>
  <c r="H2158" i="8"/>
  <c r="J2158" i="8"/>
  <c r="K2158" i="8"/>
  <c r="L2158" i="8"/>
  <c r="M2158" i="8"/>
  <c r="I2158" i="8"/>
  <c r="H2159" i="8"/>
  <c r="J2159" i="8"/>
  <c r="K2159" i="8"/>
  <c r="L2159" i="8"/>
  <c r="M2159" i="8"/>
  <c r="I2159" i="8"/>
  <c r="H2160" i="8"/>
  <c r="J2160" i="8"/>
  <c r="K2160" i="8"/>
  <c r="L2160" i="8"/>
  <c r="M2160" i="8"/>
  <c r="I2160" i="8"/>
  <c r="H2161" i="8"/>
  <c r="J2161" i="8"/>
  <c r="K2161" i="8"/>
  <c r="L2161" i="8"/>
  <c r="M2161" i="8"/>
  <c r="I2161" i="8"/>
  <c r="H2162" i="8"/>
  <c r="J2162" i="8"/>
  <c r="K2162" i="8"/>
  <c r="L2162" i="8"/>
  <c r="M2162" i="8"/>
  <c r="I2162" i="8"/>
  <c r="H2163" i="8"/>
  <c r="J2163" i="8"/>
  <c r="K2163" i="8"/>
  <c r="L2163" i="8"/>
  <c r="M2163" i="8"/>
  <c r="I2163" i="8"/>
  <c r="H2164" i="8"/>
  <c r="J2164" i="8"/>
  <c r="K2164" i="8"/>
  <c r="L2164" i="8"/>
  <c r="M2164" i="8"/>
  <c r="I2164" i="8"/>
  <c r="H2165" i="8"/>
  <c r="J2165" i="8"/>
  <c r="K2165" i="8"/>
  <c r="L2165" i="8"/>
  <c r="M2165" i="8"/>
  <c r="I2165" i="8"/>
  <c r="H2166" i="8"/>
  <c r="J2166" i="8"/>
  <c r="K2166" i="8"/>
  <c r="L2166" i="8"/>
  <c r="M2166" i="8"/>
  <c r="I2166" i="8"/>
  <c r="H2167" i="8"/>
  <c r="J2167" i="8"/>
  <c r="K2167" i="8"/>
  <c r="L2167" i="8"/>
  <c r="M2167" i="8"/>
  <c r="I2167" i="8"/>
  <c r="H2168" i="8"/>
  <c r="J2168" i="8"/>
  <c r="K2168" i="8"/>
  <c r="L2168" i="8"/>
  <c r="M2168" i="8"/>
  <c r="I2168" i="8"/>
  <c r="H2169" i="8"/>
  <c r="J2169" i="8"/>
  <c r="K2169" i="8"/>
  <c r="L2169" i="8"/>
  <c r="M2169" i="8"/>
  <c r="I2169" i="8"/>
  <c r="H2170" i="8"/>
  <c r="J2170" i="8"/>
  <c r="K2170" i="8"/>
  <c r="L2170" i="8"/>
  <c r="M2170" i="8"/>
  <c r="I2170" i="8"/>
  <c r="H2171" i="8"/>
  <c r="J2171" i="8"/>
  <c r="K2171" i="8"/>
  <c r="L2171" i="8"/>
  <c r="M2171" i="8"/>
  <c r="I2171" i="8"/>
  <c r="H2172" i="8"/>
  <c r="J2172" i="8"/>
  <c r="K2172" i="8"/>
  <c r="L2172" i="8"/>
  <c r="M2172" i="8"/>
  <c r="I2172" i="8"/>
  <c r="H2173" i="8"/>
  <c r="J2173" i="8"/>
  <c r="K2173" i="8"/>
  <c r="L2173" i="8"/>
  <c r="M2173" i="8"/>
  <c r="I2173" i="8"/>
  <c r="H2174" i="8"/>
  <c r="J2174" i="8"/>
  <c r="K2174" i="8"/>
  <c r="L2174" i="8"/>
  <c r="M2174" i="8"/>
  <c r="I2174" i="8"/>
  <c r="H2175" i="8"/>
  <c r="J2175" i="8"/>
  <c r="K2175" i="8"/>
  <c r="L2175" i="8"/>
  <c r="M2175" i="8"/>
  <c r="I2175" i="8"/>
  <c r="H2176" i="8"/>
  <c r="J2176" i="8"/>
  <c r="K2176" i="8"/>
  <c r="L2176" i="8"/>
  <c r="M2176" i="8"/>
  <c r="I2176" i="8"/>
  <c r="H2177" i="8"/>
  <c r="J2177" i="8"/>
  <c r="K2177" i="8"/>
  <c r="L2177" i="8"/>
  <c r="M2177" i="8"/>
  <c r="I2177" i="8"/>
  <c r="H2178" i="8"/>
  <c r="J2178" i="8"/>
  <c r="K2178" i="8"/>
  <c r="L2178" i="8"/>
  <c r="M2178" i="8"/>
  <c r="I2178" i="8"/>
  <c r="H2179" i="8"/>
  <c r="J2179" i="8"/>
  <c r="K2179" i="8"/>
  <c r="L2179" i="8"/>
  <c r="M2179" i="8"/>
  <c r="I2179" i="8"/>
  <c r="H2180" i="8"/>
  <c r="J2180" i="8"/>
  <c r="K2180" i="8"/>
  <c r="L2180" i="8"/>
  <c r="M2180" i="8"/>
  <c r="I2180" i="8"/>
  <c r="H2181" i="8"/>
  <c r="J2181" i="8"/>
  <c r="K2181" i="8"/>
  <c r="L2181" i="8"/>
  <c r="M2181" i="8"/>
  <c r="H2182" i="8"/>
  <c r="I2181" i="8"/>
  <c r="J2182" i="8"/>
  <c r="K2182" i="8"/>
  <c r="L2182" i="8"/>
  <c r="M2182" i="8"/>
  <c r="I2182" i="8"/>
  <c r="H2183" i="8"/>
  <c r="J2183" i="8"/>
  <c r="K2183" i="8"/>
  <c r="L2183" i="8"/>
  <c r="M2183" i="8"/>
  <c r="I2183" i="8"/>
  <c r="H2184" i="8"/>
  <c r="J2184" i="8"/>
  <c r="K2184" i="8"/>
  <c r="L2184" i="8"/>
  <c r="M2184" i="8"/>
  <c r="I2184" i="8"/>
  <c r="H2185" i="8"/>
  <c r="J2185" i="8"/>
  <c r="K2185" i="8"/>
  <c r="L2185" i="8"/>
  <c r="M2185" i="8"/>
  <c r="I2185" i="8"/>
  <c r="H2186" i="8"/>
  <c r="J2186" i="8"/>
  <c r="K2186" i="8"/>
  <c r="L2186" i="8"/>
  <c r="M2186" i="8"/>
  <c r="I2186" i="8"/>
  <c r="H2187" i="8"/>
  <c r="J2187" i="8"/>
  <c r="K2187" i="8"/>
  <c r="L2187" i="8"/>
  <c r="M2187" i="8"/>
  <c r="I2187" i="8"/>
  <c r="H2188" i="8"/>
  <c r="J2188" i="8"/>
  <c r="K2188" i="8"/>
  <c r="L2188" i="8"/>
  <c r="M2188" i="8"/>
  <c r="I2188" i="8"/>
  <c r="H2189" i="8"/>
  <c r="J2189" i="8"/>
  <c r="K2189" i="8"/>
  <c r="L2189" i="8"/>
  <c r="M2189" i="8"/>
  <c r="I2189" i="8"/>
  <c r="H2190" i="8"/>
  <c r="J2190" i="8"/>
  <c r="K2190" i="8"/>
  <c r="L2190" i="8"/>
  <c r="M2190" i="8"/>
  <c r="I2190" i="8"/>
  <c r="H2191" i="8"/>
  <c r="J2191" i="8"/>
  <c r="K2191" i="8"/>
  <c r="L2191" i="8"/>
  <c r="M2191" i="8"/>
  <c r="I2191" i="8"/>
  <c r="H2192" i="8"/>
  <c r="J2192" i="8"/>
  <c r="K2192" i="8"/>
  <c r="L2192" i="8"/>
  <c r="M2192" i="8"/>
  <c r="I2192" i="8"/>
  <c r="H2193" i="8"/>
  <c r="J2193" i="8"/>
  <c r="K2193" i="8"/>
  <c r="L2193" i="8"/>
  <c r="M2193" i="8"/>
  <c r="I2193" i="8"/>
  <c r="H2194" i="8"/>
  <c r="J2194" i="8"/>
  <c r="K2194" i="8"/>
  <c r="L2194" i="8"/>
  <c r="M2194" i="8"/>
  <c r="I2194" i="8"/>
  <c r="H2195" i="8"/>
  <c r="J2195" i="8"/>
  <c r="K2195" i="8"/>
  <c r="L2195" i="8"/>
  <c r="M2195" i="8"/>
  <c r="I2195" i="8"/>
  <c r="H2196" i="8"/>
  <c r="J2196" i="8"/>
  <c r="K2196" i="8"/>
  <c r="L2196" i="8"/>
  <c r="M2196" i="8"/>
  <c r="I2196" i="8"/>
  <c r="H2197" i="8"/>
  <c r="J2197" i="8"/>
  <c r="K2197" i="8"/>
  <c r="L2197" i="8"/>
  <c r="M2197" i="8"/>
  <c r="I2197" i="8"/>
  <c r="H2198" i="8"/>
  <c r="J2198" i="8"/>
  <c r="K2198" i="8"/>
  <c r="L2198" i="8"/>
  <c r="M2198" i="8"/>
  <c r="I2198" i="8"/>
  <c r="H2199" i="8"/>
  <c r="J2199" i="8"/>
  <c r="K2199" i="8"/>
  <c r="L2199" i="8"/>
  <c r="M2199" i="8"/>
  <c r="I2199" i="8"/>
  <c r="H2200" i="8"/>
  <c r="J2200" i="8"/>
  <c r="K2200" i="8"/>
  <c r="L2200" i="8"/>
  <c r="M2200" i="8"/>
  <c r="I2200" i="8"/>
  <c r="H2201" i="8"/>
  <c r="J2201" i="8"/>
  <c r="K2201" i="8"/>
  <c r="L2201" i="8"/>
  <c r="M2201" i="8"/>
  <c r="H2202" i="8"/>
  <c r="I2201" i="8"/>
  <c r="J2202" i="8"/>
  <c r="K2202" i="8"/>
  <c r="L2202" i="8"/>
  <c r="M2202" i="8"/>
  <c r="I2202" i="8"/>
  <c r="H2203" i="8"/>
  <c r="J2203" i="8"/>
  <c r="K2203" i="8"/>
  <c r="L2203" i="8"/>
  <c r="M2203" i="8"/>
  <c r="I2203" i="8"/>
  <c r="H2204" i="8"/>
  <c r="J2204" i="8"/>
  <c r="K2204" i="8"/>
  <c r="L2204" i="8"/>
  <c r="M2204" i="8"/>
  <c r="I2204" i="8"/>
  <c r="H2205" i="8"/>
  <c r="J2205" i="8"/>
  <c r="K2205" i="8"/>
  <c r="L2205" i="8"/>
  <c r="M2205" i="8"/>
  <c r="I2205" i="8"/>
  <c r="H2206" i="8"/>
  <c r="J2206" i="8"/>
  <c r="K2206" i="8"/>
  <c r="L2206" i="8"/>
  <c r="M2206" i="8"/>
  <c r="I2206" i="8"/>
  <c r="H2207" i="8"/>
  <c r="J2207" i="8"/>
  <c r="K2207" i="8"/>
  <c r="L2207" i="8"/>
  <c r="M2207" i="8"/>
  <c r="I2207" i="8"/>
  <c r="H2208" i="8"/>
  <c r="J2208" i="8"/>
  <c r="K2208" i="8"/>
  <c r="L2208" i="8"/>
  <c r="M2208" i="8"/>
  <c r="I2208" i="8"/>
  <c r="H2209" i="8"/>
  <c r="J2209" i="8"/>
  <c r="K2209" i="8"/>
  <c r="L2209" i="8"/>
  <c r="M2209" i="8"/>
  <c r="I2209" i="8"/>
  <c r="H2210" i="8"/>
  <c r="J2210" i="8"/>
  <c r="K2210" i="8"/>
  <c r="L2210" i="8"/>
  <c r="M2210" i="8"/>
  <c r="I2210" i="8"/>
  <c r="H2211" i="8"/>
  <c r="J2211" i="8"/>
  <c r="K2211" i="8"/>
  <c r="L2211" i="8"/>
  <c r="M2211" i="8"/>
  <c r="I2211" i="8"/>
  <c r="H2212" i="8"/>
  <c r="J2212" i="8"/>
  <c r="K2212" i="8"/>
  <c r="L2212" i="8"/>
  <c r="M2212" i="8"/>
  <c r="I2212" i="8"/>
  <c r="H2213" i="8"/>
  <c r="J2213" i="8"/>
  <c r="K2213" i="8"/>
  <c r="L2213" i="8"/>
  <c r="M2213" i="8"/>
  <c r="H2214" i="8"/>
  <c r="I2213" i="8"/>
  <c r="J2214" i="8"/>
  <c r="K2214" i="8"/>
  <c r="L2214" i="8"/>
  <c r="M2214" i="8"/>
  <c r="I2214" i="8"/>
  <c r="H2215" i="8"/>
  <c r="J2215" i="8"/>
  <c r="K2215" i="8"/>
  <c r="L2215" i="8"/>
  <c r="M2215" i="8"/>
  <c r="I2215" i="8"/>
  <c r="H2216" i="8"/>
  <c r="J2216" i="8"/>
  <c r="K2216" i="8"/>
  <c r="L2216" i="8"/>
  <c r="M2216" i="8"/>
  <c r="I2216" i="8"/>
  <c r="H2217" i="8"/>
  <c r="J2217" i="8"/>
  <c r="K2217" i="8"/>
  <c r="L2217" i="8"/>
  <c r="M2217" i="8"/>
  <c r="I2217" i="8"/>
  <c r="H2218" i="8"/>
  <c r="J2218" i="8"/>
  <c r="K2218" i="8"/>
  <c r="L2218" i="8"/>
  <c r="M2218" i="8"/>
  <c r="I2218" i="8"/>
  <c r="H2219" i="8"/>
  <c r="J2219" i="8"/>
  <c r="K2219" i="8"/>
  <c r="L2219" i="8"/>
  <c r="M2219" i="8"/>
  <c r="I2219" i="8"/>
  <c r="H2220" i="8"/>
  <c r="J2220" i="8"/>
  <c r="K2220" i="8"/>
  <c r="L2220" i="8"/>
  <c r="M2220" i="8"/>
  <c r="I2220" i="8"/>
  <c r="H2221" i="8"/>
  <c r="J2221" i="8"/>
  <c r="K2221" i="8"/>
  <c r="L2221" i="8"/>
  <c r="M2221" i="8"/>
  <c r="I2221" i="8"/>
  <c r="H2222" i="8"/>
  <c r="J2222" i="8"/>
  <c r="K2222" i="8"/>
  <c r="L2222" i="8"/>
  <c r="M2222" i="8"/>
  <c r="I2222" i="8"/>
  <c r="H2223" i="8"/>
  <c r="J2223" i="8"/>
  <c r="K2223" i="8"/>
  <c r="L2223" i="8"/>
  <c r="M2223" i="8"/>
  <c r="I2223" i="8"/>
  <c r="H2224" i="8"/>
  <c r="J2224" i="8"/>
  <c r="K2224" i="8"/>
  <c r="L2224" i="8"/>
  <c r="M2224" i="8"/>
  <c r="I2224" i="8"/>
  <c r="H2225" i="8"/>
  <c r="J2225" i="8"/>
  <c r="K2225" i="8"/>
  <c r="L2225" i="8"/>
  <c r="M2225" i="8"/>
  <c r="I2225" i="8"/>
  <c r="H2226" i="8"/>
  <c r="J2226" i="8"/>
  <c r="K2226" i="8"/>
  <c r="L2226" i="8"/>
  <c r="M2226" i="8"/>
  <c r="I2226" i="8"/>
  <c r="H2227" i="8"/>
  <c r="J2227" i="8"/>
  <c r="K2227" i="8"/>
  <c r="L2227" i="8"/>
  <c r="M2227" i="8"/>
  <c r="I2227" i="8"/>
  <c r="H2228" i="8"/>
  <c r="J2228" i="8"/>
  <c r="K2228" i="8"/>
  <c r="L2228" i="8"/>
  <c r="M2228" i="8"/>
  <c r="H2229" i="8"/>
  <c r="I2228" i="8"/>
  <c r="J2229" i="8"/>
  <c r="K2229" i="8"/>
  <c r="L2229" i="8"/>
  <c r="M2229" i="8"/>
  <c r="I2229" i="8"/>
  <c r="H2230" i="8"/>
  <c r="J2230" i="8"/>
  <c r="K2230" i="8"/>
  <c r="L2230" i="8"/>
  <c r="M2230" i="8"/>
  <c r="I2230" i="8"/>
  <c r="H2231" i="8"/>
  <c r="J2231" i="8"/>
  <c r="K2231" i="8"/>
  <c r="L2231" i="8"/>
  <c r="M2231" i="8"/>
  <c r="I2231" i="8"/>
  <c r="H2232" i="8"/>
  <c r="J2232" i="8"/>
  <c r="K2232" i="8"/>
  <c r="L2232" i="8"/>
  <c r="M2232" i="8"/>
  <c r="I2232" i="8"/>
  <c r="H2233" i="8"/>
  <c r="J2233" i="8"/>
  <c r="K2233" i="8"/>
  <c r="L2233" i="8"/>
  <c r="M2233" i="8"/>
  <c r="I2233" i="8"/>
  <c r="H2234" i="8"/>
  <c r="J2234" i="8"/>
  <c r="K2234" i="8"/>
  <c r="L2234" i="8"/>
  <c r="M2234" i="8"/>
  <c r="I2234" i="8"/>
  <c r="H2235" i="8"/>
  <c r="J2235" i="8"/>
  <c r="K2235" i="8"/>
  <c r="L2235" i="8"/>
  <c r="M2235" i="8"/>
  <c r="I2235" i="8"/>
  <c r="H2236" i="8"/>
  <c r="J2236" i="8"/>
  <c r="K2236" i="8"/>
  <c r="L2236" i="8"/>
  <c r="M2236" i="8"/>
  <c r="I2236" i="8"/>
  <c r="H2237" i="8"/>
  <c r="J2237" i="8"/>
  <c r="K2237" i="8"/>
  <c r="L2237" i="8"/>
  <c r="M2237" i="8"/>
  <c r="I2237" i="8"/>
  <c r="H2238" i="8"/>
  <c r="J2238" i="8"/>
  <c r="K2238" i="8"/>
  <c r="L2238" i="8"/>
  <c r="M2238" i="8"/>
  <c r="I2238" i="8"/>
  <c r="H2239" i="8"/>
  <c r="J2239" i="8"/>
  <c r="K2239" i="8"/>
  <c r="L2239" i="8"/>
  <c r="M2239" i="8"/>
  <c r="I2239" i="8"/>
  <c r="H2240" i="8"/>
  <c r="J2240" i="8"/>
  <c r="K2240" i="8"/>
  <c r="L2240" i="8"/>
  <c r="M2240" i="8"/>
  <c r="I2240" i="8"/>
  <c r="H2241" i="8"/>
  <c r="J2241" i="8"/>
  <c r="K2241" i="8"/>
  <c r="L2241" i="8"/>
  <c r="M2241" i="8"/>
  <c r="I2241" i="8"/>
  <c r="H2242" i="8"/>
  <c r="J2242" i="8"/>
  <c r="K2242" i="8"/>
  <c r="L2242" i="8"/>
  <c r="M2242" i="8"/>
  <c r="I2242" i="8"/>
  <c r="H2243" i="8"/>
  <c r="J2243" i="8"/>
  <c r="K2243" i="8"/>
  <c r="L2243" i="8"/>
  <c r="M2243" i="8"/>
  <c r="I2243" i="8"/>
  <c r="H2244" i="8"/>
  <c r="J2244" i="8"/>
  <c r="K2244" i="8"/>
  <c r="L2244" i="8"/>
  <c r="M2244" i="8"/>
  <c r="I2244" i="8"/>
  <c r="H2245" i="8"/>
  <c r="J2245" i="8"/>
  <c r="K2245" i="8"/>
  <c r="L2245" i="8"/>
  <c r="M2245" i="8"/>
  <c r="I2245" i="8"/>
  <c r="H2246" i="8"/>
  <c r="J2246" i="8"/>
  <c r="K2246" i="8"/>
  <c r="L2246" i="8"/>
  <c r="M2246" i="8"/>
  <c r="I2246" i="8"/>
  <c r="H2247" i="8"/>
  <c r="J2247" i="8"/>
  <c r="K2247" i="8"/>
  <c r="L2247" i="8"/>
  <c r="M2247" i="8"/>
  <c r="I2247" i="8"/>
  <c r="H2248" i="8"/>
  <c r="J2248" i="8"/>
  <c r="K2248" i="8"/>
  <c r="L2248" i="8"/>
  <c r="M2248" i="8"/>
  <c r="I2248" i="8"/>
  <c r="H2249" i="8"/>
  <c r="J2249" i="8"/>
  <c r="K2249" i="8"/>
  <c r="L2249" i="8"/>
  <c r="M2249" i="8"/>
  <c r="I2249" i="8"/>
  <c r="H2250" i="8"/>
  <c r="J2250" i="8"/>
  <c r="K2250" i="8"/>
  <c r="L2250" i="8"/>
  <c r="M2250" i="8"/>
  <c r="I2250" i="8"/>
  <c r="H2251" i="8"/>
  <c r="J2251" i="8"/>
  <c r="K2251" i="8"/>
  <c r="L2251" i="8"/>
  <c r="M2251" i="8"/>
  <c r="I2251" i="8"/>
  <c r="H2252" i="8"/>
  <c r="J2252" i="8"/>
  <c r="K2252" i="8"/>
  <c r="L2252" i="8"/>
  <c r="M2252" i="8"/>
  <c r="I2252" i="8"/>
  <c r="H2253" i="8"/>
  <c r="J2253" i="8"/>
  <c r="K2253" i="8"/>
  <c r="L2253" i="8"/>
  <c r="M2253" i="8"/>
  <c r="I2253" i="8"/>
  <c r="H2254" i="8"/>
  <c r="J2254" i="8"/>
  <c r="K2254" i="8"/>
  <c r="L2254" i="8"/>
  <c r="M2254" i="8"/>
  <c r="I2254" i="8"/>
  <c r="H2255" i="8"/>
  <c r="J2255" i="8"/>
  <c r="K2255" i="8"/>
  <c r="L2255" i="8"/>
  <c r="M2255" i="8"/>
  <c r="I2255" i="8"/>
  <c r="H2256" i="8"/>
  <c r="J2256" i="8"/>
  <c r="K2256" i="8"/>
  <c r="L2256" i="8"/>
  <c r="M2256" i="8"/>
  <c r="I2256" i="8"/>
  <c r="H2257" i="8"/>
  <c r="J2257" i="8"/>
  <c r="K2257" i="8"/>
  <c r="L2257" i="8"/>
  <c r="M2257" i="8"/>
  <c r="I2257" i="8"/>
  <c r="H2258" i="8"/>
  <c r="J2258" i="8"/>
  <c r="K2258" i="8"/>
  <c r="L2258" i="8"/>
  <c r="M2258" i="8"/>
  <c r="I2258" i="8"/>
  <c r="H2259" i="8"/>
  <c r="J2259" i="8"/>
  <c r="K2259" i="8"/>
  <c r="L2259" i="8"/>
  <c r="M2259" i="8"/>
  <c r="I2259" i="8"/>
  <c r="H2260" i="8"/>
  <c r="J2260" i="8"/>
  <c r="K2260" i="8"/>
  <c r="L2260" i="8"/>
  <c r="M2260" i="8"/>
  <c r="I2260" i="8"/>
  <c r="H2261" i="8"/>
  <c r="J2261" i="8"/>
  <c r="K2261" i="8"/>
  <c r="L2261" i="8"/>
  <c r="M2261" i="8"/>
  <c r="I2261" i="8"/>
  <c r="H2262" i="8"/>
  <c r="J2262" i="8"/>
  <c r="K2262" i="8"/>
  <c r="L2262" i="8"/>
  <c r="M2262" i="8"/>
  <c r="I2262" i="8"/>
  <c r="H2263" i="8"/>
  <c r="J2263" i="8"/>
  <c r="K2263" i="8"/>
  <c r="L2263" i="8"/>
  <c r="M2263" i="8"/>
  <c r="I2263" i="8"/>
  <c r="H2264" i="8"/>
  <c r="J2264" i="8"/>
  <c r="K2264" i="8"/>
  <c r="L2264" i="8"/>
  <c r="M2264" i="8"/>
  <c r="I2264" i="8"/>
  <c r="H2265" i="8"/>
  <c r="J2265" i="8"/>
  <c r="K2265" i="8"/>
  <c r="L2265" i="8"/>
  <c r="M2265" i="8"/>
  <c r="I2265" i="8"/>
  <c r="H2266" i="8"/>
  <c r="J2266" i="8"/>
  <c r="K2266" i="8"/>
  <c r="L2266" i="8"/>
  <c r="M2266" i="8"/>
  <c r="H2267" i="8"/>
  <c r="I2266" i="8"/>
  <c r="J2267" i="8"/>
  <c r="K2267" i="8"/>
  <c r="L2267" i="8"/>
  <c r="M2267" i="8"/>
  <c r="I2267" i="8"/>
  <c r="H2268" i="8"/>
  <c r="J2268" i="8"/>
  <c r="K2268" i="8"/>
  <c r="L2268" i="8"/>
  <c r="M2268" i="8"/>
  <c r="I2268" i="8"/>
  <c r="H2269" i="8"/>
  <c r="J2269" i="8"/>
  <c r="K2269" i="8"/>
  <c r="L2269" i="8"/>
  <c r="M2269" i="8"/>
  <c r="I2269" i="8"/>
  <c r="H2270" i="8"/>
  <c r="J2270" i="8"/>
  <c r="K2270" i="8"/>
  <c r="L2270" i="8"/>
  <c r="M2270" i="8"/>
  <c r="I2270" i="8"/>
  <c r="H2271" i="8"/>
  <c r="J2271" i="8"/>
  <c r="K2271" i="8"/>
  <c r="L2271" i="8"/>
  <c r="M2271" i="8"/>
  <c r="I2271" i="8"/>
  <c r="H2272" i="8"/>
  <c r="J2272" i="8"/>
  <c r="K2272" i="8"/>
  <c r="L2272" i="8"/>
  <c r="M2272" i="8"/>
  <c r="H2273" i="8"/>
  <c r="I2272" i="8"/>
  <c r="J2273" i="8"/>
  <c r="K2273" i="8"/>
  <c r="L2273" i="8"/>
  <c r="M2273" i="8"/>
  <c r="I2273" i="8"/>
  <c r="H2274" i="8"/>
  <c r="J2274" i="8"/>
  <c r="K2274" i="8"/>
  <c r="L2274" i="8"/>
  <c r="M2274" i="8"/>
  <c r="I2274" i="8"/>
  <c r="H2275" i="8"/>
  <c r="J2275" i="8"/>
  <c r="K2275" i="8"/>
  <c r="L2275" i="8"/>
  <c r="M2275" i="8"/>
  <c r="I2275" i="8"/>
  <c r="H2276" i="8"/>
  <c r="J2276" i="8"/>
  <c r="K2276" i="8"/>
  <c r="L2276" i="8"/>
  <c r="M2276" i="8"/>
  <c r="I2276" i="8"/>
  <c r="H2277" i="8"/>
  <c r="J2277" i="8"/>
  <c r="K2277" i="8"/>
  <c r="L2277" i="8"/>
  <c r="M2277" i="8"/>
  <c r="I2277" i="8"/>
  <c r="H2278" i="8"/>
  <c r="J2278" i="8"/>
  <c r="K2278" i="8"/>
  <c r="L2278" i="8"/>
  <c r="M2278" i="8"/>
  <c r="I2278" i="8"/>
  <c r="H2279" i="8"/>
  <c r="J2279" i="8"/>
  <c r="K2279" i="8"/>
  <c r="L2279" i="8"/>
  <c r="M2279" i="8"/>
  <c r="I2279" i="8"/>
  <c r="H2280" i="8"/>
  <c r="J2280" i="8"/>
  <c r="K2280" i="8"/>
  <c r="L2280" i="8"/>
  <c r="M2280" i="8"/>
  <c r="I2280" i="8"/>
  <c r="H2281" i="8"/>
  <c r="J2281" i="8"/>
  <c r="K2281" i="8"/>
  <c r="L2281" i="8"/>
  <c r="M2281" i="8"/>
  <c r="I2281" i="8"/>
  <c r="H2282" i="8"/>
  <c r="J2282" i="8"/>
  <c r="K2282" i="8"/>
  <c r="L2282" i="8"/>
  <c r="M2282" i="8"/>
  <c r="I2282" i="8"/>
  <c r="H2283" i="8"/>
  <c r="J2283" i="8"/>
  <c r="K2283" i="8"/>
  <c r="L2283" i="8"/>
  <c r="M2283" i="8"/>
  <c r="I2283" i="8"/>
  <c r="H2284" i="8"/>
  <c r="J2284" i="8"/>
  <c r="K2284" i="8"/>
  <c r="L2284" i="8"/>
  <c r="M2284" i="8"/>
  <c r="I2284" i="8"/>
  <c r="H2285" i="8"/>
  <c r="J2285" i="8"/>
  <c r="K2285" i="8"/>
  <c r="L2285" i="8"/>
  <c r="M2285" i="8"/>
  <c r="I2285" i="8"/>
  <c r="H2286" i="8"/>
  <c r="J2286" i="8"/>
  <c r="K2286" i="8"/>
  <c r="L2286" i="8"/>
  <c r="M2286" i="8"/>
  <c r="I2286" i="8"/>
  <c r="H2287" i="8"/>
  <c r="J2287" i="8"/>
  <c r="K2287" i="8"/>
  <c r="L2287" i="8"/>
  <c r="M2287" i="8"/>
  <c r="I2287" i="8"/>
  <c r="H2288" i="8"/>
  <c r="J2288" i="8"/>
  <c r="K2288" i="8"/>
  <c r="L2288" i="8"/>
  <c r="M2288" i="8"/>
  <c r="I2288" i="8"/>
  <c r="H2289" i="8"/>
  <c r="J2289" i="8"/>
  <c r="K2289" i="8"/>
  <c r="L2289" i="8"/>
  <c r="M2289" i="8"/>
  <c r="I2289" i="8"/>
  <c r="H2290" i="8"/>
  <c r="J2290" i="8"/>
  <c r="K2290" i="8"/>
  <c r="L2290" i="8"/>
  <c r="M2290" i="8"/>
  <c r="I2290" i="8"/>
  <c r="H2291" i="8"/>
  <c r="J2291" i="8"/>
  <c r="K2291" i="8"/>
  <c r="L2291" i="8"/>
  <c r="M2291" i="8"/>
  <c r="I2291" i="8"/>
  <c r="H2292" i="8"/>
  <c r="J2292" i="8"/>
  <c r="K2292" i="8"/>
  <c r="L2292" i="8"/>
  <c r="M2292" i="8"/>
  <c r="I2292" i="8"/>
  <c r="H2293" i="8"/>
  <c r="J2293" i="8"/>
  <c r="K2293" i="8"/>
  <c r="L2293" i="8"/>
  <c r="M2293" i="8"/>
  <c r="I2293" i="8"/>
  <c r="H2294" i="8"/>
  <c r="J2294" i="8"/>
  <c r="K2294" i="8"/>
  <c r="L2294" i="8"/>
  <c r="M2294" i="8"/>
  <c r="I2294" i="8"/>
  <c r="H2295" i="8"/>
  <c r="J2295" i="8"/>
  <c r="K2295" i="8"/>
  <c r="L2295" i="8"/>
  <c r="M2295" i="8"/>
  <c r="I2295" i="8"/>
  <c r="H2296" i="8"/>
  <c r="J2296" i="8"/>
  <c r="K2296" i="8"/>
  <c r="L2296" i="8"/>
  <c r="M2296" i="8"/>
  <c r="I2296" i="8"/>
  <c r="H2297" i="8"/>
  <c r="J2297" i="8"/>
  <c r="K2297" i="8"/>
  <c r="L2297" i="8"/>
  <c r="M2297" i="8"/>
  <c r="I2297" i="8"/>
  <c r="H2298" i="8"/>
  <c r="J2298" i="8"/>
  <c r="K2298" i="8"/>
  <c r="L2298" i="8"/>
  <c r="M2298" i="8"/>
  <c r="I2298" i="8"/>
  <c r="H2299" i="8"/>
  <c r="J2299" i="8"/>
  <c r="K2299" i="8"/>
  <c r="L2299" i="8"/>
  <c r="M2299" i="8"/>
  <c r="I2299" i="8"/>
  <c r="H2300" i="8"/>
  <c r="J2300" i="8"/>
  <c r="K2300" i="8"/>
  <c r="L2300" i="8"/>
  <c r="M2300" i="8"/>
  <c r="I2300" i="8"/>
  <c r="H2301" i="8"/>
  <c r="J2301" i="8"/>
  <c r="K2301" i="8"/>
  <c r="L2301" i="8"/>
  <c r="M2301" i="8"/>
  <c r="I2301" i="8"/>
  <c r="H2302" i="8"/>
  <c r="J2302" i="8"/>
  <c r="K2302" i="8"/>
  <c r="L2302" i="8"/>
  <c r="M2302" i="8"/>
  <c r="I2302" i="8"/>
  <c r="H2303" i="8"/>
  <c r="J2303" i="8"/>
  <c r="K2303" i="8"/>
  <c r="L2303" i="8"/>
  <c r="M2303" i="8"/>
  <c r="I2303" i="8"/>
  <c r="H2304" i="8"/>
  <c r="J2304" i="8"/>
  <c r="K2304" i="8"/>
  <c r="L2304" i="8"/>
  <c r="M2304" i="8"/>
  <c r="I2304" i="8"/>
  <c r="H2305" i="8"/>
  <c r="J2305" i="8"/>
  <c r="K2305" i="8"/>
  <c r="L2305" i="8"/>
  <c r="M2305" i="8"/>
  <c r="I2305" i="8"/>
  <c r="H2306" i="8"/>
  <c r="J2306" i="8"/>
  <c r="K2306" i="8"/>
  <c r="L2306" i="8"/>
  <c r="M2306" i="8"/>
  <c r="I2306" i="8"/>
  <c r="H2307" i="8"/>
  <c r="J2307" i="8"/>
  <c r="K2307" i="8"/>
  <c r="L2307" i="8"/>
  <c r="M2307" i="8"/>
  <c r="I2307" i="8"/>
  <c r="H2308" i="8"/>
  <c r="J2308" i="8"/>
  <c r="K2308" i="8"/>
  <c r="L2308" i="8"/>
  <c r="M2308" i="8"/>
  <c r="I2308" i="8"/>
  <c r="H2309" i="8"/>
  <c r="J2309" i="8"/>
  <c r="K2309" i="8"/>
  <c r="L2309" i="8"/>
  <c r="M2309" i="8"/>
  <c r="I2309" i="8"/>
  <c r="H2310" i="8"/>
  <c r="J2310" i="8"/>
  <c r="K2310" i="8"/>
  <c r="L2310" i="8"/>
  <c r="M2310" i="8"/>
  <c r="I2310" i="8"/>
  <c r="H2311" i="8"/>
  <c r="J2311" i="8"/>
  <c r="K2311" i="8"/>
  <c r="L2311" i="8"/>
  <c r="M2311" i="8"/>
  <c r="I2311" i="8"/>
  <c r="H2312" i="8"/>
  <c r="J2312" i="8"/>
  <c r="K2312" i="8"/>
  <c r="L2312" i="8"/>
  <c r="M2312" i="8"/>
  <c r="I2312" i="8"/>
  <c r="H2313" i="8"/>
  <c r="J2313" i="8"/>
  <c r="K2313" i="8"/>
  <c r="L2313" i="8"/>
  <c r="M2313" i="8"/>
  <c r="I2313" i="8"/>
  <c r="H2314" i="8"/>
  <c r="J2314" i="8"/>
  <c r="K2314" i="8"/>
  <c r="L2314" i="8"/>
  <c r="M2314" i="8"/>
  <c r="I2314" i="8"/>
  <c r="H2315" i="8"/>
  <c r="J2315" i="8"/>
  <c r="K2315" i="8"/>
  <c r="L2315" i="8"/>
  <c r="M2315" i="8"/>
  <c r="I2315" i="8"/>
  <c r="H2316" i="8"/>
  <c r="J2316" i="8"/>
  <c r="K2316" i="8"/>
  <c r="L2316" i="8"/>
  <c r="M2316" i="8"/>
  <c r="I2316" i="8"/>
  <c r="H2317" i="8"/>
  <c r="J2317" i="8"/>
  <c r="K2317" i="8"/>
  <c r="L2317" i="8"/>
  <c r="M2317" i="8"/>
  <c r="I2317" i="8"/>
  <c r="H2318" i="8"/>
  <c r="J2318" i="8"/>
  <c r="K2318" i="8"/>
  <c r="L2318" i="8"/>
  <c r="M2318" i="8"/>
  <c r="I2318" i="8"/>
  <c r="H2319" i="8"/>
  <c r="J2319" i="8"/>
  <c r="K2319" i="8"/>
  <c r="L2319" i="8"/>
  <c r="M2319" i="8"/>
  <c r="I2319" i="8"/>
  <c r="H2320" i="8"/>
  <c r="J2320" i="8"/>
  <c r="K2320" i="8"/>
  <c r="L2320" i="8"/>
  <c r="M2320" i="8"/>
  <c r="I2320" i="8"/>
  <c r="H2321" i="8"/>
  <c r="J2321" i="8"/>
  <c r="K2321" i="8"/>
  <c r="L2321" i="8"/>
  <c r="M2321" i="8"/>
  <c r="I2321" i="8"/>
  <c r="H2322" i="8"/>
  <c r="J2322" i="8"/>
  <c r="K2322" i="8"/>
  <c r="L2322" i="8"/>
  <c r="M2322" i="8"/>
  <c r="I2322" i="8"/>
  <c r="H2323" i="8"/>
  <c r="J2323" i="8"/>
  <c r="K2323" i="8"/>
  <c r="L2323" i="8"/>
  <c r="M2323" i="8"/>
  <c r="I2323" i="8"/>
  <c r="H2324" i="8"/>
  <c r="J2324" i="8"/>
  <c r="K2324" i="8"/>
  <c r="L2324" i="8"/>
  <c r="M2324" i="8"/>
  <c r="I2324" i="8"/>
  <c r="H2325" i="8"/>
  <c r="J2325" i="8"/>
  <c r="K2325" i="8"/>
  <c r="L2325" i="8"/>
  <c r="M2325" i="8"/>
  <c r="I2325" i="8"/>
  <c r="H2326" i="8"/>
  <c r="J2326" i="8"/>
  <c r="K2326" i="8"/>
  <c r="L2326" i="8"/>
  <c r="M2326" i="8"/>
  <c r="I2326" i="8"/>
  <c r="H2327" i="8"/>
  <c r="J2327" i="8"/>
  <c r="K2327" i="8"/>
  <c r="L2327" i="8"/>
  <c r="M2327" i="8"/>
  <c r="I2327" i="8"/>
  <c r="H2328" i="8"/>
  <c r="J2328" i="8"/>
  <c r="K2328" i="8"/>
  <c r="L2328" i="8"/>
  <c r="M2328" i="8"/>
  <c r="I2328" i="8"/>
  <c r="H2329" i="8"/>
  <c r="J2329" i="8"/>
  <c r="K2329" i="8"/>
  <c r="L2329" i="8"/>
  <c r="M2329" i="8"/>
  <c r="I2329" i="8"/>
  <c r="H2330" i="8"/>
  <c r="J2330" i="8"/>
  <c r="K2330" i="8"/>
  <c r="L2330" i="8"/>
  <c r="M2330" i="8"/>
  <c r="I2330" i="8"/>
  <c r="H2331" i="8"/>
  <c r="J2331" i="8"/>
  <c r="K2331" i="8"/>
  <c r="L2331" i="8"/>
  <c r="M2331" i="8"/>
  <c r="I2331" i="8"/>
  <c r="H2332" i="8"/>
  <c r="J2332" i="8"/>
  <c r="K2332" i="8"/>
  <c r="L2332" i="8"/>
  <c r="M2332" i="8"/>
  <c r="I2332" i="8"/>
  <c r="H2333" i="8"/>
  <c r="J2333" i="8"/>
  <c r="K2333" i="8"/>
  <c r="L2333" i="8"/>
  <c r="M2333" i="8"/>
  <c r="I2333" i="8"/>
  <c r="H2334" i="8"/>
  <c r="J2334" i="8"/>
  <c r="K2334" i="8"/>
  <c r="L2334" i="8"/>
  <c r="M2334" i="8"/>
  <c r="I2334" i="8"/>
  <c r="H2335" i="8"/>
  <c r="J2335" i="8"/>
  <c r="K2335" i="8"/>
  <c r="L2335" i="8"/>
  <c r="M2335" i="8"/>
  <c r="I2335" i="8"/>
  <c r="H2336" i="8"/>
  <c r="J2336" i="8"/>
  <c r="K2336" i="8"/>
  <c r="L2336" i="8"/>
  <c r="M2336" i="8"/>
  <c r="I2336" i="8"/>
  <c r="H2337" i="8"/>
  <c r="J2337" i="8"/>
  <c r="K2337" i="8"/>
  <c r="L2337" i="8"/>
  <c r="M2337" i="8"/>
  <c r="I2337" i="8"/>
  <c r="H2338" i="8"/>
  <c r="J2338" i="8"/>
  <c r="K2338" i="8"/>
  <c r="L2338" i="8"/>
  <c r="M2338" i="8"/>
  <c r="I2338" i="8"/>
  <c r="H2339" i="8"/>
  <c r="J2339" i="8"/>
  <c r="K2339" i="8"/>
  <c r="L2339" i="8"/>
  <c r="M2339" i="8"/>
  <c r="I2339" i="8"/>
  <c r="H2340" i="8"/>
  <c r="J2340" i="8"/>
  <c r="K2340" i="8"/>
  <c r="L2340" i="8"/>
  <c r="M2340" i="8"/>
  <c r="I2340" i="8"/>
  <c r="H2341" i="8"/>
  <c r="J2341" i="8"/>
  <c r="K2341" i="8"/>
  <c r="L2341" i="8"/>
  <c r="M2341" i="8"/>
  <c r="I2341" i="8"/>
  <c r="H2342" i="8"/>
  <c r="J2342" i="8"/>
  <c r="K2342" i="8"/>
  <c r="L2342" i="8"/>
  <c r="M2342" i="8"/>
  <c r="I2342" i="8"/>
  <c r="H2343" i="8"/>
  <c r="J2343" i="8"/>
  <c r="K2343" i="8"/>
  <c r="L2343" i="8"/>
  <c r="M2343" i="8"/>
  <c r="H2344" i="8"/>
  <c r="I2343" i="8"/>
  <c r="J2344" i="8"/>
  <c r="K2344" i="8"/>
  <c r="L2344" i="8"/>
  <c r="M2344" i="8"/>
  <c r="I2344" i="8"/>
  <c r="H2345" i="8"/>
  <c r="J2345" i="8"/>
  <c r="K2345" i="8"/>
  <c r="L2345" i="8"/>
  <c r="M2345" i="8"/>
  <c r="I2345" i="8"/>
  <c r="H2346" i="8"/>
  <c r="J2346" i="8"/>
  <c r="K2346" i="8"/>
  <c r="L2346" i="8"/>
  <c r="M2346" i="8"/>
  <c r="I2346" i="8"/>
  <c r="H2347" i="8"/>
  <c r="J2347" i="8"/>
  <c r="K2347" i="8"/>
  <c r="L2347" i="8"/>
  <c r="M2347" i="8"/>
  <c r="I2347" i="8"/>
  <c r="H2348" i="8"/>
  <c r="J2348" i="8"/>
  <c r="K2348" i="8"/>
  <c r="L2348" i="8"/>
  <c r="M2348" i="8"/>
  <c r="I2348" i="8"/>
  <c r="H2349" i="8"/>
  <c r="J2349" i="8"/>
  <c r="K2349" i="8"/>
  <c r="L2349" i="8"/>
  <c r="M2349" i="8"/>
  <c r="I2349" i="8"/>
  <c r="H2350" i="8"/>
  <c r="J2350" i="8"/>
  <c r="K2350" i="8"/>
  <c r="L2350" i="8"/>
  <c r="M2350" i="8"/>
  <c r="I2350" i="8"/>
  <c r="H2351" i="8"/>
  <c r="J2351" i="8"/>
  <c r="K2351" i="8"/>
  <c r="L2351" i="8"/>
  <c r="M2351" i="8"/>
  <c r="I2351" i="8"/>
  <c r="H2352" i="8"/>
  <c r="J2352" i="8"/>
  <c r="K2352" i="8"/>
  <c r="L2352" i="8"/>
  <c r="M2352" i="8"/>
  <c r="I2352" i="8"/>
  <c r="H2353" i="8"/>
  <c r="J2353" i="8"/>
  <c r="K2353" i="8"/>
  <c r="L2353" i="8"/>
  <c r="M2353" i="8"/>
  <c r="I2353" i="8"/>
  <c r="H2354" i="8"/>
  <c r="J2354" i="8"/>
  <c r="K2354" i="8"/>
  <c r="L2354" i="8"/>
  <c r="M2354" i="8"/>
  <c r="I2354" i="8"/>
  <c r="H2355" i="8"/>
  <c r="J2355" i="8"/>
  <c r="K2355" i="8"/>
  <c r="L2355" i="8"/>
  <c r="M2355" i="8"/>
  <c r="I2355" i="8"/>
  <c r="H2356" i="8"/>
  <c r="J2356" i="8"/>
  <c r="K2356" i="8"/>
  <c r="L2356" i="8"/>
  <c r="M2356" i="8"/>
  <c r="I2356" i="8"/>
  <c r="H2357" i="8"/>
  <c r="J2357" i="8"/>
  <c r="K2357" i="8"/>
  <c r="L2357" i="8"/>
  <c r="M2357" i="8"/>
  <c r="I2357" i="8"/>
  <c r="H2358" i="8"/>
  <c r="J2358" i="8"/>
  <c r="K2358" i="8"/>
  <c r="L2358" i="8"/>
  <c r="M2358" i="8"/>
  <c r="I2358" i="8"/>
  <c r="H2359" i="8"/>
  <c r="J2359" i="8"/>
  <c r="K2359" i="8"/>
  <c r="L2359" i="8"/>
  <c r="M2359" i="8"/>
  <c r="I2359" i="8"/>
  <c r="H2360" i="8"/>
  <c r="J2360" i="8"/>
  <c r="K2360" i="8"/>
  <c r="L2360" i="8"/>
  <c r="M2360" i="8"/>
  <c r="I2360" i="8"/>
  <c r="H2361" i="8"/>
  <c r="J2361" i="8"/>
  <c r="K2361" i="8"/>
  <c r="L2361" i="8"/>
  <c r="M2361" i="8"/>
  <c r="I2361" i="8"/>
  <c r="H2362" i="8"/>
  <c r="J2362" i="8"/>
  <c r="K2362" i="8"/>
  <c r="L2362" i="8"/>
  <c r="M2362" i="8"/>
  <c r="I2362" i="8"/>
  <c r="H2363" i="8"/>
  <c r="J2363" i="8"/>
  <c r="K2363" i="8"/>
  <c r="L2363" i="8"/>
  <c r="M2363" i="8"/>
  <c r="I2363" i="8"/>
  <c r="H2364" i="8"/>
  <c r="J2364" i="8"/>
  <c r="K2364" i="8"/>
  <c r="L2364" i="8"/>
  <c r="M2364" i="8"/>
  <c r="I2364" i="8"/>
  <c r="H2365" i="8"/>
  <c r="J2365" i="8"/>
  <c r="K2365" i="8"/>
  <c r="L2365" i="8"/>
  <c r="M2365" i="8"/>
  <c r="I2365" i="8"/>
  <c r="H2366" i="8"/>
  <c r="J2366" i="8"/>
  <c r="K2366" i="8"/>
  <c r="L2366" i="8"/>
  <c r="M2366" i="8"/>
  <c r="I2366" i="8"/>
  <c r="H2367" i="8"/>
  <c r="J2367" i="8"/>
  <c r="K2367" i="8"/>
  <c r="L2367" i="8"/>
  <c r="M2367" i="8"/>
  <c r="I2367" i="8"/>
  <c r="H2368" i="8"/>
  <c r="J2368" i="8"/>
  <c r="K2368" i="8"/>
  <c r="L2368" i="8"/>
  <c r="M2368" i="8"/>
  <c r="I2368" i="8"/>
  <c r="H2369" i="8"/>
  <c r="J2369" i="8"/>
  <c r="K2369" i="8"/>
  <c r="L2369" i="8"/>
  <c r="M2369" i="8"/>
  <c r="I2369" i="8"/>
  <c r="H2370" i="8"/>
  <c r="J2370" i="8"/>
  <c r="K2370" i="8"/>
  <c r="L2370" i="8"/>
  <c r="M2370" i="8"/>
  <c r="I2370" i="8"/>
  <c r="H2371" i="8"/>
  <c r="J2371" i="8"/>
  <c r="K2371" i="8"/>
  <c r="L2371" i="8"/>
  <c r="M2371" i="8"/>
  <c r="I2371" i="8"/>
  <c r="H2372" i="8"/>
  <c r="J2372" i="8"/>
  <c r="K2372" i="8"/>
  <c r="L2372" i="8"/>
  <c r="M2372" i="8"/>
  <c r="I2372" i="8"/>
  <c r="H2373" i="8"/>
  <c r="J2373" i="8"/>
  <c r="K2373" i="8"/>
  <c r="L2373" i="8"/>
  <c r="M2373" i="8"/>
  <c r="I2373" i="8"/>
  <c r="H2374" i="8"/>
  <c r="J2374" i="8"/>
  <c r="K2374" i="8"/>
  <c r="L2374" i="8"/>
  <c r="M2374" i="8"/>
  <c r="I2374" i="8"/>
  <c r="H2375" i="8"/>
  <c r="J2375" i="8"/>
  <c r="K2375" i="8"/>
  <c r="L2375" i="8"/>
  <c r="M2375" i="8"/>
  <c r="I2375" i="8"/>
  <c r="H2376" i="8"/>
  <c r="J2376" i="8"/>
  <c r="K2376" i="8"/>
  <c r="L2376" i="8"/>
  <c r="M2376" i="8"/>
  <c r="I2376" i="8"/>
  <c r="H2377" i="8"/>
  <c r="J2377" i="8"/>
  <c r="K2377" i="8"/>
  <c r="L2377" i="8"/>
  <c r="M2377" i="8"/>
  <c r="I2377" i="8"/>
  <c r="H2378" i="8"/>
  <c r="J2378" i="8"/>
  <c r="K2378" i="8"/>
  <c r="L2378" i="8"/>
  <c r="M2378" i="8"/>
  <c r="I2378" i="8"/>
  <c r="H2379" i="8"/>
  <c r="J2379" i="8"/>
  <c r="K2379" i="8"/>
  <c r="L2379" i="8"/>
  <c r="M2379" i="8"/>
  <c r="I2379" i="8"/>
  <c r="H2380" i="8"/>
  <c r="J2380" i="8"/>
  <c r="K2380" i="8"/>
  <c r="L2380" i="8"/>
  <c r="M2380" i="8"/>
  <c r="I2380" i="8"/>
  <c r="H2381" i="8"/>
  <c r="J2381" i="8"/>
  <c r="K2381" i="8"/>
  <c r="L2381" i="8"/>
  <c r="M2381" i="8"/>
  <c r="I2381" i="8"/>
  <c r="H2382" i="8"/>
  <c r="J2382" i="8"/>
  <c r="K2382" i="8"/>
  <c r="L2382" i="8"/>
  <c r="M2382" i="8"/>
  <c r="I2382" i="8"/>
  <c r="H2383" i="8"/>
  <c r="J2383" i="8"/>
  <c r="K2383" i="8"/>
  <c r="L2383" i="8"/>
  <c r="M2383" i="8"/>
  <c r="I2383" i="8"/>
  <c r="H2384" i="8"/>
  <c r="J2384" i="8"/>
  <c r="K2384" i="8"/>
  <c r="L2384" i="8"/>
  <c r="M2384" i="8"/>
  <c r="I2384" i="8"/>
  <c r="H2385" i="8"/>
  <c r="J2385" i="8"/>
  <c r="K2385" i="8"/>
  <c r="L2385" i="8"/>
  <c r="M2385" i="8"/>
  <c r="I2385" i="8"/>
  <c r="H2386" i="8"/>
  <c r="J2386" i="8"/>
  <c r="K2386" i="8"/>
  <c r="L2386" i="8"/>
  <c r="M2386" i="8"/>
  <c r="I2386" i="8"/>
  <c r="H2387" i="8"/>
  <c r="J2387" i="8"/>
  <c r="K2387" i="8"/>
  <c r="L2387" i="8"/>
  <c r="M2387" i="8"/>
  <c r="I2387" i="8"/>
  <c r="H2388" i="8"/>
  <c r="J2388" i="8"/>
  <c r="K2388" i="8"/>
  <c r="L2388" i="8"/>
  <c r="M2388" i="8"/>
  <c r="I2388" i="8"/>
  <c r="H2389" i="8"/>
  <c r="J2389" i="8"/>
  <c r="K2389" i="8"/>
  <c r="L2389" i="8"/>
  <c r="M2389" i="8"/>
  <c r="I2389" i="8"/>
  <c r="H2390" i="8"/>
  <c r="J2390" i="8"/>
  <c r="K2390" i="8"/>
  <c r="L2390" i="8"/>
  <c r="M2390" i="8"/>
  <c r="I2390" i="8"/>
  <c r="H2391" i="8"/>
  <c r="J2391" i="8"/>
  <c r="K2391" i="8"/>
  <c r="L2391" i="8"/>
  <c r="M2391" i="8"/>
  <c r="I2391" i="8"/>
  <c r="H2392" i="8"/>
  <c r="J2392" i="8"/>
  <c r="K2392" i="8"/>
  <c r="L2392" i="8"/>
  <c r="M2392" i="8"/>
  <c r="I2392" i="8"/>
  <c r="H2393" i="8"/>
  <c r="J2393" i="8"/>
  <c r="K2393" i="8"/>
  <c r="L2393" i="8"/>
  <c r="M2393" i="8"/>
  <c r="I2393" i="8"/>
  <c r="H2394" i="8"/>
  <c r="J2394" i="8"/>
  <c r="K2394" i="8"/>
  <c r="L2394" i="8"/>
  <c r="M2394" i="8"/>
  <c r="I2394" i="8"/>
  <c r="H2395" i="8"/>
  <c r="J2395" i="8"/>
  <c r="K2395" i="8"/>
  <c r="L2395" i="8"/>
  <c r="M2395" i="8"/>
  <c r="I2395" i="8"/>
  <c r="H2396" i="8"/>
  <c r="J2396" i="8"/>
  <c r="K2396" i="8"/>
  <c r="L2396" i="8"/>
  <c r="M2396" i="8"/>
  <c r="I2396" i="8"/>
  <c r="H2397" i="8"/>
  <c r="J2397" i="8"/>
  <c r="K2397" i="8"/>
  <c r="L2397" i="8"/>
  <c r="M2397" i="8"/>
  <c r="I2397" i="8"/>
  <c r="H2398" i="8"/>
  <c r="J2398" i="8"/>
  <c r="K2398" i="8"/>
  <c r="L2398" i="8"/>
  <c r="M2398" i="8"/>
  <c r="I2398" i="8"/>
  <c r="H2399" i="8"/>
  <c r="J2399" i="8"/>
  <c r="K2399" i="8"/>
  <c r="L2399" i="8"/>
  <c r="M2399" i="8"/>
  <c r="I2399" i="8"/>
  <c r="H2400" i="8"/>
  <c r="J2400" i="8"/>
  <c r="K2400" i="8"/>
  <c r="L2400" i="8"/>
  <c r="M2400" i="8"/>
  <c r="I2400" i="8"/>
  <c r="H2401" i="8"/>
  <c r="J2401" i="8"/>
  <c r="K2401" i="8"/>
  <c r="L2401" i="8"/>
  <c r="M2401" i="8"/>
  <c r="I2401" i="8"/>
  <c r="H2402" i="8"/>
  <c r="J2402" i="8"/>
  <c r="K2402" i="8"/>
  <c r="L2402" i="8"/>
  <c r="M2402" i="8"/>
  <c r="I2402" i="8"/>
  <c r="H2403" i="8"/>
  <c r="J2403" i="8"/>
  <c r="K2403" i="8"/>
  <c r="L2403" i="8"/>
  <c r="M2403" i="8"/>
  <c r="I2403" i="8"/>
  <c r="H2404" i="8"/>
  <c r="J2404" i="8"/>
  <c r="K2404" i="8"/>
  <c r="L2404" i="8"/>
  <c r="M2404" i="8"/>
  <c r="I2404" i="8"/>
  <c r="H2405" i="8"/>
  <c r="J2405" i="8"/>
  <c r="K2405" i="8"/>
  <c r="L2405" i="8"/>
  <c r="M2405" i="8"/>
  <c r="I2405" i="8"/>
  <c r="H2406" i="8"/>
  <c r="J2406" i="8"/>
  <c r="K2406" i="8"/>
  <c r="L2406" i="8"/>
  <c r="M2406" i="8"/>
  <c r="I2406" i="8"/>
  <c r="H2407" i="8"/>
  <c r="J2407" i="8"/>
  <c r="K2407" i="8"/>
  <c r="L2407" i="8"/>
  <c r="M2407" i="8"/>
  <c r="I2407" i="8"/>
  <c r="H2408" i="8"/>
  <c r="J2408" i="8"/>
  <c r="K2408" i="8"/>
  <c r="L2408" i="8"/>
  <c r="M2408" i="8"/>
  <c r="I2408" i="8"/>
  <c r="H2409" i="8"/>
  <c r="J2409" i="8"/>
  <c r="K2409" i="8"/>
  <c r="L2409" i="8"/>
  <c r="M2409" i="8"/>
  <c r="I2409" i="8"/>
  <c r="H2410" i="8"/>
  <c r="J2410" i="8"/>
  <c r="K2410" i="8"/>
  <c r="L2410" i="8"/>
  <c r="M2410" i="8"/>
  <c r="I2410" i="8"/>
  <c r="H2411" i="8"/>
  <c r="J2411" i="8"/>
  <c r="K2411" i="8"/>
  <c r="L2411" i="8"/>
  <c r="M2411" i="8"/>
  <c r="I2411" i="8"/>
  <c r="H2412" i="8"/>
  <c r="J2412" i="8"/>
  <c r="K2412" i="8"/>
  <c r="L2412" i="8"/>
  <c r="M2412" i="8"/>
  <c r="I2412" i="8"/>
  <c r="H2413" i="8"/>
  <c r="J2413" i="8"/>
  <c r="K2413" i="8"/>
  <c r="L2413" i="8"/>
  <c r="M2413" i="8"/>
  <c r="I2413" i="8"/>
  <c r="H2414" i="8"/>
  <c r="J2414" i="8"/>
  <c r="K2414" i="8"/>
  <c r="L2414" i="8"/>
  <c r="M2414" i="8"/>
  <c r="I2414" i="8"/>
  <c r="H2415" i="8"/>
  <c r="J2415" i="8"/>
  <c r="K2415" i="8"/>
  <c r="L2415" i="8"/>
  <c r="M2415" i="8"/>
  <c r="I2415" i="8"/>
  <c r="H2416" i="8"/>
  <c r="J2416" i="8"/>
  <c r="K2416" i="8"/>
  <c r="L2416" i="8"/>
  <c r="M2416" i="8"/>
  <c r="I2416" i="8"/>
  <c r="H2417" i="8"/>
  <c r="J2417" i="8"/>
  <c r="K2417" i="8"/>
  <c r="L2417" i="8"/>
  <c r="M2417" i="8"/>
  <c r="H2418" i="8"/>
  <c r="I2417" i="8"/>
  <c r="J2418" i="8"/>
  <c r="K2418" i="8"/>
  <c r="L2418" i="8"/>
  <c r="M2418" i="8"/>
  <c r="I2418" i="8"/>
  <c r="H2419" i="8"/>
  <c r="J2419" i="8"/>
  <c r="K2419" i="8"/>
  <c r="L2419" i="8"/>
  <c r="M2419" i="8"/>
  <c r="I2419" i="8"/>
  <c r="H2420" i="8"/>
  <c r="J2420" i="8"/>
  <c r="K2420" i="8"/>
  <c r="L2420" i="8"/>
  <c r="M2420" i="8"/>
  <c r="I2420" i="8"/>
  <c r="H2421" i="8"/>
  <c r="J2421" i="8"/>
  <c r="K2421" i="8"/>
  <c r="L2421" i="8"/>
  <c r="M2421" i="8"/>
  <c r="I2421" i="8"/>
  <c r="H2422" i="8"/>
  <c r="J2422" i="8"/>
  <c r="K2422" i="8"/>
  <c r="L2422" i="8"/>
  <c r="M2422" i="8"/>
  <c r="I2422" i="8"/>
  <c r="H2423" i="8"/>
  <c r="J2423" i="8"/>
  <c r="K2423" i="8"/>
  <c r="L2423" i="8"/>
  <c r="M2423" i="8"/>
  <c r="I2423" i="8"/>
  <c r="H2424" i="8"/>
  <c r="J2424" i="8"/>
  <c r="K2424" i="8"/>
  <c r="L2424" i="8"/>
  <c r="M2424" i="8"/>
  <c r="H2425" i="8"/>
  <c r="I2424" i="8"/>
  <c r="J2425" i="8"/>
  <c r="K2425" i="8"/>
  <c r="L2425" i="8"/>
  <c r="M2425" i="8"/>
  <c r="I2425" i="8"/>
  <c r="H2426" i="8"/>
  <c r="J2426" i="8"/>
  <c r="K2426" i="8"/>
  <c r="L2426" i="8"/>
  <c r="M2426" i="8"/>
  <c r="I2426" i="8"/>
  <c r="H2427" i="8"/>
  <c r="J2427" i="8"/>
  <c r="K2427" i="8"/>
  <c r="L2427" i="8"/>
  <c r="M2427" i="8"/>
  <c r="I2427" i="8"/>
  <c r="H2428" i="8"/>
  <c r="J2428" i="8"/>
  <c r="K2428" i="8"/>
  <c r="L2428" i="8"/>
  <c r="M2428" i="8"/>
  <c r="I2428" i="8"/>
  <c r="H2429" i="8"/>
  <c r="J2429" i="8"/>
  <c r="K2429" i="8"/>
  <c r="L2429" i="8"/>
  <c r="M2429" i="8"/>
  <c r="I2429" i="8"/>
  <c r="H2430" i="8"/>
  <c r="J2430" i="8"/>
  <c r="K2430" i="8"/>
  <c r="L2430" i="8"/>
  <c r="M2430" i="8"/>
  <c r="I2430" i="8"/>
  <c r="H2431" i="8"/>
  <c r="J2431" i="8"/>
  <c r="K2431" i="8"/>
  <c r="L2431" i="8"/>
  <c r="M2431" i="8"/>
  <c r="I2431" i="8"/>
  <c r="H2432" i="8"/>
  <c r="J2432" i="8"/>
  <c r="K2432" i="8"/>
  <c r="L2432" i="8"/>
  <c r="M2432" i="8"/>
  <c r="I2432" i="8"/>
  <c r="H2433" i="8"/>
  <c r="J2433" i="8"/>
  <c r="K2433" i="8"/>
  <c r="L2433" i="8"/>
  <c r="M2433" i="8"/>
  <c r="I2433" i="8"/>
  <c r="H2434" i="8"/>
  <c r="J2434" i="8"/>
  <c r="K2434" i="8"/>
  <c r="L2434" i="8"/>
  <c r="M2434" i="8"/>
  <c r="I2434" i="8"/>
  <c r="H2435" i="8"/>
  <c r="J2435" i="8"/>
  <c r="K2435" i="8"/>
  <c r="L2435" i="8"/>
  <c r="M2435" i="8"/>
  <c r="I2435" i="8"/>
  <c r="H2436" i="8"/>
  <c r="J2436" i="8"/>
  <c r="K2436" i="8"/>
  <c r="L2436" i="8"/>
  <c r="M2436" i="8"/>
  <c r="I2436" i="8"/>
  <c r="H2437" i="8"/>
  <c r="J2437" i="8"/>
  <c r="K2437" i="8"/>
  <c r="L2437" i="8"/>
  <c r="M2437" i="8"/>
  <c r="I2437" i="8"/>
  <c r="H2438" i="8"/>
  <c r="J2438" i="8"/>
  <c r="K2438" i="8"/>
  <c r="L2438" i="8"/>
  <c r="M2438" i="8"/>
  <c r="I2438" i="8"/>
  <c r="H2439" i="8"/>
  <c r="J2439" i="8"/>
  <c r="K2439" i="8"/>
  <c r="L2439" i="8"/>
  <c r="M2439" i="8"/>
  <c r="I2439" i="8"/>
  <c r="H2440" i="8"/>
  <c r="J2440" i="8"/>
  <c r="K2440" i="8"/>
  <c r="L2440" i="8"/>
  <c r="M2440" i="8"/>
  <c r="I2440" i="8"/>
  <c r="H2441" i="8"/>
  <c r="J2441" i="8"/>
  <c r="K2441" i="8"/>
  <c r="L2441" i="8"/>
  <c r="M2441" i="8"/>
  <c r="I2441" i="8"/>
  <c r="H2442" i="8"/>
  <c r="J2442" i="8"/>
  <c r="K2442" i="8"/>
  <c r="L2442" i="8"/>
  <c r="M2442" i="8"/>
  <c r="I2442" i="8"/>
  <c r="H2443" i="8"/>
  <c r="J2443" i="8"/>
  <c r="K2443" i="8"/>
  <c r="L2443" i="8"/>
  <c r="M2443" i="8"/>
  <c r="I2443" i="8"/>
  <c r="H2444" i="8"/>
  <c r="J2444" i="8"/>
  <c r="K2444" i="8"/>
  <c r="L2444" i="8"/>
  <c r="M2444" i="8"/>
  <c r="I2444" i="8"/>
  <c r="H2445" i="8"/>
  <c r="J2445" i="8"/>
  <c r="K2445" i="8"/>
  <c r="L2445" i="8"/>
  <c r="M2445" i="8"/>
  <c r="I2445" i="8"/>
  <c r="H2446" i="8"/>
  <c r="J2446" i="8"/>
  <c r="K2446" i="8"/>
  <c r="L2446" i="8"/>
  <c r="M2446" i="8"/>
  <c r="I2446" i="8"/>
  <c r="H2447" i="8"/>
  <c r="J2447" i="8"/>
  <c r="K2447" i="8"/>
  <c r="L2447" i="8"/>
  <c r="M2447" i="8"/>
  <c r="I2447" i="8"/>
  <c r="H2448" i="8"/>
  <c r="J2448" i="8"/>
  <c r="K2448" i="8"/>
  <c r="L2448" i="8"/>
  <c r="M2448" i="8"/>
  <c r="I2448" i="8"/>
  <c r="H2449" i="8"/>
  <c r="J2449" i="8"/>
  <c r="K2449" i="8"/>
  <c r="L2449" i="8"/>
  <c r="M2449" i="8"/>
  <c r="I2449" i="8"/>
  <c r="H2450" i="8"/>
  <c r="J2450" i="8"/>
  <c r="K2450" i="8"/>
  <c r="L2450" i="8"/>
  <c r="M2450" i="8"/>
  <c r="I2450" i="8"/>
  <c r="H2451" i="8"/>
  <c r="J2451" i="8"/>
  <c r="K2451" i="8"/>
  <c r="L2451" i="8"/>
  <c r="M2451" i="8"/>
  <c r="I2451" i="8"/>
  <c r="H2452" i="8"/>
  <c r="J2452" i="8"/>
  <c r="K2452" i="8"/>
  <c r="L2452" i="8"/>
  <c r="M2452" i="8"/>
  <c r="I2452" i="8"/>
  <c r="H2453" i="8"/>
  <c r="J2453" i="8"/>
  <c r="K2453" i="8"/>
  <c r="L2453" i="8"/>
  <c r="M2453" i="8"/>
  <c r="I2453" i="8"/>
  <c r="H2454" i="8"/>
  <c r="J2454" i="8"/>
  <c r="K2454" i="8"/>
  <c r="L2454" i="8"/>
  <c r="M2454" i="8"/>
  <c r="I2454" i="8"/>
  <c r="H2455" i="8"/>
  <c r="J2455" i="8"/>
  <c r="K2455" i="8"/>
  <c r="L2455" i="8"/>
  <c r="M2455" i="8"/>
  <c r="I2455" i="8"/>
  <c r="H2456" i="8"/>
  <c r="J2456" i="8"/>
  <c r="K2456" i="8"/>
  <c r="L2456" i="8"/>
  <c r="M2456" i="8"/>
  <c r="I2456" i="8"/>
  <c r="H2457" i="8"/>
  <c r="J2457" i="8"/>
  <c r="K2457" i="8"/>
  <c r="L2457" i="8"/>
  <c r="M2457" i="8"/>
  <c r="I2457" i="8"/>
  <c r="H2458" i="8"/>
  <c r="J2458" i="8"/>
  <c r="K2458" i="8"/>
  <c r="L2458" i="8"/>
  <c r="M2458" i="8"/>
  <c r="I2458" i="8"/>
  <c r="H2459" i="8"/>
  <c r="J2459" i="8"/>
  <c r="K2459" i="8"/>
  <c r="L2459" i="8"/>
  <c r="M2459" i="8"/>
  <c r="I2459" i="8"/>
  <c r="H2460" i="8"/>
  <c r="J2460" i="8"/>
  <c r="K2460" i="8"/>
  <c r="L2460" i="8"/>
  <c r="M2460" i="8"/>
  <c r="I2460" i="8"/>
  <c r="H2461" i="8"/>
  <c r="J2461" i="8"/>
  <c r="K2461" i="8"/>
  <c r="L2461" i="8"/>
  <c r="M2461" i="8"/>
  <c r="I2461" i="8"/>
  <c r="H2462" i="8"/>
  <c r="J2462" i="8"/>
  <c r="K2462" i="8"/>
  <c r="L2462" i="8"/>
  <c r="M2462" i="8"/>
  <c r="I2462" i="8"/>
  <c r="H2463" i="8"/>
  <c r="J2463" i="8"/>
  <c r="K2463" i="8"/>
  <c r="L2463" i="8"/>
  <c r="M2463" i="8"/>
  <c r="I2463" i="8"/>
  <c r="H2464" i="8"/>
  <c r="J2464" i="8"/>
  <c r="K2464" i="8"/>
  <c r="L2464" i="8"/>
  <c r="M2464" i="8"/>
  <c r="I2464" i="8"/>
  <c r="H2465" i="8"/>
  <c r="J2465" i="8"/>
  <c r="K2465" i="8"/>
  <c r="L2465" i="8"/>
  <c r="M2465" i="8"/>
  <c r="I2465" i="8"/>
  <c r="H2466" i="8"/>
  <c r="J2466" i="8"/>
  <c r="K2466" i="8"/>
  <c r="L2466" i="8"/>
  <c r="M2466" i="8"/>
  <c r="I2466" i="8"/>
  <c r="H2467" i="8"/>
  <c r="J2467" i="8"/>
  <c r="K2467" i="8"/>
  <c r="L2467" i="8"/>
  <c r="M2467" i="8"/>
  <c r="I2467" i="8"/>
  <c r="H2468" i="8"/>
  <c r="J2468" i="8"/>
  <c r="K2468" i="8"/>
  <c r="L2468" i="8"/>
  <c r="M2468" i="8"/>
  <c r="I2468" i="8"/>
  <c r="H2469" i="8"/>
  <c r="J2469" i="8"/>
  <c r="K2469" i="8"/>
  <c r="L2469" i="8"/>
  <c r="M2469" i="8"/>
  <c r="I2469" i="8"/>
  <c r="H2470" i="8"/>
  <c r="J2470" i="8"/>
  <c r="K2470" i="8"/>
  <c r="L2470" i="8"/>
  <c r="M2470" i="8"/>
  <c r="I2470" i="8"/>
  <c r="H2471" i="8"/>
  <c r="J2471" i="8"/>
  <c r="K2471" i="8"/>
  <c r="L2471" i="8"/>
  <c r="M2471" i="8"/>
  <c r="I2471" i="8"/>
  <c r="H2472" i="8"/>
  <c r="J2472" i="8"/>
  <c r="K2472" i="8"/>
  <c r="L2472" i="8"/>
  <c r="M2472" i="8"/>
  <c r="I2472" i="8"/>
  <c r="H2473" i="8"/>
  <c r="J2473" i="8"/>
  <c r="K2473" i="8"/>
  <c r="L2473" i="8"/>
  <c r="M2473" i="8"/>
  <c r="I2473" i="8"/>
  <c r="H2474" i="8"/>
  <c r="J2474" i="8"/>
  <c r="K2474" i="8"/>
  <c r="L2474" i="8"/>
  <c r="M2474" i="8"/>
  <c r="I2474" i="8"/>
  <c r="H2475" i="8"/>
  <c r="J2475" i="8"/>
  <c r="K2475" i="8"/>
  <c r="L2475" i="8"/>
  <c r="M2475" i="8"/>
  <c r="I2475" i="8"/>
  <c r="H2476" i="8"/>
  <c r="J2476" i="8"/>
  <c r="K2476" i="8"/>
  <c r="L2476" i="8"/>
  <c r="M2476" i="8"/>
  <c r="I2476" i="8"/>
  <c r="H2477" i="8"/>
  <c r="J2477" i="8"/>
  <c r="K2477" i="8"/>
  <c r="L2477" i="8"/>
  <c r="M2477" i="8"/>
  <c r="I2477" i="8"/>
  <c r="H2478" i="8"/>
  <c r="J2478" i="8"/>
  <c r="K2478" i="8"/>
  <c r="L2478" i="8"/>
  <c r="M2478" i="8"/>
  <c r="I2478" i="8"/>
  <c r="H2479" i="8"/>
  <c r="J2479" i="8"/>
  <c r="K2479" i="8"/>
  <c r="L2479" i="8"/>
  <c r="M2479" i="8"/>
  <c r="I2479" i="8"/>
  <c r="H2480" i="8"/>
  <c r="J2480" i="8"/>
  <c r="K2480" i="8"/>
  <c r="L2480" i="8"/>
  <c r="M2480" i="8"/>
  <c r="I2480" i="8"/>
  <c r="H2481" i="8"/>
  <c r="J2481" i="8"/>
  <c r="K2481" i="8"/>
  <c r="L2481" i="8"/>
  <c r="M2481" i="8"/>
  <c r="I2481" i="8"/>
  <c r="H2482" i="8"/>
  <c r="J2482" i="8"/>
  <c r="K2482" i="8"/>
  <c r="L2482" i="8"/>
  <c r="M2482" i="8"/>
  <c r="I2482" i="8"/>
  <c r="H2483" i="8"/>
  <c r="J2483" i="8"/>
  <c r="K2483" i="8"/>
  <c r="L2483" i="8"/>
  <c r="M2483" i="8"/>
  <c r="I2483" i="8"/>
  <c r="H2484" i="8"/>
  <c r="J2484" i="8"/>
  <c r="K2484" i="8"/>
  <c r="L2484" i="8"/>
  <c r="M2484" i="8"/>
  <c r="I2484" i="8"/>
  <c r="H2485" i="8"/>
  <c r="J2485" i="8"/>
  <c r="K2485" i="8"/>
  <c r="L2485" i="8"/>
  <c r="M2485" i="8"/>
  <c r="I2485" i="8"/>
  <c r="H2486" i="8"/>
  <c r="J2486" i="8"/>
  <c r="K2486" i="8"/>
  <c r="L2486" i="8"/>
  <c r="M2486" i="8"/>
  <c r="I2486" i="8"/>
  <c r="H2487" i="8"/>
  <c r="J2487" i="8"/>
  <c r="K2487" i="8"/>
  <c r="L2487" i="8"/>
  <c r="M2487" i="8"/>
  <c r="I2487" i="8"/>
  <c r="H2488" i="8"/>
  <c r="J2488" i="8"/>
  <c r="K2488" i="8"/>
  <c r="L2488" i="8"/>
  <c r="M2488" i="8"/>
  <c r="I2488" i="8"/>
  <c r="H2489" i="8"/>
  <c r="J2489" i="8"/>
  <c r="K2489" i="8"/>
  <c r="L2489" i="8"/>
  <c r="M2489" i="8"/>
  <c r="I2489" i="8"/>
  <c r="H2490" i="8"/>
  <c r="J2490" i="8"/>
  <c r="K2490" i="8"/>
  <c r="L2490" i="8"/>
  <c r="M2490" i="8"/>
  <c r="I2490" i="8"/>
  <c r="H2491" i="8"/>
  <c r="J2491" i="8"/>
  <c r="K2491" i="8"/>
  <c r="L2491" i="8"/>
  <c r="M2491" i="8"/>
  <c r="I2491" i="8"/>
  <c r="H2492" i="8"/>
  <c r="J2492" i="8"/>
  <c r="K2492" i="8"/>
  <c r="L2492" i="8"/>
  <c r="M2492" i="8"/>
  <c r="I2492" i="8"/>
  <c r="H2493" i="8"/>
  <c r="J2493" i="8"/>
  <c r="K2493" i="8"/>
  <c r="L2493" i="8"/>
  <c r="M2493" i="8"/>
  <c r="I2493" i="8"/>
  <c r="H2494" i="8"/>
  <c r="J2494" i="8"/>
  <c r="K2494" i="8"/>
  <c r="L2494" i="8"/>
  <c r="M2494" i="8"/>
  <c r="I2494" i="8"/>
  <c r="H2495" i="8"/>
  <c r="J2495" i="8"/>
  <c r="K2495" i="8"/>
  <c r="L2495" i="8"/>
  <c r="M2495" i="8"/>
  <c r="I2495" i="8"/>
  <c r="H2496" i="8"/>
  <c r="J2496" i="8"/>
  <c r="K2496" i="8"/>
  <c r="L2496" i="8"/>
  <c r="M2496" i="8"/>
  <c r="I2496" i="8"/>
  <c r="H2497" i="8"/>
  <c r="J2497" i="8"/>
  <c r="K2497" i="8"/>
  <c r="L2497" i="8"/>
  <c r="M2497" i="8"/>
  <c r="I2497" i="8"/>
  <c r="H2498" i="8"/>
  <c r="J2498" i="8"/>
  <c r="K2498" i="8"/>
  <c r="L2498" i="8"/>
  <c r="M2498" i="8"/>
  <c r="I2498" i="8"/>
  <c r="H2499" i="8"/>
  <c r="J2499" i="8"/>
  <c r="K2499" i="8"/>
  <c r="L2499" i="8"/>
  <c r="M2499" i="8"/>
  <c r="I2499" i="8"/>
  <c r="H2500" i="8"/>
  <c r="J2500" i="8"/>
  <c r="K2500" i="8"/>
  <c r="L2500" i="8"/>
  <c r="M2500" i="8"/>
  <c r="I2500" i="8"/>
  <c r="H2501" i="8"/>
  <c r="J2501" i="8"/>
  <c r="K2501" i="8"/>
  <c r="L2501" i="8"/>
  <c r="M2501" i="8"/>
  <c r="I2501" i="8"/>
  <c r="H2502" i="8"/>
  <c r="J2502" i="8"/>
  <c r="K2502" i="8"/>
  <c r="L2502" i="8"/>
  <c r="M2502" i="8"/>
  <c r="I2502" i="8"/>
  <c r="H2503" i="8"/>
  <c r="J2503" i="8"/>
  <c r="K2503" i="8"/>
  <c r="L2503" i="8"/>
  <c r="M2503" i="8"/>
  <c r="I2503" i="8"/>
  <c r="H2504" i="8"/>
  <c r="J2504" i="8"/>
  <c r="K2504" i="8"/>
  <c r="L2504" i="8"/>
  <c r="M2504" i="8"/>
  <c r="I2504" i="8"/>
  <c r="H2505" i="8"/>
  <c r="J2505" i="8"/>
  <c r="K2505" i="8"/>
  <c r="L2505" i="8"/>
  <c r="M2505" i="8"/>
  <c r="I2505" i="8"/>
  <c r="H2506" i="8"/>
  <c r="J2506" i="8"/>
  <c r="K2506" i="8"/>
  <c r="L2506" i="8"/>
  <c r="M2506" i="8"/>
  <c r="I2506" i="8"/>
  <c r="H2507" i="8"/>
  <c r="J2507" i="8"/>
  <c r="K2507" i="8"/>
  <c r="L2507" i="8"/>
  <c r="M2507" i="8"/>
  <c r="I2507" i="8"/>
  <c r="H2508" i="8"/>
  <c r="J2508" i="8"/>
  <c r="K2508" i="8"/>
  <c r="L2508" i="8"/>
  <c r="M2508" i="8"/>
  <c r="I2508" i="8"/>
  <c r="H2509" i="8"/>
  <c r="J2509" i="8"/>
  <c r="K2509" i="8"/>
  <c r="L2509" i="8"/>
  <c r="M2509" i="8"/>
  <c r="I2509" i="8"/>
  <c r="H2510" i="8"/>
  <c r="J2510" i="8"/>
  <c r="K2510" i="8"/>
  <c r="L2510" i="8"/>
  <c r="M2510" i="8"/>
  <c r="I2510" i="8"/>
  <c r="H2511" i="8"/>
  <c r="J2511" i="8"/>
  <c r="K2511" i="8"/>
  <c r="L2511" i="8"/>
  <c r="M2511" i="8"/>
  <c r="I2511" i="8"/>
  <c r="H2512" i="8"/>
  <c r="J2512" i="8"/>
  <c r="K2512" i="8"/>
  <c r="L2512" i="8"/>
  <c r="M2512" i="8"/>
  <c r="I2512" i="8"/>
  <c r="H2513" i="8"/>
  <c r="J2513" i="8"/>
  <c r="K2513" i="8"/>
  <c r="L2513" i="8"/>
  <c r="M2513" i="8"/>
  <c r="I2513" i="8"/>
  <c r="H2514" i="8"/>
  <c r="J2514" i="8"/>
  <c r="K2514" i="8"/>
  <c r="L2514" i="8"/>
  <c r="M2514" i="8"/>
  <c r="I2514" i="8"/>
  <c r="H2515" i="8"/>
  <c r="J2515" i="8"/>
  <c r="K2515" i="8"/>
  <c r="L2515" i="8"/>
  <c r="M2515" i="8"/>
  <c r="I2515" i="8"/>
  <c r="H2516" i="8"/>
  <c r="J2516" i="8"/>
  <c r="K2516" i="8"/>
  <c r="L2516" i="8"/>
  <c r="M2516" i="8"/>
  <c r="I2516" i="8"/>
  <c r="H2517" i="8"/>
  <c r="J2517" i="8"/>
  <c r="K2517" i="8"/>
  <c r="L2517" i="8"/>
  <c r="M2517" i="8"/>
  <c r="I2517" i="8"/>
  <c r="H2518" i="8"/>
  <c r="J2518" i="8"/>
  <c r="K2518" i="8"/>
  <c r="L2518" i="8"/>
  <c r="M2518" i="8"/>
  <c r="J3" i="8"/>
  <c r="J4" i="8"/>
  <c r="J5" i="8"/>
  <c r="J6" i="8"/>
  <c r="J7" i="8"/>
  <c r="J8" i="8"/>
  <c r="K2519"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N480" i="8"/>
  <c r="N481" i="8"/>
  <c r="N482" i="8"/>
  <c r="N483" i="8"/>
  <c r="N484" i="8"/>
  <c r="N485" i="8"/>
  <c r="N486" i="8"/>
  <c r="N487" i="8"/>
  <c r="N488" i="8"/>
  <c r="N489" i="8"/>
  <c r="N490" i="8"/>
  <c r="N491" i="8"/>
  <c r="N492" i="8"/>
  <c r="N493" i="8"/>
  <c r="N494" i="8"/>
  <c r="N495" i="8"/>
  <c r="N496" i="8"/>
  <c r="N497" i="8"/>
  <c r="N498" i="8"/>
  <c r="N499" i="8"/>
  <c r="N500" i="8"/>
  <c r="N501" i="8"/>
  <c r="N502" i="8"/>
  <c r="N503" i="8"/>
  <c r="N504" i="8"/>
  <c r="N505" i="8"/>
  <c r="N506" i="8"/>
  <c r="N507" i="8"/>
  <c r="N508" i="8"/>
  <c r="N509" i="8"/>
  <c r="N510" i="8"/>
  <c r="N511" i="8"/>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N1001" i="8"/>
  <c r="N1002" i="8"/>
  <c r="N1003" i="8"/>
  <c r="N1004" i="8"/>
  <c r="N1005" i="8"/>
  <c r="N1006" i="8"/>
  <c r="N1007" i="8"/>
  <c r="N1008" i="8"/>
  <c r="N1009" i="8"/>
  <c r="N1010" i="8"/>
  <c r="N1011" i="8"/>
  <c r="N1012" i="8"/>
  <c r="N1013" i="8"/>
  <c r="N1014" i="8"/>
  <c r="N1015" i="8"/>
  <c r="N1016" i="8"/>
  <c r="N1017" i="8"/>
  <c r="N1018" i="8"/>
  <c r="N1019" i="8"/>
  <c r="N1020" i="8"/>
  <c r="N1021" i="8"/>
  <c r="N1022" i="8"/>
  <c r="N1023" i="8"/>
  <c r="N1024" i="8"/>
  <c r="N1025" i="8"/>
  <c r="N1026" i="8"/>
  <c r="N1027" i="8"/>
  <c r="N1028" i="8"/>
  <c r="N1029" i="8"/>
  <c r="N1030" i="8"/>
  <c r="N1031" i="8"/>
  <c r="N1032" i="8"/>
  <c r="N1033" i="8"/>
  <c r="N1034" i="8"/>
  <c r="N1035" i="8"/>
  <c r="N1036" i="8"/>
  <c r="N1037" i="8"/>
  <c r="N1038" i="8"/>
  <c r="N1039" i="8"/>
  <c r="N1040" i="8"/>
  <c r="N1041" i="8"/>
  <c r="N1042" i="8"/>
  <c r="N1043" i="8"/>
  <c r="N1044" i="8"/>
  <c r="N1045" i="8"/>
  <c r="N1046" i="8"/>
  <c r="N1047" i="8"/>
  <c r="N1048" i="8"/>
  <c r="N1049" i="8"/>
  <c r="N1050" i="8"/>
  <c r="N1051" i="8"/>
  <c r="N1052" i="8"/>
  <c r="N1053" i="8"/>
  <c r="N1054" i="8"/>
  <c r="N1055" i="8"/>
  <c r="N1056" i="8"/>
  <c r="N1057" i="8"/>
  <c r="N1058" i="8"/>
  <c r="N1059" i="8"/>
  <c r="N1060" i="8"/>
  <c r="N1061" i="8"/>
  <c r="N1062" i="8"/>
  <c r="N1063" i="8"/>
  <c r="N1064" i="8"/>
  <c r="N1065" i="8"/>
  <c r="N1066" i="8"/>
  <c r="N1067" i="8"/>
  <c r="N1068" i="8"/>
  <c r="N1069" i="8"/>
  <c r="N1070" i="8"/>
  <c r="N1071" i="8"/>
  <c r="N1072" i="8"/>
  <c r="N1073" i="8"/>
  <c r="N1074" i="8"/>
  <c r="N1075" i="8"/>
  <c r="N1076" i="8"/>
  <c r="N1077" i="8"/>
  <c r="N1078" i="8"/>
  <c r="N1079" i="8"/>
  <c r="N1080" i="8"/>
  <c r="N1081" i="8"/>
  <c r="N1082" i="8"/>
  <c r="N1083" i="8"/>
  <c r="N1084" i="8"/>
  <c r="N1085" i="8"/>
  <c r="N1086" i="8"/>
  <c r="N1087" i="8"/>
  <c r="N1088" i="8"/>
  <c r="N1089" i="8"/>
  <c r="N1090" i="8"/>
  <c r="N1091" i="8"/>
  <c r="N1092" i="8"/>
  <c r="N1093" i="8"/>
  <c r="N1094" i="8"/>
  <c r="N1095" i="8"/>
  <c r="N1096" i="8"/>
  <c r="N1097" i="8"/>
  <c r="N1098" i="8"/>
  <c r="N1099" i="8"/>
  <c r="N1100" i="8"/>
  <c r="N1101" i="8"/>
  <c r="N1102" i="8"/>
  <c r="N1103" i="8"/>
  <c r="N1104" i="8"/>
  <c r="N1105" i="8"/>
  <c r="N1106" i="8"/>
  <c r="N1107" i="8"/>
  <c r="N1108" i="8"/>
  <c r="N1109" i="8"/>
  <c r="N1110" i="8"/>
  <c r="N1111" i="8"/>
  <c r="N1112" i="8"/>
  <c r="N1113" i="8"/>
  <c r="N1114" i="8"/>
  <c r="N1115" i="8"/>
  <c r="N1116" i="8"/>
  <c r="N1117" i="8"/>
  <c r="N1118" i="8"/>
  <c r="N1119" i="8"/>
  <c r="N1120" i="8"/>
  <c r="N1121" i="8"/>
  <c r="N1122" i="8"/>
  <c r="N1123" i="8"/>
  <c r="N1124" i="8"/>
  <c r="N1125" i="8"/>
  <c r="N1126" i="8"/>
  <c r="N1127" i="8"/>
  <c r="N1128" i="8"/>
  <c r="N1129" i="8"/>
  <c r="N1130" i="8"/>
  <c r="N1131" i="8"/>
  <c r="N1132" i="8"/>
  <c r="N1133" i="8"/>
  <c r="N1134" i="8"/>
  <c r="N1135" i="8"/>
  <c r="N1136" i="8"/>
  <c r="N1137" i="8"/>
  <c r="N1138" i="8"/>
  <c r="N1139" i="8"/>
  <c r="N1140" i="8"/>
  <c r="N1141" i="8"/>
  <c r="N1142" i="8"/>
  <c r="N1143" i="8"/>
  <c r="N1144" i="8"/>
  <c r="N1145" i="8"/>
  <c r="N1146" i="8"/>
  <c r="N1147" i="8"/>
  <c r="N1148" i="8"/>
  <c r="N1149" i="8"/>
  <c r="N1150" i="8"/>
  <c r="N1151" i="8"/>
  <c r="N1152" i="8"/>
  <c r="N1153" i="8"/>
  <c r="N1154" i="8"/>
  <c r="N1155" i="8"/>
  <c r="N1156" i="8"/>
  <c r="N1157" i="8"/>
  <c r="N1158" i="8"/>
  <c r="N1159" i="8"/>
  <c r="N1160" i="8"/>
  <c r="N1161" i="8"/>
  <c r="N1162" i="8"/>
  <c r="N1163" i="8"/>
  <c r="N1164" i="8"/>
  <c r="N1165" i="8"/>
  <c r="N1166" i="8"/>
  <c r="N1167" i="8"/>
  <c r="N1168" i="8"/>
  <c r="N1169" i="8"/>
  <c r="N1170" i="8"/>
  <c r="N1171" i="8"/>
  <c r="N1172" i="8"/>
  <c r="N1173" i="8"/>
  <c r="N1174" i="8"/>
  <c r="N1175" i="8"/>
  <c r="N1176" i="8"/>
  <c r="N1177" i="8"/>
  <c r="N1178" i="8"/>
  <c r="N1179" i="8"/>
  <c r="N1180" i="8"/>
  <c r="N1181" i="8"/>
  <c r="N1182" i="8"/>
  <c r="N1183" i="8"/>
  <c r="N1184" i="8"/>
  <c r="N1185" i="8"/>
  <c r="N1186" i="8"/>
  <c r="N1187" i="8"/>
  <c r="N1188" i="8"/>
  <c r="N1189" i="8"/>
  <c r="N1190" i="8"/>
  <c r="N1191" i="8"/>
  <c r="N1192" i="8"/>
  <c r="N1193" i="8"/>
  <c r="N1194" i="8"/>
  <c r="N1195" i="8"/>
  <c r="N1196" i="8"/>
  <c r="N1197" i="8"/>
  <c r="N1198" i="8"/>
  <c r="N1199" i="8"/>
  <c r="N1200" i="8"/>
  <c r="N1201" i="8"/>
  <c r="N1202" i="8"/>
  <c r="N1203" i="8"/>
  <c r="N1204" i="8"/>
  <c r="N1205" i="8"/>
  <c r="N1206" i="8"/>
  <c r="N1207" i="8"/>
  <c r="N1208" i="8"/>
  <c r="N1209" i="8"/>
  <c r="N1210" i="8"/>
  <c r="N1211" i="8"/>
  <c r="N1212" i="8"/>
  <c r="N1213" i="8"/>
  <c r="N1214" i="8"/>
  <c r="N1215" i="8"/>
  <c r="N1216" i="8"/>
  <c r="N1217" i="8"/>
  <c r="N1218" i="8"/>
  <c r="N1219" i="8"/>
  <c r="N1220" i="8"/>
  <c r="N1221" i="8"/>
  <c r="N1222" i="8"/>
  <c r="N1223" i="8"/>
  <c r="N1224" i="8"/>
  <c r="N1225" i="8"/>
  <c r="N1226" i="8"/>
  <c r="N1227" i="8"/>
  <c r="N1228" i="8"/>
  <c r="N1229" i="8"/>
  <c r="N1230" i="8"/>
  <c r="N1231" i="8"/>
  <c r="N1232" i="8"/>
  <c r="N1233" i="8"/>
  <c r="N1234" i="8"/>
  <c r="N1235" i="8"/>
  <c r="N1236" i="8"/>
  <c r="N1237" i="8"/>
  <c r="N1238" i="8"/>
  <c r="N1239" i="8"/>
  <c r="N1240" i="8"/>
  <c r="N1241" i="8"/>
  <c r="N1242" i="8"/>
  <c r="N1243" i="8"/>
  <c r="N1244" i="8"/>
  <c r="N1245" i="8"/>
  <c r="N1246" i="8"/>
  <c r="N1247" i="8"/>
  <c r="N1248" i="8"/>
  <c r="N1249" i="8"/>
  <c r="N1250" i="8"/>
  <c r="N1251" i="8"/>
  <c r="N1252" i="8"/>
  <c r="N1253" i="8"/>
  <c r="N1254" i="8"/>
  <c r="N1255" i="8"/>
  <c r="N1256" i="8"/>
  <c r="N1257" i="8"/>
  <c r="N1258" i="8"/>
  <c r="N1259" i="8"/>
  <c r="N1260" i="8"/>
  <c r="N1261" i="8"/>
  <c r="N1262" i="8"/>
  <c r="N1263" i="8"/>
  <c r="N1264" i="8"/>
  <c r="N1265" i="8"/>
  <c r="N1266" i="8"/>
  <c r="N1267" i="8"/>
  <c r="N1268" i="8"/>
  <c r="N1269" i="8"/>
  <c r="N1270" i="8"/>
  <c r="N1271" i="8"/>
  <c r="N1272" i="8"/>
  <c r="N1273" i="8"/>
  <c r="N1274" i="8"/>
  <c r="N1275" i="8"/>
  <c r="N1276" i="8"/>
  <c r="N1277" i="8"/>
  <c r="N1278" i="8"/>
  <c r="N1279" i="8"/>
  <c r="N1280" i="8"/>
  <c r="N1281" i="8"/>
  <c r="N1282" i="8"/>
  <c r="N1283" i="8"/>
  <c r="N1284" i="8"/>
  <c r="N1285" i="8"/>
  <c r="N1286" i="8"/>
  <c r="N1287" i="8"/>
  <c r="N1288" i="8"/>
  <c r="N1289" i="8"/>
  <c r="N1290" i="8"/>
  <c r="N1291" i="8"/>
  <c r="N1292" i="8"/>
  <c r="N1293" i="8"/>
  <c r="N1294" i="8"/>
  <c r="N1295" i="8"/>
  <c r="N1296" i="8"/>
  <c r="N1297" i="8"/>
  <c r="N1298" i="8"/>
  <c r="N1299" i="8"/>
  <c r="N1300" i="8"/>
  <c r="N1301" i="8"/>
  <c r="N1302" i="8"/>
  <c r="N1303" i="8"/>
  <c r="N1304" i="8"/>
  <c r="N1305" i="8"/>
  <c r="N1306" i="8"/>
  <c r="N1307" i="8"/>
  <c r="N1308" i="8"/>
  <c r="N1309" i="8"/>
  <c r="N1310" i="8"/>
  <c r="N1311" i="8"/>
  <c r="N1312" i="8"/>
  <c r="N1313" i="8"/>
  <c r="N1314" i="8"/>
  <c r="N1315" i="8"/>
  <c r="N1316" i="8"/>
  <c r="N1317" i="8"/>
  <c r="N1318" i="8"/>
  <c r="N1319" i="8"/>
  <c r="N1320" i="8"/>
  <c r="N1321" i="8"/>
  <c r="N1322" i="8"/>
  <c r="N1323" i="8"/>
  <c r="N1324" i="8"/>
  <c r="N1325" i="8"/>
  <c r="N1326" i="8"/>
  <c r="N1327" i="8"/>
  <c r="N1328" i="8"/>
  <c r="N1329" i="8"/>
  <c r="N1330" i="8"/>
  <c r="N1331" i="8"/>
  <c r="N1332" i="8"/>
  <c r="N1333" i="8"/>
  <c r="N1334" i="8"/>
  <c r="N1335" i="8"/>
  <c r="N1336" i="8"/>
  <c r="N1337" i="8"/>
  <c r="N1338" i="8"/>
  <c r="N1339" i="8"/>
  <c r="N1340" i="8"/>
  <c r="N1341" i="8"/>
  <c r="N1342" i="8"/>
  <c r="N1343" i="8"/>
  <c r="N1344" i="8"/>
  <c r="N1345" i="8"/>
  <c r="N1346" i="8"/>
  <c r="N1347" i="8"/>
  <c r="N1348" i="8"/>
  <c r="N1349" i="8"/>
  <c r="N1350" i="8"/>
  <c r="N1351" i="8"/>
  <c r="N1352" i="8"/>
  <c r="N1353" i="8"/>
  <c r="N1354" i="8"/>
  <c r="N1355" i="8"/>
  <c r="N1356" i="8"/>
  <c r="N1357" i="8"/>
  <c r="N1358" i="8"/>
  <c r="N1359" i="8"/>
  <c r="N1360" i="8"/>
  <c r="N1361" i="8"/>
  <c r="N1362" i="8"/>
  <c r="N1363" i="8"/>
  <c r="N1364" i="8"/>
  <c r="N1365" i="8"/>
  <c r="N1366" i="8"/>
  <c r="N1367" i="8"/>
  <c r="N1368" i="8"/>
  <c r="N1369" i="8"/>
  <c r="N1370" i="8"/>
  <c r="N1371" i="8"/>
  <c r="N1372" i="8"/>
  <c r="N1373" i="8"/>
  <c r="N1374" i="8"/>
  <c r="N1375" i="8"/>
  <c r="N1376" i="8"/>
  <c r="N1377" i="8"/>
  <c r="N1378" i="8"/>
  <c r="N1379" i="8"/>
  <c r="N1380" i="8"/>
  <c r="N1381" i="8"/>
  <c r="N1382" i="8"/>
  <c r="N1383" i="8"/>
  <c r="N1384" i="8"/>
  <c r="N1385" i="8"/>
  <c r="N1386" i="8"/>
  <c r="N1387" i="8"/>
  <c r="N1388" i="8"/>
  <c r="N1389" i="8"/>
  <c r="N1390" i="8"/>
  <c r="N1391" i="8"/>
  <c r="N1392" i="8"/>
  <c r="N1393" i="8"/>
  <c r="N1394" i="8"/>
  <c r="N1395" i="8"/>
  <c r="N1396" i="8"/>
  <c r="N1397" i="8"/>
  <c r="N1398" i="8"/>
  <c r="N1399" i="8"/>
  <c r="N1400" i="8"/>
  <c r="N1401" i="8"/>
  <c r="N1402" i="8"/>
  <c r="N1403" i="8"/>
  <c r="N1404" i="8"/>
  <c r="N1405" i="8"/>
  <c r="N1406" i="8"/>
  <c r="N1407" i="8"/>
  <c r="N1408" i="8"/>
  <c r="N1409" i="8"/>
  <c r="N1410" i="8"/>
  <c r="N1411" i="8"/>
  <c r="N1412" i="8"/>
  <c r="N1413" i="8"/>
  <c r="N1414" i="8"/>
  <c r="N1415" i="8"/>
  <c r="N1416" i="8"/>
  <c r="N1417" i="8"/>
  <c r="N1418" i="8"/>
  <c r="N1419" i="8"/>
  <c r="N1420" i="8"/>
  <c r="N1421" i="8"/>
  <c r="N1422" i="8"/>
  <c r="N1423" i="8"/>
  <c r="N1424" i="8"/>
  <c r="N1425" i="8"/>
  <c r="N1426" i="8"/>
  <c r="N1427" i="8"/>
  <c r="N1428" i="8"/>
  <c r="N1429" i="8"/>
  <c r="N1430" i="8"/>
  <c r="N1431" i="8"/>
  <c r="N1432" i="8"/>
  <c r="N1433" i="8"/>
  <c r="N1434" i="8"/>
  <c r="N1435" i="8"/>
  <c r="N1436" i="8"/>
  <c r="N1437" i="8"/>
  <c r="N1438" i="8"/>
  <c r="N1439" i="8"/>
  <c r="N1440" i="8"/>
  <c r="N1441" i="8"/>
  <c r="N1442" i="8"/>
  <c r="N1443" i="8"/>
  <c r="N1444" i="8"/>
  <c r="N1445" i="8"/>
  <c r="N1446" i="8"/>
  <c r="N1447" i="8"/>
  <c r="N1448" i="8"/>
  <c r="N1449" i="8"/>
  <c r="N1450" i="8"/>
  <c r="N1451" i="8"/>
  <c r="N1452" i="8"/>
  <c r="N1453" i="8"/>
  <c r="N1454" i="8"/>
  <c r="N1455" i="8"/>
  <c r="N1456" i="8"/>
  <c r="N1457" i="8"/>
  <c r="N1458" i="8"/>
  <c r="N1459" i="8"/>
  <c r="N1460" i="8"/>
  <c r="N1461" i="8"/>
  <c r="N1462" i="8"/>
  <c r="N1463" i="8"/>
  <c r="N1464" i="8"/>
  <c r="N1465" i="8"/>
  <c r="N1466" i="8"/>
  <c r="N1467" i="8"/>
  <c r="N1468" i="8"/>
  <c r="N1469" i="8"/>
  <c r="N1470" i="8"/>
  <c r="N1471" i="8"/>
  <c r="N1472" i="8"/>
  <c r="N1473" i="8"/>
  <c r="N1474" i="8"/>
  <c r="N1475" i="8"/>
  <c r="N1476" i="8"/>
  <c r="N1477" i="8"/>
  <c r="N1478" i="8"/>
  <c r="N1479" i="8"/>
  <c r="N1480" i="8"/>
  <c r="N1481" i="8"/>
  <c r="N1482" i="8"/>
  <c r="N1483" i="8"/>
  <c r="N1484" i="8"/>
  <c r="N1485" i="8"/>
  <c r="N1486" i="8"/>
  <c r="N1487" i="8"/>
  <c r="N1488" i="8"/>
  <c r="N1489" i="8"/>
  <c r="N1490" i="8"/>
  <c r="N1491" i="8"/>
  <c r="N1492" i="8"/>
  <c r="N1493" i="8"/>
  <c r="N1494" i="8"/>
  <c r="N1495" i="8"/>
  <c r="N1496" i="8"/>
  <c r="N1497" i="8"/>
  <c r="N1498" i="8"/>
  <c r="N1499" i="8"/>
  <c r="N1500" i="8"/>
  <c r="N1501" i="8"/>
  <c r="N1502" i="8"/>
  <c r="N1503" i="8"/>
  <c r="N1504" i="8"/>
  <c r="N1505" i="8"/>
  <c r="N1506" i="8"/>
  <c r="N1507" i="8"/>
  <c r="N1508" i="8"/>
  <c r="N1509" i="8"/>
  <c r="N1510" i="8"/>
  <c r="N1511" i="8"/>
  <c r="N1512" i="8"/>
  <c r="N1513" i="8"/>
  <c r="N1514" i="8"/>
  <c r="N1515" i="8"/>
  <c r="N1516" i="8"/>
  <c r="N1517" i="8"/>
  <c r="N1518" i="8"/>
  <c r="N1519" i="8"/>
  <c r="N1520" i="8"/>
  <c r="N1521" i="8"/>
  <c r="N1522" i="8"/>
  <c r="N1523" i="8"/>
  <c r="N1524" i="8"/>
  <c r="N1525" i="8"/>
  <c r="N1526" i="8"/>
  <c r="N1527" i="8"/>
  <c r="N1528" i="8"/>
  <c r="N1529" i="8"/>
  <c r="N1530" i="8"/>
  <c r="N1531" i="8"/>
  <c r="N1532" i="8"/>
  <c r="N1533" i="8"/>
  <c r="N1534" i="8"/>
  <c r="N1535" i="8"/>
  <c r="N1536" i="8"/>
  <c r="N1537" i="8"/>
  <c r="N1538" i="8"/>
  <c r="N1539" i="8"/>
  <c r="N1540" i="8"/>
  <c r="N1541" i="8"/>
  <c r="N1542" i="8"/>
  <c r="N1543" i="8"/>
  <c r="N1544" i="8"/>
  <c r="N1545" i="8"/>
  <c r="N1546" i="8"/>
  <c r="N1547" i="8"/>
  <c r="N1548" i="8"/>
  <c r="N1549" i="8"/>
  <c r="N1550" i="8"/>
  <c r="N1551" i="8"/>
  <c r="N1552" i="8"/>
  <c r="N1553" i="8"/>
  <c r="N1554" i="8"/>
  <c r="N1555" i="8"/>
  <c r="N1556" i="8"/>
  <c r="N1557" i="8"/>
  <c r="N1558" i="8"/>
  <c r="N1559" i="8"/>
  <c r="N1560" i="8"/>
  <c r="N1561" i="8"/>
  <c r="N1562" i="8"/>
  <c r="N1563" i="8"/>
  <c r="N1564" i="8"/>
  <c r="N1565" i="8"/>
  <c r="N1566" i="8"/>
  <c r="N1567" i="8"/>
  <c r="N1568" i="8"/>
  <c r="N1569" i="8"/>
  <c r="N1570" i="8"/>
  <c r="N1571" i="8"/>
  <c r="N1572" i="8"/>
  <c r="N1573" i="8"/>
  <c r="N1574" i="8"/>
  <c r="N1575" i="8"/>
  <c r="N1576" i="8"/>
  <c r="N1577" i="8"/>
  <c r="N1578" i="8"/>
  <c r="N1579" i="8"/>
  <c r="N1580" i="8"/>
  <c r="N1581" i="8"/>
  <c r="N1582" i="8"/>
  <c r="N1583" i="8"/>
  <c r="N1584" i="8"/>
  <c r="N1585" i="8"/>
  <c r="N1586" i="8"/>
  <c r="N1587" i="8"/>
  <c r="N1588" i="8"/>
  <c r="N1589" i="8"/>
  <c r="N1590" i="8"/>
  <c r="N1591" i="8"/>
  <c r="N1592" i="8"/>
  <c r="N1593" i="8"/>
  <c r="N1594" i="8"/>
  <c r="N1595" i="8"/>
  <c r="N1596" i="8"/>
  <c r="N1597" i="8"/>
  <c r="N1598" i="8"/>
  <c r="N1599" i="8"/>
  <c r="N1600" i="8"/>
  <c r="N1601" i="8"/>
  <c r="N1602" i="8"/>
  <c r="N1603" i="8"/>
  <c r="N1604" i="8"/>
  <c r="N1605" i="8"/>
  <c r="N1606" i="8"/>
  <c r="N1607" i="8"/>
  <c r="N1608" i="8"/>
  <c r="N1609" i="8"/>
  <c r="N1610" i="8"/>
  <c r="N1611" i="8"/>
  <c r="N1612" i="8"/>
  <c r="N1613" i="8"/>
  <c r="N1614" i="8"/>
  <c r="N1615" i="8"/>
  <c r="N1616" i="8"/>
  <c r="N1617" i="8"/>
  <c r="N1618" i="8"/>
  <c r="N1619" i="8"/>
  <c r="N1620" i="8"/>
  <c r="N1621" i="8"/>
  <c r="N1622" i="8"/>
  <c r="N1623" i="8"/>
  <c r="N1624" i="8"/>
  <c r="N1625" i="8"/>
  <c r="N1626" i="8"/>
  <c r="N1627" i="8"/>
  <c r="N1628" i="8"/>
  <c r="N1629" i="8"/>
  <c r="N1630" i="8"/>
  <c r="N1631" i="8"/>
  <c r="N1632" i="8"/>
  <c r="N1633" i="8"/>
  <c r="N1634" i="8"/>
  <c r="N1635" i="8"/>
  <c r="N1636" i="8"/>
  <c r="N1637" i="8"/>
  <c r="N1638" i="8"/>
  <c r="N1639" i="8"/>
  <c r="N1640" i="8"/>
  <c r="N1641" i="8"/>
  <c r="N1642" i="8"/>
  <c r="N1643" i="8"/>
  <c r="N1644" i="8"/>
  <c r="N1645" i="8"/>
  <c r="N1646" i="8"/>
  <c r="N1647" i="8"/>
  <c r="N1648" i="8"/>
  <c r="N1649" i="8"/>
  <c r="N1650" i="8"/>
  <c r="N1651" i="8"/>
  <c r="N1652" i="8"/>
  <c r="N1653" i="8"/>
  <c r="N1654" i="8"/>
  <c r="N1655" i="8"/>
  <c r="N1656" i="8"/>
  <c r="N1657" i="8"/>
  <c r="N1658" i="8"/>
  <c r="N1659" i="8"/>
  <c r="N1660" i="8"/>
  <c r="N1661" i="8"/>
  <c r="N1662" i="8"/>
  <c r="N1663" i="8"/>
  <c r="N1664" i="8"/>
  <c r="N1665" i="8"/>
  <c r="N1666" i="8"/>
  <c r="N1667" i="8"/>
  <c r="N1668" i="8"/>
  <c r="N1669" i="8"/>
  <c r="N1670" i="8"/>
  <c r="N1671" i="8"/>
  <c r="N1672" i="8"/>
  <c r="N1673" i="8"/>
  <c r="N1674" i="8"/>
  <c r="N1675" i="8"/>
  <c r="N1676" i="8"/>
  <c r="N1677" i="8"/>
  <c r="N1678" i="8"/>
  <c r="N1679" i="8"/>
  <c r="N1680" i="8"/>
  <c r="N1681" i="8"/>
  <c r="N1682" i="8"/>
  <c r="N1683" i="8"/>
  <c r="N1684" i="8"/>
  <c r="N1685" i="8"/>
  <c r="N1686" i="8"/>
  <c r="N1687" i="8"/>
  <c r="N1688" i="8"/>
  <c r="N1689" i="8"/>
  <c r="N1690" i="8"/>
  <c r="N1691" i="8"/>
  <c r="N1692" i="8"/>
  <c r="N1693" i="8"/>
  <c r="N1694" i="8"/>
  <c r="N1695" i="8"/>
  <c r="N1696" i="8"/>
  <c r="N1697" i="8"/>
  <c r="N1698" i="8"/>
  <c r="N1699" i="8"/>
  <c r="N1700" i="8"/>
  <c r="N1701" i="8"/>
  <c r="N1702" i="8"/>
  <c r="N1703" i="8"/>
  <c r="N1704" i="8"/>
  <c r="N1705" i="8"/>
  <c r="N1706" i="8"/>
  <c r="N1707" i="8"/>
  <c r="N1708" i="8"/>
  <c r="N1709" i="8"/>
  <c r="N1710" i="8"/>
  <c r="N1711" i="8"/>
  <c r="N1712" i="8"/>
  <c r="N1713" i="8"/>
  <c r="N1714" i="8"/>
  <c r="N1715" i="8"/>
  <c r="N1716" i="8"/>
  <c r="N1717" i="8"/>
  <c r="N1718" i="8"/>
  <c r="N1719" i="8"/>
  <c r="N1720" i="8"/>
  <c r="N1721" i="8"/>
  <c r="N1722" i="8"/>
  <c r="N1723" i="8"/>
  <c r="N1724" i="8"/>
  <c r="N1725" i="8"/>
  <c r="N1726" i="8"/>
  <c r="N1727" i="8"/>
  <c r="N1728" i="8"/>
  <c r="N1729" i="8"/>
  <c r="N1730" i="8"/>
  <c r="N1731" i="8"/>
  <c r="N1732" i="8"/>
  <c r="N1733" i="8"/>
  <c r="N1734" i="8"/>
  <c r="N1735" i="8"/>
  <c r="N1736" i="8"/>
  <c r="N1737" i="8"/>
  <c r="N1738" i="8"/>
  <c r="N1739" i="8"/>
  <c r="N1740" i="8"/>
  <c r="N1741" i="8"/>
  <c r="N1742" i="8"/>
  <c r="N1743" i="8"/>
  <c r="N1744" i="8"/>
  <c r="N1745" i="8"/>
  <c r="N1746" i="8"/>
  <c r="N1747" i="8"/>
  <c r="N1748" i="8"/>
  <c r="N1749" i="8"/>
  <c r="N1750" i="8"/>
  <c r="N1751" i="8"/>
  <c r="N1752" i="8"/>
  <c r="N1753" i="8"/>
  <c r="N1754" i="8"/>
  <c r="N1755" i="8"/>
  <c r="N1756" i="8"/>
  <c r="N1757" i="8"/>
  <c r="N1758" i="8"/>
  <c r="N1759" i="8"/>
  <c r="N1760" i="8"/>
  <c r="N1761" i="8"/>
  <c r="N1762" i="8"/>
  <c r="N1763" i="8"/>
  <c r="N1764" i="8"/>
  <c r="N1765" i="8"/>
  <c r="N1766" i="8"/>
  <c r="N1767" i="8"/>
  <c r="N1768" i="8"/>
  <c r="N1769" i="8"/>
  <c r="N1770" i="8"/>
  <c r="N1771" i="8"/>
  <c r="N1772" i="8"/>
  <c r="N1773" i="8"/>
  <c r="N1774" i="8"/>
  <c r="N1775" i="8"/>
  <c r="N1776" i="8"/>
  <c r="N1777" i="8"/>
  <c r="N1778" i="8"/>
  <c r="N1779" i="8"/>
  <c r="N1780" i="8"/>
  <c r="N1781" i="8"/>
  <c r="N1782" i="8"/>
  <c r="N1783" i="8"/>
  <c r="N1784" i="8"/>
  <c r="N1785" i="8"/>
  <c r="N1786" i="8"/>
  <c r="N1787" i="8"/>
  <c r="N1788" i="8"/>
  <c r="N1789" i="8"/>
  <c r="N1790" i="8"/>
  <c r="N1791" i="8"/>
  <c r="N1792" i="8"/>
  <c r="N1793" i="8"/>
  <c r="N1794" i="8"/>
  <c r="N1795" i="8"/>
  <c r="N1796" i="8"/>
  <c r="N1797" i="8"/>
  <c r="N1798" i="8"/>
  <c r="N1799" i="8"/>
  <c r="N1800" i="8"/>
  <c r="N1801" i="8"/>
  <c r="N1802" i="8"/>
  <c r="N1803" i="8"/>
  <c r="N1804" i="8"/>
  <c r="N1805" i="8"/>
  <c r="N1806" i="8"/>
  <c r="N1807" i="8"/>
  <c r="N1808" i="8"/>
  <c r="N1809" i="8"/>
  <c r="N1810" i="8"/>
  <c r="N1811" i="8"/>
  <c r="N1812" i="8"/>
  <c r="N1813" i="8"/>
  <c r="N1814" i="8"/>
  <c r="N1815" i="8"/>
  <c r="N1816" i="8"/>
  <c r="N1817" i="8"/>
  <c r="N1818" i="8"/>
  <c r="N1819" i="8"/>
  <c r="N1820" i="8"/>
  <c r="N1821" i="8"/>
  <c r="N1822" i="8"/>
  <c r="N1823" i="8"/>
  <c r="N1824" i="8"/>
  <c r="N1825" i="8"/>
  <c r="N1826" i="8"/>
  <c r="N1827" i="8"/>
  <c r="N1828" i="8"/>
  <c r="N1829" i="8"/>
  <c r="N1830" i="8"/>
  <c r="N1831" i="8"/>
  <c r="N1832" i="8"/>
  <c r="N1833" i="8"/>
  <c r="N1834" i="8"/>
  <c r="N1835" i="8"/>
  <c r="N1836" i="8"/>
  <c r="N1837" i="8"/>
  <c r="N1838" i="8"/>
  <c r="N1839" i="8"/>
  <c r="N1840" i="8"/>
  <c r="N1841" i="8"/>
  <c r="N1842" i="8"/>
  <c r="N1843" i="8"/>
  <c r="N1844" i="8"/>
  <c r="N1845" i="8"/>
  <c r="N1846" i="8"/>
  <c r="N1847" i="8"/>
  <c r="N1848" i="8"/>
  <c r="N1849" i="8"/>
  <c r="N1850" i="8"/>
  <c r="N1851" i="8"/>
  <c r="N1852" i="8"/>
  <c r="N1853" i="8"/>
  <c r="N1854" i="8"/>
  <c r="N1855" i="8"/>
  <c r="N1856" i="8"/>
  <c r="N1857" i="8"/>
  <c r="N1858" i="8"/>
  <c r="N1859" i="8"/>
  <c r="N1860" i="8"/>
  <c r="N1861" i="8"/>
  <c r="N1862" i="8"/>
  <c r="N1863" i="8"/>
  <c r="N1864" i="8"/>
  <c r="N1865" i="8"/>
  <c r="N1866" i="8"/>
  <c r="N1867" i="8"/>
  <c r="N1868" i="8"/>
  <c r="N1869" i="8"/>
  <c r="N1870" i="8"/>
  <c r="N1871" i="8"/>
  <c r="N1872" i="8"/>
  <c r="N1873" i="8"/>
  <c r="N1874" i="8"/>
  <c r="N1875" i="8"/>
  <c r="N1876" i="8"/>
  <c r="N1877" i="8"/>
  <c r="N1878" i="8"/>
  <c r="N1879" i="8"/>
  <c r="N1880" i="8"/>
  <c r="N1881" i="8"/>
  <c r="N1882" i="8"/>
  <c r="N1883" i="8"/>
  <c r="N1884" i="8"/>
  <c r="N1885" i="8"/>
  <c r="N1886" i="8"/>
  <c r="N1887" i="8"/>
  <c r="N1888" i="8"/>
  <c r="N1889" i="8"/>
  <c r="N1890" i="8"/>
  <c r="N1891" i="8"/>
  <c r="N1892" i="8"/>
  <c r="N1893" i="8"/>
  <c r="N1894" i="8"/>
  <c r="N1895" i="8"/>
  <c r="N1896" i="8"/>
  <c r="N1897" i="8"/>
  <c r="N1898" i="8"/>
  <c r="N1899" i="8"/>
  <c r="N1900" i="8"/>
  <c r="N1901" i="8"/>
  <c r="N1902" i="8"/>
  <c r="N1903" i="8"/>
  <c r="N1904" i="8"/>
  <c r="N1905" i="8"/>
  <c r="N1906" i="8"/>
  <c r="N1907" i="8"/>
  <c r="N1908" i="8"/>
  <c r="N1909" i="8"/>
  <c r="N1910" i="8"/>
  <c r="N1911" i="8"/>
  <c r="N1912" i="8"/>
  <c r="N1913" i="8"/>
  <c r="N1914" i="8"/>
  <c r="N1915" i="8"/>
  <c r="N1916" i="8"/>
  <c r="N1917" i="8"/>
  <c r="N1918" i="8"/>
  <c r="N1919" i="8"/>
  <c r="N1920" i="8"/>
  <c r="N1921" i="8"/>
  <c r="N1922" i="8"/>
  <c r="N1923" i="8"/>
  <c r="N1924" i="8"/>
  <c r="N1925" i="8"/>
  <c r="N1926" i="8"/>
  <c r="N1927" i="8"/>
  <c r="N1928" i="8"/>
  <c r="N1929" i="8"/>
  <c r="N1930" i="8"/>
  <c r="N1931" i="8"/>
  <c r="N1932" i="8"/>
  <c r="N1933" i="8"/>
  <c r="N1934" i="8"/>
  <c r="N1935" i="8"/>
  <c r="N1936" i="8"/>
  <c r="N1937" i="8"/>
  <c r="N1938" i="8"/>
  <c r="N1939" i="8"/>
  <c r="N1940" i="8"/>
  <c r="N1941" i="8"/>
  <c r="N1942" i="8"/>
  <c r="N1943" i="8"/>
  <c r="N1944" i="8"/>
  <c r="N1945" i="8"/>
  <c r="N1946" i="8"/>
  <c r="N1947" i="8"/>
  <c r="N1948" i="8"/>
  <c r="N1949" i="8"/>
  <c r="N1950" i="8"/>
  <c r="N1951" i="8"/>
  <c r="N1952" i="8"/>
  <c r="N1953" i="8"/>
  <c r="N1954" i="8"/>
  <c r="N1955" i="8"/>
  <c r="N1956" i="8"/>
  <c r="N1957" i="8"/>
  <c r="N1958" i="8"/>
  <c r="N1959" i="8"/>
  <c r="N1960" i="8"/>
  <c r="N1961" i="8"/>
  <c r="N1962" i="8"/>
  <c r="N1963" i="8"/>
  <c r="N1964" i="8"/>
  <c r="N1965" i="8"/>
  <c r="N1966" i="8"/>
  <c r="N1967" i="8"/>
  <c r="N1968" i="8"/>
  <c r="N1969" i="8"/>
  <c r="N1970" i="8"/>
  <c r="N1971" i="8"/>
  <c r="N1972" i="8"/>
  <c r="N1973" i="8"/>
  <c r="N1974" i="8"/>
  <c r="N1975" i="8"/>
  <c r="N1976" i="8"/>
  <c r="N1977" i="8"/>
  <c r="N1978" i="8"/>
  <c r="N1979" i="8"/>
  <c r="N1980" i="8"/>
  <c r="N1981" i="8"/>
  <c r="N1982" i="8"/>
  <c r="N1983" i="8"/>
  <c r="N1984" i="8"/>
  <c r="N1985" i="8"/>
  <c r="N1986" i="8"/>
  <c r="N1987" i="8"/>
  <c r="N1988" i="8"/>
  <c r="N1989" i="8"/>
  <c r="N1990" i="8"/>
  <c r="N1991" i="8"/>
  <c r="N1992" i="8"/>
  <c r="N1993" i="8"/>
  <c r="N1994" i="8"/>
  <c r="N1995" i="8"/>
  <c r="N1996" i="8"/>
  <c r="N1997" i="8"/>
  <c r="N1998" i="8"/>
  <c r="N1999" i="8"/>
  <c r="N2000" i="8"/>
  <c r="N2001" i="8"/>
  <c r="N2002" i="8"/>
  <c r="N2003" i="8"/>
  <c r="N2004" i="8"/>
  <c r="N2005" i="8"/>
  <c r="N2006" i="8"/>
  <c r="N2007" i="8"/>
  <c r="N2008" i="8"/>
  <c r="N2009" i="8"/>
  <c r="N2010" i="8"/>
  <c r="N2011" i="8"/>
  <c r="N2012" i="8"/>
  <c r="N2013" i="8"/>
  <c r="N2014" i="8"/>
  <c r="N2015" i="8"/>
  <c r="N2016" i="8"/>
  <c r="N2017" i="8"/>
  <c r="N2018" i="8"/>
  <c r="N2019" i="8"/>
  <c r="N2020" i="8"/>
  <c r="N2021" i="8"/>
  <c r="N2022" i="8"/>
  <c r="N2023" i="8"/>
  <c r="N2024" i="8"/>
  <c r="N2025" i="8"/>
  <c r="N2026" i="8"/>
  <c r="N2027" i="8"/>
  <c r="N2028" i="8"/>
  <c r="N2029" i="8"/>
  <c r="N2030" i="8"/>
  <c r="N2031" i="8"/>
  <c r="N2032" i="8"/>
  <c r="N2033" i="8"/>
  <c r="N2034" i="8"/>
  <c r="N2035" i="8"/>
  <c r="N2036" i="8"/>
  <c r="N2037" i="8"/>
  <c r="N2038" i="8"/>
  <c r="N2039" i="8"/>
  <c r="N2040" i="8"/>
  <c r="N2041" i="8"/>
  <c r="N2042" i="8"/>
  <c r="N2043" i="8"/>
  <c r="N2044" i="8"/>
  <c r="N2045" i="8"/>
  <c r="N2046" i="8"/>
  <c r="N2047" i="8"/>
  <c r="N2048" i="8"/>
  <c r="N2049" i="8"/>
  <c r="N2050" i="8"/>
  <c r="N2051" i="8"/>
  <c r="N2052" i="8"/>
  <c r="N2053" i="8"/>
  <c r="N2054" i="8"/>
  <c r="N2055" i="8"/>
  <c r="N2056" i="8"/>
  <c r="N2057" i="8"/>
  <c r="N2058" i="8"/>
  <c r="N2059" i="8"/>
  <c r="N2060" i="8"/>
  <c r="N2061" i="8"/>
  <c r="N2062" i="8"/>
  <c r="N2063" i="8"/>
  <c r="N2064" i="8"/>
  <c r="N2065" i="8"/>
  <c r="N2066" i="8"/>
  <c r="N2067" i="8"/>
  <c r="N2068" i="8"/>
  <c r="N2069" i="8"/>
  <c r="N2070" i="8"/>
  <c r="N2071" i="8"/>
  <c r="N2072" i="8"/>
  <c r="N2073" i="8"/>
  <c r="N2074" i="8"/>
  <c r="N2075" i="8"/>
  <c r="N2076" i="8"/>
  <c r="N2077" i="8"/>
  <c r="N2078" i="8"/>
  <c r="N2079" i="8"/>
  <c r="N2080" i="8"/>
  <c r="N2081" i="8"/>
  <c r="N2082" i="8"/>
  <c r="N2083" i="8"/>
  <c r="N2084" i="8"/>
  <c r="N2085" i="8"/>
  <c r="N2086" i="8"/>
  <c r="N2087" i="8"/>
  <c r="N2088" i="8"/>
  <c r="N2089" i="8"/>
  <c r="N2090" i="8"/>
  <c r="N2091" i="8"/>
  <c r="N2092" i="8"/>
  <c r="N2093" i="8"/>
  <c r="N2094" i="8"/>
  <c r="N2095" i="8"/>
  <c r="N2096" i="8"/>
  <c r="N2097" i="8"/>
  <c r="N2098" i="8"/>
  <c r="N2099" i="8"/>
  <c r="N2100" i="8"/>
  <c r="N2101" i="8"/>
  <c r="N2102" i="8"/>
  <c r="N2103" i="8"/>
  <c r="N2104" i="8"/>
  <c r="N2105" i="8"/>
  <c r="N2106" i="8"/>
  <c r="N2107" i="8"/>
  <c r="N2108" i="8"/>
  <c r="N2109" i="8"/>
  <c r="N2110" i="8"/>
  <c r="N2111" i="8"/>
  <c r="N2112" i="8"/>
  <c r="N2113" i="8"/>
  <c r="N2114" i="8"/>
  <c r="N2115" i="8"/>
  <c r="N2116" i="8"/>
  <c r="N2117" i="8"/>
  <c r="N2118" i="8"/>
  <c r="N2119" i="8"/>
  <c r="N2120" i="8"/>
  <c r="N2121" i="8"/>
  <c r="N2122" i="8"/>
  <c r="N2123" i="8"/>
  <c r="N2124" i="8"/>
  <c r="N2125" i="8"/>
  <c r="N2126" i="8"/>
  <c r="N2127" i="8"/>
  <c r="N2128" i="8"/>
  <c r="N2129" i="8"/>
  <c r="N2130" i="8"/>
  <c r="N2131" i="8"/>
  <c r="N2132" i="8"/>
  <c r="N2133" i="8"/>
  <c r="N2134" i="8"/>
  <c r="N2135" i="8"/>
  <c r="N2136" i="8"/>
  <c r="N2137" i="8"/>
  <c r="N2138" i="8"/>
  <c r="N2139" i="8"/>
  <c r="N2140" i="8"/>
  <c r="N2141" i="8"/>
  <c r="N2142" i="8"/>
  <c r="N2143" i="8"/>
  <c r="N2144" i="8"/>
  <c r="N2145" i="8"/>
  <c r="N2146" i="8"/>
  <c r="N2147" i="8"/>
  <c r="N2148" i="8"/>
  <c r="N2149" i="8"/>
  <c r="N2150" i="8"/>
  <c r="N2151" i="8"/>
  <c r="N2152" i="8"/>
  <c r="N2153" i="8"/>
  <c r="N2154" i="8"/>
  <c r="N2155" i="8"/>
  <c r="N2156" i="8"/>
  <c r="N2157" i="8"/>
  <c r="N2158" i="8"/>
  <c r="N2159" i="8"/>
  <c r="N2160" i="8"/>
  <c r="N2161" i="8"/>
  <c r="N2162" i="8"/>
  <c r="N2163" i="8"/>
  <c r="N2164" i="8"/>
  <c r="N2165" i="8"/>
  <c r="N2166" i="8"/>
  <c r="N2167" i="8"/>
  <c r="N2168" i="8"/>
  <c r="N2169" i="8"/>
  <c r="N2170" i="8"/>
  <c r="N2171" i="8"/>
  <c r="N2172" i="8"/>
  <c r="N2173" i="8"/>
  <c r="N2174" i="8"/>
  <c r="N2175" i="8"/>
  <c r="N2176" i="8"/>
  <c r="N2177" i="8"/>
  <c r="N2178" i="8"/>
  <c r="N2179" i="8"/>
  <c r="N2180" i="8"/>
  <c r="N2181" i="8"/>
  <c r="N2182" i="8"/>
  <c r="N2183" i="8"/>
  <c r="N2184" i="8"/>
  <c r="N2185" i="8"/>
  <c r="N2186" i="8"/>
  <c r="N2187" i="8"/>
  <c r="N2188" i="8"/>
  <c r="N2189" i="8"/>
  <c r="N2190" i="8"/>
  <c r="N2191" i="8"/>
  <c r="N2192" i="8"/>
  <c r="N2193" i="8"/>
  <c r="N2194" i="8"/>
  <c r="N2195" i="8"/>
  <c r="N2196" i="8"/>
  <c r="N2197" i="8"/>
  <c r="N2198" i="8"/>
  <c r="N2199" i="8"/>
  <c r="N2200" i="8"/>
  <c r="N2201" i="8"/>
  <c r="N2202" i="8"/>
  <c r="N2203" i="8"/>
  <c r="N2204" i="8"/>
  <c r="N2205" i="8"/>
  <c r="N2206" i="8"/>
  <c r="N2207" i="8"/>
  <c r="N2208" i="8"/>
  <c r="N2209" i="8"/>
  <c r="N2210" i="8"/>
  <c r="N2211" i="8"/>
  <c r="N2212" i="8"/>
  <c r="N2213" i="8"/>
  <c r="N2214" i="8"/>
  <c r="N2215" i="8"/>
  <c r="N2216" i="8"/>
  <c r="N2217" i="8"/>
  <c r="N2218" i="8"/>
  <c r="N2219" i="8"/>
  <c r="N2220" i="8"/>
  <c r="N2221" i="8"/>
  <c r="N2222" i="8"/>
  <c r="N2223" i="8"/>
  <c r="N2224" i="8"/>
  <c r="N2225" i="8"/>
  <c r="N2226" i="8"/>
  <c r="N2227" i="8"/>
  <c r="N2228" i="8"/>
  <c r="N2229" i="8"/>
  <c r="N2230" i="8"/>
  <c r="N2231" i="8"/>
  <c r="N2232" i="8"/>
  <c r="N2233" i="8"/>
  <c r="N2234" i="8"/>
  <c r="N2235" i="8"/>
  <c r="N2236" i="8"/>
  <c r="N2237" i="8"/>
  <c r="N2238" i="8"/>
  <c r="N2239" i="8"/>
  <c r="N2240" i="8"/>
  <c r="N2241" i="8"/>
  <c r="N2242" i="8"/>
  <c r="N2243" i="8"/>
  <c r="N2244" i="8"/>
  <c r="N2245" i="8"/>
  <c r="N2246" i="8"/>
  <c r="N2247" i="8"/>
  <c r="N2248" i="8"/>
  <c r="N2249" i="8"/>
  <c r="N2250" i="8"/>
  <c r="N2251" i="8"/>
  <c r="N2252" i="8"/>
  <c r="N2253" i="8"/>
  <c r="N2254" i="8"/>
  <c r="N2255" i="8"/>
  <c r="N2256" i="8"/>
  <c r="N2257" i="8"/>
  <c r="N2258" i="8"/>
  <c r="N2259" i="8"/>
  <c r="N2260" i="8"/>
  <c r="N2261" i="8"/>
  <c r="N2262" i="8"/>
  <c r="N2263" i="8"/>
  <c r="N2264" i="8"/>
  <c r="N2265" i="8"/>
  <c r="N2266" i="8"/>
  <c r="N2267" i="8"/>
  <c r="N2268" i="8"/>
  <c r="N2269" i="8"/>
  <c r="N2270" i="8"/>
  <c r="N2271" i="8"/>
  <c r="N2272" i="8"/>
  <c r="N2273" i="8"/>
  <c r="N2274" i="8"/>
  <c r="N2275" i="8"/>
  <c r="N2276" i="8"/>
  <c r="N2277" i="8"/>
  <c r="N2278" i="8"/>
  <c r="N2279" i="8"/>
  <c r="N2280" i="8"/>
  <c r="N2281" i="8"/>
  <c r="N2282" i="8"/>
  <c r="N2283" i="8"/>
  <c r="N2284" i="8"/>
  <c r="N2285" i="8"/>
  <c r="N2286" i="8"/>
  <c r="N2287" i="8"/>
  <c r="N2288" i="8"/>
  <c r="N2289" i="8"/>
  <c r="N2290" i="8"/>
  <c r="N2291" i="8"/>
  <c r="N2292" i="8"/>
  <c r="N2293" i="8"/>
  <c r="N2294" i="8"/>
  <c r="N2295" i="8"/>
  <c r="N2296" i="8"/>
  <c r="N2297" i="8"/>
  <c r="N2298" i="8"/>
  <c r="N2299" i="8"/>
  <c r="N2300" i="8"/>
  <c r="N2301" i="8"/>
  <c r="N2302" i="8"/>
  <c r="N2303" i="8"/>
  <c r="N2304" i="8"/>
  <c r="N2305" i="8"/>
  <c r="N2306" i="8"/>
  <c r="N2307" i="8"/>
  <c r="N2308" i="8"/>
  <c r="N2309" i="8"/>
  <c r="N2310" i="8"/>
  <c r="N2311" i="8"/>
  <c r="N2312" i="8"/>
  <c r="N2313" i="8"/>
  <c r="N2314" i="8"/>
  <c r="N2315" i="8"/>
  <c r="N2316" i="8"/>
  <c r="N2317" i="8"/>
  <c r="N2318" i="8"/>
  <c r="N2319" i="8"/>
  <c r="N2320" i="8"/>
  <c r="N2321" i="8"/>
  <c r="N2322" i="8"/>
  <c r="N2323" i="8"/>
  <c r="N2324" i="8"/>
  <c r="N2325" i="8"/>
  <c r="N2326" i="8"/>
  <c r="N2327" i="8"/>
  <c r="N2328" i="8"/>
  <c r="N2329" i="8"/>
  <c r="N2330" i="8"/>
  <c r="N2331" i="8"/>
  <c r="N2332" i="8"/>
  <c r="N2333" i="8"/>
  <c r="N2334" i="8"/>
  <c r="N2335" i="8"/>
  <c r="N2336" i="8"/>
  <c r="N2337" i="8"/>
  <c r="N2338" i="8"/>
  <c r="N2339" i="8"/>
  <c r="N2340" i="8"/>
  <c r="N2341" i="8"/>
  <c r="N2342" i="8"/>
  <c r="N2343" i="8"/>
  <c r="N2344" i="8"/>
  <c r="N2345" i="8"/>
  <c r="N2346" i="8"/>
  <c r="N2347" i="8"/>
  <c r="N2348" i="8"/>
  <c r="N2349" i="8"/>
  <c r="N2350" i="8"/>
  <c r="N2351" i="8"/>
  <c r="N2352" i="8"/>
  <c r="N2353" i="8"/>
  <c r="N2354" i="8"/>
  <c r="N2355" i="8"/>
  <c r="N2356" i="8"/>
  <c r="N2357" i="8"/>
  <c r="N2358" i="8"/>
  <c r="N2359" i="8"/>
  <c r="N2360" i="8"/>
  <c r="N2361" i="8"/>
  <c r="N2362" i="8"/>
  <c r="N2363" i="8"/>
  <c r="N2364" i="8"/>
  <c r="N2365" i="8"/>
  <c r="N2366" i="8"/>
  <c r="N2367" i="8"/>
  <c r="N2368" i="8"/>
  <c r="N2369" i="8"/>
  <c r="N2370" i="8"/>
  <c r="N2371" i="8"/>
  <c r="N2372" i="8"/>
  <c r="N2373" i="8"/>
  <c r="N2374" i="8"/>
  <c r="N2375" i="8"/>
  <c r="N2376" i="8"/>
  <c r="N2377" i="8"/>
  <c r="N2378" i="8"/>
  <c r="N2379" i="8"/>
  <c r="N2380" i="8"/>
  <c r="N2381" i="8"/>
  <c r="N2382" i="8"/>
  <c r="N2383" i="8"/>
  <c r="N2384" i="8"/>
  <c r="N2385" i="8"/>
  <c r="N2386" i="8"/>
  <c r="N2387" i="8"/>
  <c r="N2388" i="8"/>
  <c r="N2389" i="8"/>
  <c r="N2390" i="8"/>
  <c r="N2391" i="8"/>
  <c r="N2392" i="8"/>
  <c r="N2393" i="8"/>
  <c r="N2394" i="8"/>
  <c r="N2395" i="8"/>
  <c r="N2396" i="8"/>
  <c r="N2397" i="8"/>
  <c r="N2398" i="8"/>
  <c r="N2399" i="8"/>
  <c r="N2400" i="8"/>
  <c r="N2401" i="8"/>
  <c r="N2402" i="8"/>
  <c r="N2403" i="8"/>
  <c r="N2404" i="8"/>
  <c r="N2405" i="8"/>
  <c r="N2406" i="8"/>
  <c r="N2407" i="8"/>
  <c r="N2408" i="8"/>
  <c r="N2409" i="8"/>
  <c r="N2410" i="8"/>
  <c r="N2411" i="8"/>
  <c r="N2412" i="8"/>
  <c r="N2413" i="8"/>
  <c r="N2414" i="8"/>
  <c r="N2415" i="8"/>
  <c r="N2416" i="8"/>
  <c r="N2417" i="8"/>
  <c r="N2418" i="8"/>
  <c r="N2419" i="8"/>
  <c r="N2420" i="8"/>
  <c r="N2421" i="8"/>
  <c r="N2422" i="8"/>
  <c r="N2423" i="8"/>
  <c r="N2424" i="8"/>
  <c r="N2425" i="8"/>
  <c r="N2426" i="8"/>
  <c r="N2427" i="8"/>
  <c r="N2428" i="8"/>
  <c r="N2429" i="8"/>
  <c r="N2430" i="8"/>
  <c r="N2431" i="8"/>
  <c r="N2432" i="8"/>
  <c r="N2433" i="8"/>
  <c r="N2434" i="8"/>
  <c r="N2435" i="8"/>
  <c r="N2436" i="8"/>
  <c r="N2437" i="8"/>
  <c r="N2438" i="8"/>
  <c r="N2439" i="8"/>
  <c r="N2440" i="8"/>
  <c r="N2441" i="8"/>
  <c r="N2442" i="8"/>
  <c r="N2443" i="8"/>
  <c r="N2444" i="8"/>
  <c r="N2445" i="8"/>
  <c r="N2446" i="8"/>
  <c r="N2447" i="8"/>
  <c r="N2448" i="8"/>
  <c r="N2449" i="8"/>
  <c r="N2450" i="8"/>
  <c r="N2451" i="8"/>
  <c r="N2452" i="8"/>
  <c r="N2453" i="8"/>
  <c r="N2454" i="8"/>
  <c r="N2455" i="8"/>
  <c r="N2456" i="8"/>
  <c r="N2457" i="8"/>
  <c r="N2458" i="8"/>
  <c r="N2459" i="8"/>
  <c r="N2460" i="8"/>
  <c r="N2461" i="8"/>
  <c r="N2462" i="8"/>
  <c r="N2463" i="8"/>
  <c r="N2464" i="8"/>
  <c r="N2465" i="8"/>
  <c r="N2466" i="8"/>
  <c r="N2467" i="8"/>
  <c r="N2468" i="8"/>
  <c r="N2469" i="8"/>
  <c r="N2470" i="8"/>
  <c r="N2471" i="8"/>
  <c r="N2472" i="8"/>
  <c r="N2473" i="8"/>
  <c r="N2474" i="8"/>
  <c r="N2475" i="8"/>
  <c r="N2476" i="8"/>
  <c r="N2477" i="8"/>
  <c r="N2478" i="8"/>
  <c r="N2479" i="8"/>
  <c r="N2480" i="8"/>
  <c r="N2481" i="8"/>
  <c r="N2482" i="8"/>
  <c r="N2483" i="8"/>
  <c r="N2484" i="8"/>
  <c r="N2485" i="8"/>
  <c r="N2486" i="8"/>
  <c r="N2487" i="8"/>
  <c r="N2488" i="8"/>
  <c r="N2489" i="8"/>
  <c r="N2490" i="8"/>
  <c r="N2491" i="8"/>
  <c r="N2492" i="8"/>
  <c r="N2493" i="8"/>
  <c r="N2494" i="8"/>
  <c r="N2495" i="8"/>
  <c r="N2496" i="8"/>
  <c r="N2497" i="8"/>
  <c r="N2498" i="8"/>
  <c r="N2499" i="8"/>
  <c r="N2500" i="8"/>
  <c r="N2501" i="8"/>
  <c r="N2502" i="8"/>
  <c r="N2503" i="8"/>
  <c r="N2504" i="8"/>
  <c r="N2505" i="8"/>
  <c r="N2506" i="8"/>
  <c r="N2507" i="8"/>
  <c r="N2508" i="8"/>
  <c r="N2509" i="8"/>
  <c r="N2510" i="8"/>
  <c r="N2511" i="8"/>
  <c r="N2512" i="8"/>
  <c r="N2513" i="8"/>
  <c r="N2514" i="8"/>
  <c r="N2515" i="8"/>
  <c r="N2516" i="8"/>
  <c r="N2517" i="8"/>
  <c r="N2518" i="8"/>
  <c r="L2519" i="8"/>
  <c r="M2519" i="8"/>
  <c r="M3" i="8"/>
  <c r="L4" i="8"/>
  <c r="M4" i="8"/>
  <c r="L5" i="8"/>
  <c r="M5" i="8"/>
  <c r="L6" i="8"/>
  <c r="M6" i="8"/>
  <c r="L7" i="8"/>
  <c r="M7" i="8"/>
  <c r="L8" i="8"/>
  <c r="M8" i="8"/>
  <c r="E20" i="15"/>
  <c r="D6" i="14"/>
  <c r="E3" i="15"/>
  <c r="E4" i="15"/>
  <c r="E7" i="15"/>
  <c r="E43" i="14"/>
  <c r="E8" i="15"/>
  <c r="E22" i="14"/>
  <c r="D4" i="15"/>
  <c r="D7" i="15"/>
  <c r="D43" i="14"/>
  <c r="D8" i="15"/>
  <c r="D22" i="14"/>
  <c r="D5" i="14"/>
  <c r="D19" i="14"/>
  <c r="D20" i="14"/>
  <c r="D16" i="14"/>
  <c r="D15" i="14"/>
  <c r="D14" i="14"/>
  <c r="N44" i="16"/>
  <c r="O44" i="16"/>
  <c r="O43" i="16"/>
  <c r="N43" i="16"/>
  <c r="M33" i="16"/>
  <c r="M34" i="16"/>
  <c r="M35" i="16"/>
  <c r="M36" i="16"/>
  <c r="M37" i="16"/>
  <c r="M38" i="16"/>
  <c r="M40" i="16"/>
  <c r="M41" i="16"/>
  <c r="M42" i="16"/>
  <c r="M43" i="16"/>
  <c r="L37" i="16"/>
  <c r="L36" i="16"/>
  <c r="L35" i="16"/>
  <c r="L34" i="16"/>
  <c r="L38" i="16"/>
  <c r="L40" i="16"/>
  <c r="L41" i="16"/>
  <c r="L42" i="16"/>
  <c r="L33" i="16"/>
  <c r="M44" i="16"/>
  <c r="L44" i="16"/>
  <c r="L43" i="16"/>
  <c r="G15" i="16"/>
  <c r="G14" i="16"/>
  <c r="H14" i="11"/>
  <c r="E61" i="17"/>
  <c r="M5" i="14"/>
  <c r="I5" i="14"/>
  <c r="P5" i="14"/>
  <c r="L66" i="17"/>
  <c r="F4" i="12"/>
  <c r="G4" i="12"/>
  <c r="J4" i="12"/>
  <c r="K4" i="12"/>
  <c r="L4" i="12"/>
  <c r="M4" i="12"/>
  <c r="D47" i="12"/>
  <c r="D21" i="12"/>
  <c r="E47" i="12"/>
  <c r="O4" i="15"/>
  <c r="O5" i="15"/>
  <c r="O7" i="15"/>
  <c r="M39" i="12"/>
  <c r="O8" i="15"/>
  <c r="O10" i="15"/>
  <c r="E20" i="14"/>
  <c r="E23" i="14"/>
  <c r="F3" i="15"/>
  <c r="F4" i="15"/>
  <c r="G3" i="15"/>
  <c r="G4" i="15"/>
  <c r="H3" i="15"/>
  <c r="H4" i="15"/>
  <c r="I3" i="15"/>
  <c r="I4" i="15"/>
  <c r="J3" i="15"/>
  <c r="J4" i="15"/>
  <c r="K3" i="15"/>
  <c r="K4" i="15"/>
  <c r="K20" i="14"/>
  <c r="K23" i="14"/>
  <c r="L3" i="15"/>
  <c r="L4" i="15"/>
  <c r="L20" i="14"/>
  <c r="L23" i="14"/>
  <c r="M3" i="15"/>
  <c r="M4" i="15"/>
  <c r="H20" i="14"/>
  <c r="H23" i="14"/>
  <c r="J20" i="14"/>
  <c r="J23" i="14"/>
  <c r="M20" i="14"/>
  <c r="M23" i="14"/>
  <c r="I20" i="14"/>
  <c r="I23" i="14"/>
  <c r="D39" i="12"/>
  <c r="E39" i="12"/>
  <c r="F39" i="12"/>
  <c r="G39" i="12"/>
  <c r="H39" i="12"/>
  <c r="I39" i="12"/>
  <c r="J39" i="12"/>
  <c r="K39" i="12"/>
  <c r="L39" i="12"/>
  <c r="O9" i="15"/>
  <c r="F43" i="14"/>
  <c r="G43" i="14"/>
  <c r="H43" i="14"/>
  <c r="I43" i="14"/>
  <c r="J43" i="14"/>
  <c r="K43" i="14"/>
  <c r="L43" i="14"/>
  <c r="M43" i="14"/>
  <c r="N43" i="14"/>
  <c r="O6" i="15"/>
  <c r="N7" i="16"/>
  <c r="D21" i="14"/>
  <c r="F20" i="14"/>
  <c r="F23" i="14"/>
  <c r="G20" i="14"/>
  <c r="G23" i="14"/>
  <c r="E21" i="12"/>
  <c r="D23" i="14"/>
  <c r="H44" i="14"/>
  <c r="E44" i="14"/>
  <c r="I49" i="14"/>
  <c r="K44" i="14"/>
  <c r="M44" i="14"/>
  <c r="F40" i="14"/>
  <c r="G40" i="14"/>
  <c r="K42" i="14"/>
  <c r="D42" i="14"/>
  <c r="I2518" i="8"/>
  <c r="I2519" i="8"/>
  <c r="R27" i="8"/>
  <c r="R32" i="8"/>
  <c r="R37" i="8"/>
  <c r="R42" i="8"/>
  <c r="R47" i="8"/>
  <c r="R52" i="8"/>
  <c r="R57" i="8"/>
  <c r="R62" i="8"/>
  <c r="R67" i="8"/>
  <c r="R72" i="8"/>
  <c r="R77" i="8"/>
  <c r="R82" i="8"/>
  <c r="R87" i="8"/>
  <c r="R92" i="8"/>
  <c r="R97" i="8"/>
  <c r="R102" i="8"/>
  <c r="R107" i="8"/>
  <c r="R112" i="8"/>
  <c r="R117" i="8"/>
  <c r="R122" i="8"/>
  <c r="R127" i="8"/>
  <c r="R132" i="8"/>
  <c r="R137" i="8"/>
  <c r="R142" i="8"/>
  <c r="R147" i="8"/>
  <c r="R152" i="8"/>
  <c r="R157" i="8"/>
  <c r="R162" i="8"/>
  <c r="R167" i="8"/>
  <c r="R172" i="8"/>
  <c r="R177" i="8"/>
  <c r="R182" i="8"/>
  <c r="R187" i="8"/>
  <c r="R192" i="8"/>
  <c r="R197" i="8"/>
  <c r="R202" i="8"/>
  <c r="R207" i="8"/>
  <c r="R212" i="8"/>
  <c r="R217" i="8"/>
  <c r="R222" i="8"/>
  <c r="R227" i="8"/>
  <c r="R232" i="8"/>
  <c r="R237" i="8"/>
  <c r="R242" i="8"/>
  <c r="R247" i="8"/>
  <c r="R252" i="8"/>
  <c r="R257" i="8"/>
  <c r="R262" i="8"/>
  <c r="R267" i="8"/>
  <c r="R272" i="8"/>
  <c r="R277" i="8"/>
  <c r="R282" i="8"/>
  <c r="R287" i="8"/>
  <c r="R292" i="8"/>
  <c r="R297" i="8"/>
  <c r="R302" i="8"/>
  <c r="R307" i="8"/>
  <c r="R312" i="8"/>
  <c r="R317" i="8"/>
  <c r="R322" i="8"/>
  <c r="R327" i="8"/>
  <c r="R332" i="8"/>
  <c r="R337" i="8"/>
  <c r="R342" i="8"/>
  <c r="R347" i="8"/>
  <c r="R352" i="8"/>
  <c r="R357" i="8"/>
  <c r="R362" i="8"/>
  <c r="R367" i="8"/>
  <c r="R372" i="8"/>
  <c r="R377" i="8"/>
  <c r="R382" i="8"/>
  <c r="R387" i="8"/>
  <c r="R392" i="8"/>
  <c r="R397" i="8"/>
  <c r="R402" i="8"/>
  <c r="R407" i="8"/>
  <c r="R412" i="8"/>
  <c r="R417" i="8"/>
  <c r="R422" i="8"/>
  <c r="R427" i="8"/>
  <c r="R432" i="8"/>
  <c r="R437" i="8"/>
  <c r="R442" i="8"/>
  <c r="R447" i="8"/>
  <c r="R452" i="8"/>
  <c r="R457" i="8"/>
  <c r="R462" i="8"/>
  <c r="R467" i="8"/>
  <c r="R472" i="8"/>
  <c r="R477" i="8"/>
  <c r="R482" i="8"/>
  <c r="R487" i="8"/>
  <c r="R492" i="8"/>
  <c r="R497" i="8"/>
  <c r="R502" i="8"/>
  <c r="R507" i="8"/>
  <c r="R512" i="8"/>
  <c r="R517" i="8"/>
  <c r="R522" i="8"/>
  <c r="R527" i="8"/>
  <c r="R532" i="8"/>
  <c r="R537" i="8"/>
  <c r="R542" i="8"/>
  <c r="R547" i="8"/>
  <c r="R552" i="8"/>
  <c r="R557" i="8"/>
  <c r="R562" i="8"/>
  <c r="R567" i="8"/>
  <c r="R572" i="8"/>
  <c r="R577" i="8"/>
  <c r="R582" i="8"/>
  <c r="R587" i="8"/>
  <c r="R592" i="8"/>
  <c r="R597" i="8"/>
  <c r="R602" i="8"/>
  <c r="R607" i="8"/>
  <c r="R612" i="8"/>
  <c r="R617" i="8"/>
  <c r="R622" i="8"/>
  <c r="R627" i="8"/>
  <c r="R632" i="8"/>
  <c r="R637" i="8"/>
  <c r="R642" i="8"/>
  <c r="R647" i="8"/>
  <c r="R652" i="8"/>
  <c r="R657" i="8"/>
  <c r="R662" i="8"/>
  <c r="R667" i="8"/>
  <c r="R672" i="8"/>
  <c r="R677" i="8"/>
  <c r="R682" i="8"/>
  <c r="R687" i="8"/>
  <c r="R692" i="8"/>
  <c r="R697" i="8"/>
  <c r="R702" i="8"/>
  <c r="R707" i="8"/>
  <c r="R712" i="8"/>
  <c r="R717" i="8"/>
  <c r="R722" i="8"/>
  <c r="R727" i="8"/>
  <c r="R732" i="8"/>
  <c r="R737" i="8"/>
  <c r="R742" i="8"/>
  <c r="R747" i="8"/>
  <c r="R752" i="8"/>
  <c r="R757" i="8"/>
  <c r="R762" i="8"/>
  <c r="R767" i="8"/>
  <c r="R772" i="8"/>
  <c r="R777" i="8"/>
  <c r="R782" i="8"/>
  <c r="R787" i="8"/>
  <c r="R792" i="8"/>
  <c r="R797" i="8"/>
  <c r="R802" i="8"/>
  <c r="R807" i="8"/>
  <c r="R812" i="8"/>
  <c r="R817" i="8"/>
  <c r="R822" i="8"/>
  <c r="R827" i="8"/>
  <c r="R832" i="8"/>
  <c r="R837" i="8"/>
  <c r="R842" i="8"/>
  <c r="R847" i="8"/>
  <c r="R852" i="8"/>
  <c r="R857" i="8"/>
  <c r="R862" i="8"/>
  <c r="R867" i="8"/>
  <c r="R872" i="8"/>
  <c r="R877" i="8"/>
  <c r="R882" i="8"/>
  <c r="R887" i="8"/>
  <c r="R892" i="8"/>
  <c r="R897" i="8"/>
  <c r="R902" i="8"/>
  <c r="R907" i="8"/>
  <c r="R912" i="8"/>
  <c r="R917" i="8"/>
  <c r="R922" i="8"/>
  <c r="R927" i="8"/>
  <c r="R932" i="8"/>
  <c r="R937" i="8"/>
  <c r="R942" i="8"/>
  <c r="R947" i="8"/>
  <c r="R952" i="8"/>
  <c r="R957" i="8"/>
  <c r="R962" i="8"/>
  <c r="R967" i="8"/>
  <c r="R972" i="8"/>
  <c r="R977" i="8"/>
  <c r="R982" i="8"/>
  <c r="R987" i="8"/>
  <c r="R992" i="8"/>
  <c r="R997" i="8"/>
  <c r="R1002" i="8"/>
  <c r="R1007" i="8"/>
  <c r="R1012" i="8"/>
  <c r="R1017" i="8"/>
  <c r="R1022" i="8"/>
  <c r="R1027" i="8"/>
  <c r="R1032" i="8"/>
  <c r="R1037" i="8"/>
  <c r="R1042" i="8"/>
  <c r="R1047" i="8"/>
  <c r="R1052" i="8"/>
  <c r="R1057" i="8"/>
  <c r="R1062" i="8"/>
  <c r="R1067" i="8"/>
  <c r="R1072" i="8"/>
  <c r="R1077" i="8"/>
  <c r="R1082" i="8"/>
  <c r="R1087" i="8"/>
  <c r="R1092" i="8"/>
  <c r="R1097" i="8"/>
  <c r="R1102" i="8"/>
  <c r="R1107" i="8"/>
  <c r="R1112" i="8"/>
  <c r="R1117" i="8"/>
  <c r="R1122" i="8"/>
  <c r="R1127" i="8"/>
  <c r="R1132" i="8"/>
  <c r="R1137" i="8"/>
  <c r="R1142" i="8"/>
  <c r="R1147" i="8"/>
  <c r="R1152" i="8"/>
  <c r="R1157" i="8"/>
  <c r="R1162" i="8"/>
  <c r="R1167" i="8"/>
  <c r="R1172" i="8"/>
  <c r="R1177" i="8"/>
  <c r="R1182" i="8"/>
  <c r="R1187" i="8"/>
  <c r="R1192" i="8"/>
  <c r="R1197" i="8"/>
  <c r="R1202" i="8"/>
  <c r="R1207" i="8"/>
  <c r="R1212" i="8"/>
  <c r="R1217" i="8"/>
  <c r="R1222" i="8"/>
  <c r="R1227" i="8"/>
  <c r="R1232" i="8"/>
  <c r="R1237" i="8"/>
  <c r="R1242" i="8"/>
  <c r="R1247" i="8"/>
  <c r="R1252" i="8"/>
  <c r="R1257" i="8"/>
  <c r="R1262" i="8"/>
  <c r="R1267" i="8"/>
  <c r="R1272" i="8"/>
  <c r="R1277" i="8"/>
  <c r="R1282" i="8"/>
  <c r="R1287" i="8"/>
  <c r="R1292" i="8"/>
  <c r="R1297" i="8"/>
  <c r="R1302" i="8"/>
  <c r="R1307" i="8"/>
  <c r="R1312" i="8"/>
  <c r="R1317" i="8"/>
  <c r="R1322" i="8"/>
  <c r="R1327" i="8"/>
  <c r="R1332" i="8"/>
  <c r="R1337" i="8"/>
  <c r="R1342" i="8"/>
  <c r="R1347" i="8"/>
  <c r="R1352" i="8"/>
  <c r="R1357" i="8"/>
  <c r="R1362" i="8"/>
  <c r="R1367" i="8"/>
  <c r="R1372" i="8"/>
  <c r="R1377" i="8"/>
  <c r="R1382" i="8"/>
  <c r="R1387" i="8"/>
  <c r="R1392" i="8"/>
  <c r="R1397" i="8"/>
  <c r="R1402" i="8"/>
  <c r="R1407" i="8"/>
  <c r="R1412" i="8"/>
  <c r="R1417" i="8"/>
  <c r="R1422" i="8"/>
  <c r="R1427" i="8"/>
  <c r="R1432" i="8"/>
  <c r="R1437" i="8"/>
  <c r="R1442" i="8"/>
  <c r="R1447" i="8"/>
  <c r="R1452" i="8"/>
  <c r="R1457" i="8"/>
  <c r="R1462" i="8"/>
  <c r="R1467" i="8"/>
  <c r="R1472" i="8"/>
  <c r="R1477" i="8"/>
  <c r="R1482" i="8"/>
  <c r="R1487" i="8"/>
  <c r="R1492" i="8"/>
  <c r="R1497" i="8"/>
  <c r="R1502" i="8"/>
  <c r="R1507" i="8"/>
  <c r="R1512" i="8"/>
  <c r="R1517" i="8"/>
  <c r="R1522" i="8"/>
  <c r="R1527" i="8"/>
  <c r="R1532" i="8"/>
  <c r="R1537" i="8"/>
  <c r="R1542" i="8"/>
  <c r="R1547" i="8"/>
  <c r="R1552" i="8"/>
  <c r="R1557" i="8"/>
  <c r="R1562" i="8"/>
  <c r="R1567" i="8"/>
  <c r="R1572" i="8"/>
  <c r="R1577" i="8"/>
  <c r="R1582" i="8"/>
  <c r="R1587" i="8"/>
  <c r="R1592" i="8"/>
  <c r="R1597" i="8"/>
  <c r="R1602" i="8"/>
  <c r="R1607" i="8"/>
  <c r="R1612" i="8"/>
  <c r="R1617" i="8"/>
  <c r="R1622" i="8"/>
  <c r="R1627" i="8"/>
  <c r="R1632" i="8"/>
  <c r="R1637" i="8"/>
  <c r="R1642" i="8"/>
  <c r="R1647" i="8"/>
  <c r="R1652" i="8"/>
  <c r="R1657" i="8"/>
  <c r="R1662" i="8"/>
  <c r="R1667" i="8"/>
  <c r="R1672" i="8"/>
  <c r="R1677" i="8"/>
  <c r="R1682" i="8"/>
  <c r="R1687" i="8"/>
  <c r="R1692" i="8"/>
  <c r="R1697" i="8"/>
  <c r="R1702" i="8"/>
  <c r="R1707" i="8"/>
  <c r="R1712" i="8"/>
  <c r="R1717" i="8"/>
  <c r="R1722" i="8"/>
  <c r="R1727" i="8"/>
  <c r="R1732" i="8"/>
  <c r="R1737" i="8"/>
  <c r="R1742" i="8"/>
  <c r="R1747" i="8"/>
  <c r="R1752" i="8"/>
  <c r="R1757" i="8"/>
  <c r="R1762" i="8"/>
  <c r="R1767" i="8"/>
  <c r="R1772" i="8"/>
  <c r="R1777" i="8"/>
  <c r="R1782" i="8"/>
  <c r="R1787" i="8"/>
  <c r="R1792" i="8"/>
  <c r="R1797" i="8"/>
  <c r="R1802" i="8"/>
  <c r="R1807" i="8"/>
  <c r="R1812" i="8"/>
  <c r="R1817" i="8"/>
  <c r="R1822" i="8"/>
  <c r="R1827" i="8"/>
  <c r="R1832" i="8"/>
  <c r="R1837" i="8"/>
  <c r="R1842" i="8"/>
  <c r="R1847" i="8"/>
  <c r="R1852" i="8"/>
  <c r="R1857" i="8"/>
  <c r="R1862" i="8"/>
  <c r="R1867" i="8"/>
  <c r="R1872" i="8"/>
  <c r="R1877" i="8"/>
  <c r="R1882" i="8"/>
  <c r="R1887" i="8"/>
  <c r="R1892" i="8"/>
  <c r="R1897" i="8"/>
  <c r="R1902" i="8"/>
  <c r="R1907" i="8"/>
  <c r="R1912" i="8"/>
  <c r="R1917" i="8"/>
  <c r="R1922" i="8"/>
  <c r="R1927" i="8"/>
  <c r="R1932" i="8"/>
  <c r="R1937" i="8"/>
  <c r="R1942" i="8"/>
  <c r="R1947" i="8"/>
  <c r="R1952" i="8"/>
  <c r="R1957" i="8"/>
  <c r="R1962" i="8"/>
  <c r="R1967" i="8"/>
  <c r="R1972" i="8"/>
  <c r="R1977" i="8"/>
  <c r="R1982" i="8"/>
  <c r="R1987" i="8"/>
  <c r="R1992" i="8"/>
  <c r="R1997" i="8"/>
  <c r="R2002" i="8"/>
  <c r="R2007" i="8"/>
  <c r="R2012" i="8"/>
  <c r="R2017" i="8"/>
  <c r="R2022" i="8"/>
  <c r="R2027" i="8"/>
  <c r="R2032" i="8"/>
  <c r="R2037" i="8"/>
  <c r="R2042" i="8"/>
  <c r="R2047" i="8"/>
  <c r="R2052" i="8"/>
  <c r="R2057" i="8"/>
  <c r="R2062" i="8"/>
  <c r="R2067" i="8"/>
  <c r="R2072" i="8"/>
  <c r="R2077" i="8"/>
  <c r="R2082" i="8"/>
  <c r="R2087" i="8"/>
  <c r="R2092" i="8"/>
  <c r="R2097" i="8"/>
  <c r="R2102" i="8"/>
  <c r="R2107" i="8"/>
  <c r="R2112" i="8"/>
  <c r="R2117" i="8"/>
  <c r="R2122" i="8"/>
  <c r="R2127" i="8"/>
  <c r="R2132" i="8"/>
  <c r="R2137" i="8"/>
  <c r="R2142" i="8"/>
  <c r="R2147" i="8"/>
  <c r="R2152" i="8"/>
  <c r="R2157" i="8"/>
  <c r="R2162" i="8"/>
  <c r="R2167" i="8"/>
  <c r="R2172" i="8"/>
  <c r="R2177" i="8"/>
  <c r="R2182" i="8"/>
  <c r="R2187" i="8"/>
  <c r="R2192" i="8"/>
  <c r="R2197" i="8"/>
  <c r="R2202" i="8"/>
  <c r="R2207" i="8"/>
  <c r="R2212" i="8"/>
  <c r="R2217" i="8"/>
  <c r="R2222" i="8"/>
  <c r="R2227" i="8"/>
  <c r="R2232" i="8"/>
  <c r="R2237" i="8"/>
  <c r="R2242" i="8"/>
  <c r="R2247" i="8"/>
  <c r="R2252" i="8"/>
  <c r="R2257" i="8"/>
  <c r="R2262" i="8"/>
  <c r="R2267" i="8"/>
  <c r="R2272" i="8"/>
  <c r="R2277" i="8"/>
  <c r="R2282" i="8"/>
  <c r="R2287" i="8"/>
  <c r="R2292" i="8"/>
  <c r="R2297" i="8"/>
  <c r="R2302" i="8"/>
  <c r="R2307" i="8"/>
  <c r="R2312" i="8"/>
  <c r="R2317" i="8"/>
  <c r="R2322" i="8"/>
  <c r="R2327" i="8"/>
  <c r="R2332" i="8"/>
  <c r="R2337" i="8"/>
  <c r="R2342" i="8"/>
  <c r="R2347" i="8"/>
  <c r="R2352" i="8"/>
  <c r="R2357" i="8"/>
  <c r="R2362" i="8"/>
  <c r="R2367" i="8"/>
  <c r="R2372" i="8"/>
  <c r="R2377" i="8"/>
  <c r="R2382" i="8"/>
  <c r="R2387" i="8"/>
  <c r="R2392" i="8"/>
  <c r="R2397" i="8"/>
  <c r="R2402" i="8"/>
  <c r="R2407" i="8"/>
  <c r="R2412" i="8"/>
  <c r="R2417" i="8"/>
  <c r="R2422" i="8"/>
  <c r="R2427" i="8"/>
  <c r="R2432" i="8"/>
  <c r="R2437" i="8"/>
  <c r="R2442" i="8"/>
  <c r="R2447" i="8"/>
  <c r="R2452" i="8"/>
  <c r="R2457" i="8"/>
  <c r="R2462" i="8"/>
  <c r="R2467" i="8"/>
  <c r="R2472" i="8"/>
  <c r="R2477" i="8"/>
  <c r="R2482" i="8"/>
  <c r="R2487" i="8"/>
  <c r="R2492" i="8"/>
  <c r="R2497" i="8"/>
  <c r="R2502" i="8"/>
  <c r="R2507" i="8"/>
  <c r="R2512" i="8"/>
  <c r="R2517" i="8"/>
  <c r="R22" i="8"/>
  <c r="R17" i="8"/>
  <c r="R12" i="8"/>
  <c r="R7"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Q525" i="8"/>
  <c r="Q526" i="8"/>
  <c r="Q527" i="8"/>
  <c r="Q528" i="8"/>
  <c r="Q529" i="8"/>
  <c r="Q530" i="8"/>
  <c r="Q531" i="8"/>
  <c r="Q532" i="8"/>
  <c r="Q533" i="8"/>
  <c r="Q534" i="8"/>
  <c r="Q535" i="8"/>
  <c r="Q536"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704" i="8"/>
  <c r="Q705" i="8"/>
  <c r="Q706" i="8"/>
  <c r="Q707" i="8"/>
  <c r="Q708" i="8"/>
  <c r="Q709" i="8"/>
  <c r="Q710" i="8"/>
  <c r="Q711" i="8"/>
  <c r="Q712" i="8"/>
  <c r="Q713" i="8"/>
  <c r="Q714" i="8"/>
  <c r="Q715" i="8"/>
  <c r="Q716" i="8"/>
  <c r="Q717" i="8"/>
  <c r="Q718" i="8"/>
  <c r="Q719" i="8"/>
  <c r="Q720" i="8"/>
  <c r="Q721" i="8"/>
  <c r="Q722" i="8"/>
  <c r="Q723" i="8"/>
  <c r="Q724" i="8"/>
  <c r="Q725" i="8"/>
  <c r="Q726"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0"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Q994" i="8"/>
  <c r="Q995" i="8"/>
  <c r="Q996" i="8"/>
  <c r="Q997" i="8"/>
  <c r="Q998" i="8"/>
  <c r="Q999" i="8"/>
  <c r="Q1000" i="8"/>
  <c r="Q1001" i="8"/>
  <c r="Q1002" i="8"/>
  <c r="Q1003" i="8"/>
  <c r="Q1004" i="8"/>
  <c r="Q1005" i="8"/>
  <c r="Q1006" i="8"/>
  <c r="Q1007" i="8"/>
  <c r="Q1008" i="8"/>
  <c r="Q1009" i="8"/>
  <c r="Q1010" i="8"/>
  <c r="Q1011" i="8"/>
  <c r="Q1012" i="8"/>
  <c r="Q1013" i="8"/>
  <c r="Q1014" i="8"/>
  <c r="Q1015" i="8"/>
  <c r="Q1016" i="8"/>
  <c r="Q1017" i="8"/>
  <c r="Q1018" i="8"/>
  <c r="Q1019" i="8"/>
  <c r="Q1020" i="8"/>
  <c r="Q1021" i="8"/>
  <c r="Q1022" i="8"/>
  <c r="Q1023" i="8"/>
  <c r="Q1024" i="8"/>
  <c r="Q1025" i="8"/>
  <c r="Q1026" i="8"/>
  <c r="Q1027" i="8"/>
  <c r="Q1028" i="8"/>
  <c r="Q1029" i="8"/>
  <c r="Q1030" i="8"/>
  <c r="Q1031" i="8"/>
  <c r="Q1032" i="8"/>
  <c r="Q1033" i="8"/>
  <c r="Q1034" i="8"/>
  <c r="Q1035" i="8"/>
  <c r="Q1036" i="8"/>
  <c r="Q1037" i="8"/>
  <c r="Q1038" i="8"/>
  <c r="Q1039" i="8"/>
  <c r="Q1040" i="8"/>
  <c r="Q1041" i="8"/>
  <c r="Q1042" i="8"/>
  <c r="Q1043" i="8"/>
  <c r="Q1044" i="8"/>
  <c r="Q1045" i="8"/>
  <c r="Q1046" i="8"/>
  <c r="Q1047" i="8"/>
  <c r="Q1048" i="8"/>
  <c r="Q1049" i="8"/>
  <c r="Q1050" i="8"/>
  <c r="Q1051" i="8"/>
  <c r="Q1052" i="8"/>
  <c r="Q1053" i="8"/>
  <c r="Q1054" i="8"/>
  <c r="Q1055" i="8"/>
  <c r="Q1056" i="8"/>
  <c r="Q1057" i="8"/>
  <c r="Q1058" i="8"/>
  <c r="Q1059" i="8"/>
  <c r="Q1060" i="8"/>
  <c r="Q1061" i="8"/>
  <c r="Q1062" i="8"/>
  <c r="Q1063" i="8"/>
  <c r="Q1064" i="8"/>
  <c r="Q1065" i="8"/>
  <c r="Q1066" i="8"/>
  <c r="Q1067" i="8"/>
  <c r="Q1068" i="8"/>
  <c r="Q1069" i="8"/>
  <c r="Q1070" i="8"/>
  <c r="Q1071" i="8"/>
  <c r="Q1072" i="8"/>
  <c r="Q1073" i="8"/>
  <c r="Q1074" i="8"/>
  <c r="Q1075" i="8"/>
  <c r="Q1076" i="8"/>
  <c r="Q1077" i="8"/>
  <c r="Q1078" i="8"/>
  <c r="Q1079" i="8"/>
  <c r="Q1080" i="8"/>
  <c r="Q1081" i="8"/>
  <c r="Q1082" i="8"/>
  <c r="Q1083" i="8"/>
  <c r="Q1084" i="8"/>
  <c r="Q1085" i="8"/>
  <c r="Q1086" i="8"/>
  <c r="Q1087" i="8"/>
  <c r="Q1088" i="8"/>
  <c r="Q1089" i="8"/>
  <c r="Q1090" i="8"/>
  <c r="Q1091" i="8"/>
  <c r="Q1092" i="8"/>
  <c r="Q1093" i="8"/>
  <c r="Q1094" i="8"/>
  <c r="Q1095" i="8"/>
  <c r="Q1096" i="8"/>
  <c r="Q1097" i="8"/>
  <c r="Q1098" i="8"/>
  <c r="Q1099" i="8"/>
  <c r="Q1100" i="8"/>
  <c r="Q1101" i="8"/>
  <c r="Q1102" i="8"/>
  <c r="Q1103" i="8"/>
  <c r="Q1104" i="8"/>
  <c r="Q1105" i="8"/>
  <c r="Q1106" i="8"/>
  <c r="Q1107" i="8"/>
  <c r="Q1108" i="8"/>
  <c r="Q1109" i="8"/>
  <c r="Q1110" i="8"/>
  <c r="Q1111" i="8"/>
  <c r="Q1112" i="8"/>
  <c r="Q1113" i="8"/>
  <c r="Q1114" i="8"/>
  <c r="Q1115" i="8"/>
  <c r="Q1116" i="8"/>
  <c r="Q1117" i="8"/>
  <c r="Q1118" i="8"/>
  <c r="Q1119" i="8"/>
  <c r="Q1120" i="8"/>
  <c r="Q1121" i="8"/>
  <c r="Q1122" i="8"/>
  <c r="Q1123" i="8"/>
  <c r="Q1124" i="8"/>
  <c r="Q1125" i="8"/>
  <c r="Q1126" i="8"/>
  <c r="Q1127" i="8"/>
  <c r="Q1128" i="8"/>
  <c r="Q1129" i="8"/>
  <c r="Q1130" i="8"/>
  <c r="Q1131" i="8"/>
  <c r="Q1132" i="8"/>
  <c r="Q1133" i="8"/>
  <c r="Q1134" i="8"/>
  <c r="Q1135" i="8"/>
  <c r="Q1136" i="8"/>
  <c r="Q1137" i="8"/>
  <c r="Q1138" i="8"/>
  <c r="Q1139" i="8"/>
  <c r="Q1140" i="8"/>
  <c r="Q1141" i="8"/>
  <c r="Q1142" i="8"/>
  <c r="Q1143" i="8"/>
  <c r="Q1144" i="8"/>
  <c r="Q1145" i="8"/>
  <c r="Q1146" i="8"/>
  <c r="Q1147" i="8"/>
  <c r="Q1148" i="8"/>
  <c r="Q1149" i="8"/>
  <c r="Q1150" i="8"/>
  <c r="Q1151" i="8"/>
  <c r="Q1152" i="8"/>
  <c r="Q1153" i="8"/>
  <c r="Q1154" i="8"/>
  <c r="Q1155" i="8"/>
  <c r="Q1156" i="8"/>
  <c r="Q1157" i="8"/>
  <c r="Q1158" i="8"/>
  <c r="Q1159" i="8"/>
  <c r="Q1160" i="8"/>
  <c r="Q1161" i="8"/>
  <c r="Q1162" i="8"/>
  <c r="Q1163" i="8"/>
  <c r="Q1164" i="8"/>
  <c r="Q1165" i="8"/>
  <c r="Q1166" i="8"/>
  <c r="Q1167" i="8"/>
  <c r="Q1168" i="8"/>
  <c r="Q1169" i="8"/>
  <c r="Q1170" i="8"/>
  <c r="Q1171" i="8"/>
  <c r="Q1172" i="8"/>
  <c r="Q1173" i="8"/>
  <c r="Q1174" i="8"/>
  <c r="Q1175" i="8"/>
  <c r="Q1176" i="8"/>
  <c r="Q1177" i="8"/>
  <c r="Q1178" i="8"/>
  <c r="Q1179" i="8"/>
  <c r="Q1180" i="8"/>
  <c r="Q1181" i="8"/>
  <c r="Q1182" i="8"/>
  <c r="Q1183" i="8"/>
  <c r="Q1184" i="8"/>
  <c r="Q1185" i="8"/>
  <c r="Q1186" i="8"/>
  <c r="Q1187" i="8"/>
  <c r="Q1188" i="8"/>
  <c r="Q1189" i="8"/>
  <c r="Q1190" i="8"/>
  <c r="Q1191" i="8"/>
  <c r="Q1192" i="8"/>
  <c r="Q1193" i="8"/>
  <c r="Q1194" i="8"/>
  <c r="Q1195" i="8"/>
  <c r="Q1196" i="8"/>
  <c r="Q1197" i="8"/>
  <c r="Q1198" i="8"/>
  <c r="Q1199" i="8"/>
  <c r="Q1200" i="8"/>
  <c r="Q1201" i="8"/>
  <c r="Q1202" i="8"/>
  <c r="Q1203" i="8"/>
  <c r="Q1204" i="8"/>
  <c r="Q1205" i="8"/>
  <c r="Q1206" i="8"/>
  <c r="Q1207" i="8"/>
  <c r="Q1208" i="8"/>
  <c r="Q1209" i="8"/>
  <c r="Q1210" i="8"/>
  <c r="Q1211" i="8"/>
  <c r="Q1212" i="8"/>
  <c r="Q1213" i="8"/>
  <c r="Q1214" i="8"/>
  <c r="Q1215" i="8"/>
  <c r="Q1216" i="8"/>
  <c r="Q1217" i="8"/>
  <c r="Q1218" i="8"/>
  <c r="Q1219" i="8"/>
  <c r="Q1220" i="8"/>
  <c r="Q1221" i="8"/>
  <c r="Q1222" i="8"/>
  <c r="Q1223" i="8"/>
  <c r="Q1224" i="8"/>
  <c r="Q1225" i="8"/>
  <c r="Q1226" i="8"/>
  <c r="Q1227" i="8"/>
  <c r="Q1228" i="8"/>
  <c r="Q1229" i="8"/>
  <c r="Q1230" i="8"/>
  <c r="Q1231" i="8"/>
  <c r="Q1232" i="8"/>
  <c r="Q1233" i="8"/>
  <c r="Q1234" i="8"/>
  <c r="Q1235" i="8"/>
  <c r="Q1236" i="8"/>
  <c r="Q1237" i="8"/>
  <c r="Q1238" i="8"/>
  <c r="Q1239" i="8"/>
  <c r="Q1240" i="8"/>
  <c r="Q1241" i="8"/>
  <c r="Q1242" i="8"/>
  <c r="Q1243" i="8"/>
  <c r="Q1244" i="8"/>
  <c r="Q1245" i="8"/>
  <c r="Q1246" i="8"/>
  <c r="Q1247" i="8"/>
  <c r="Q1248" i="8"/>
  <c r="Q1249" i="8"/>
  <c r="Q1250" i="8"/>
  <c r="Q1251" i="8"/>
  <c r="Q1252" i="8"/>
  <c r="Q1253" i="8"/>
  <c r="Q1254" i="8"/>
  <c r="Q1255" i="8"/>
  <c r="Q1256" i="8"/>
  <c r="Q1257" i="8"/>
  <c r="Q1258" i="8"/>
  <c r="Q1259" i="8"/>
  <c r="Q1260" i="8"/>
  <c r="Q1261" i="8"/>
  <c r="Q1262" i="8"/>
  <c r="Q1263" i="8"/>
  <c r="Q1264" i="8"/>
  <c r="Q1265" i="8"/>
  <c r="Q1266" i="8"/>
  <c r="Q1267" i="8"/>
  <c r="Q1268" i="8"/>
  <c r="Q1269" i="8"/>
  <c r="Q1270" i="8"/>
  <c r="Q1271" i="8"/>
  <c r="Q1272" i="8"/>
  <c r="Q1273" i="8"/>
  <c r="Q1274" i="8"/>
  <c r="Q1275" i="8"/>
  <c r="Q1276" i="8"/>
  <c r="Q1277" i="8"/>
  <c r="Q1278" i="8"/>
  <c r="Q1279" i="8"/>
  <c r="Q1280" i="8"/>
  <c r="Q1281" i="8"/>
  <c r="Q1282" i="8"/>
  <c r="Q1283" i="8"/>
  <c r="Q1284" i="8"/>
  <c r="Q1285" i="8"/>
  <c r="Q1286" i="8"/>
  <c r="Q1287" i="8"/>
  <c r="Q1288" i="8"/>
  <c r="Q1289" i="8"/>
  <c r="Q1290" i="8"/>
  <c r="Q1291" i="8"/>
  <c r="Q1292" i="8"/>
  <c r="Q1293" i="8"/>
  <c r="Q1294" i="8"/>
  <c r="Q1295" i="8"/>
  <c r="Q1296" i="8"/>
  <c r="Q1297" i="8"/>
  <c r="Q1298" i="8"/>
  <c r="Q1299" i="8"/>
  <c r="Q1300" i="8"/>
  <c r="Q1301" i="8"/>
  <c r="Q1302" i="8"/>
  <c r="Q1303" i="8"/>
  <c r="Q1304" i="8"/>
  <c r="Q1305" i="8"/>
  <c r="Q1306" i="8"/>
  <c r="Q1307" i="8"/>
  <c r="Q1308" i="8"/>
  <c r="Q1309" i="8"/>
  <c r="Q1310" i="8"/>
  <c r="Q1311" i="8"/>
  <c r="Q1312" i="8"/>
  <c r="Q1313" i="8"/>
  <c r="Q1314" i="8"/>
  <c r="Q1315" i="8"/>
  <c r="Q1316" i="8"/>
  <c r="Q1317" i="8"/>
  <c r="Q1318" i="8"/>
  <c r="Q1319" i="8"/>
  <c r="Q1320" i="8"/>
  <c r="Q1321" i="8"/>
  <c r="Q1322" i="8"/>
  <c r="Q1323" i="8"/>
  <c r="Q1324" i="8"/>
  <c r="Q1325" i="8"/>
  <c r="Q1326" i="8"/>
  <c r="Q1327" i="8"/>
  <c r="Q1328" i="8"/>
  <c r="Q1329" i="8"/>
  <c r="Q1330" i="8"/>
  <c r="Q1331" i="8"/>
  <c r="Q1332" i="8"/>
  <c r="Q1333" i="8"/>
  <c r="Q1334" i="8"/>
  <c r="Q1335" i="8"/>
  <c r="Q1336" i="8"/>
  <c r="Q1337" i="8"/>
  <c r="Q1338" i="8"/>
  <c r="Q1339" i="8"/>
  <c r="Q1340" i="8"/>
  <c r="Q1341" i="8"/>
  <c r="Q1342" i="8"/>
  <c r="Q1343" i="8"/>
  <c r="Q1344" i="8"/>
  <c r="Q1345" i="8"/>
  <c r="Q1346" i="8"/>
  <c r="Q1347" i="8"/>
  <c r="Q1348" i="8"/>
  <c r="Q1349" i="8"/>
  <c r="Q1350" i="8"/>
  <c r="Q1351" i="8"/>
  <c r="Q1352" i="8"/>
  <c r="Q1353" i="8"/>
  <c r="Q1354" i="8"/>
  <c r="Q1355" i="8"/>
  <c r="Q1356" i="8"/>
  <c r="Q1357" i="8"/>
  <c r="Q1358" i="8"/>
  <c r="Q1359" i="8"/>
  <c r="Q1360" i="8"/>
  <c r="Q1361" i="8"/>
  <c r="Q1362" i="8"/>
  <c r="Q1363" i="8"/>
  <c r="Q1364" i="8"/>
  <c r="Q1365" i="8"/>
  <c r="Q1366" i="8"/>
  <c r="Q1367" i="8"/>
  <c r="Q1368" i="8"/>
  <c r="Q1369" i="8"/>
  <c r="Q1370" i="8"/>
  <c r="Q1371" i="8"/>
  <c r="Q1372" i="8"/>
  <c r="Q1373" i="8"/>
  <c r="Q1374" i="8"/>
  <c r="Q1375" i="8"/>
  <c r="Q1376" i="8"/>
  <c r="Q1377" i="8"/>
  <c r="Q1378" i="8"/>
  <c r="Q1379" i="8"/>
  <c r="Q1380" i="8"/>
  <c r="Q1381" i="8"/>
  <c r="Q1382" i="8"/>
  <c r="Q1383" i="8"/>
  <c r="Q1384" i="8"/>
  <c r="Q1385" i="8"/>
  <c r="Q1386" i="8"/>
  <c r="Q1387" i="8"/>
  <c r="Q1388" i="8"/>
  <c r="Q1389" i="8"/>
  <c r="Q1390" i="8"/>
  <c r="Q1391" i="8"/>
  <c r="Q1392" i="8"/>
  <c r="Q1393" i="8"/>
  <c r="Q1394" i="8"/>
  <c r="Q1395" i="8"/>
  <c r="Q1396" i="8"/>
  <c r="Q1397" i="8"/>
  <c r="Q1398" i="8"/>
  <c r="Q1399" i="8"/>
  <c r="Q1400" i="8"/>
  <c r="Q1401" i="8"/>
  <c r="Q1402" i="8"/>
  <c r="Q1403" i="8"/>
  <c r="Q1404" i="8"/>
  <c r="Q1405" i="8"/>
  <c r="Q1406" i="8"/>
  <c r="Q1407" i="8"/>
  <c r="Q1408" i="8"/>
  <c r="Q1409" i="8"/>
  <c r="Q1410" i="8"/>
  <c r="Q1411" i="8"/>
  <c r="Q1412" i="8"/>
  <c r="Q1413" i="8"/>
  <c r="Q1414" i="8"/>
  <c r="Q1415" i="8"/>
  <c r="Q1416" i="8"/>
  <c r="Q1417" i="8"/>
  <c r="Q1418" i="8"/>
  <c r="Q1419" i="8"/>
  <c r="Q1420" i="8"/>
  <c r="Q1421" i="8"/>
  <c r="Q1422" i="8"/>
  <c r="Q1423" i="8"/>
  <c r="Q1424" i="8"/>
  <c r="Q1425" i="8"/>
  <c r="Q1426" i="8"/>
  <c r="Q1427" i="8"/>
  <c r="Q1428" i="8"/>
  <c r="Q1429" i="8"/>
  <c r="Q1430" i="8"/>
  <c r="Q1431" i="8"/>
  <c r="Q1432" i="8"/>
  <c r="Q1433" i="8"/>
  <c r="Q1434" i="8"/>
  <c r="Q1435" i="8"/>
  <c r="Q1436" i="8"/>
  <c r="Q1437" i="8"/>
  <c r="Q1438" i="8"/>
  <c r="Q1439" i="8"/>
  <c r="Q1440" i="8"/>
  <c r="Q1441" i="8"/>
  <c r="Q1442" i="8"/>
  <c r="Q1443" i="8"/>
  <c r="Q1444" i="8"/>
  <c r="Q1445" i="8"/>
  <c r="Q1446" i="8"/>
  <c r="Q1447" i="8"/>
  <c r="Q1448" i="8"/>
  <c r="Q1449" i="8"/>
  <c r="Q1450" i="8"/>
  <c r="Q1451" i="8"/>
  <c r="Q1452" i="8"/>
  <c r="Q1453" i="8"/>
  <c r="Q1454" i="8"/>
  <c r="Q1455" i="8"/>
  <c r="Q1456" i="8"/>
  <c r="Q1457" i="8"/>
  <c r="Q1458" i="8"/>
  <c r="Q1459" i="8"/>
  <c r="Q1460" i="8"/>
  <c r="Q1461" i="8"/>
  <c r="Q1462" i="8"/>
  <c r="Q1463" i="8"/>
  <c r="Q1464" i="8"/>
  <c r="Q1465" i="8"/>
  <c r="Q1466" i="8"/>
  <c r="Q1467" i="8"/>
  <c r="Q1468" i="8"/>
  <c r="Q1469" i="8"/>
  <c r="Q1470" i="8"/>
  <c r="Q1471" i="8"/>
  <c r="Q1472" i="8"/>
  <c r="Q1473" i="8"/>
  <c r="Q1474" i="8"/>
  <c r="Q1475" i="8"/>
  <c r="Q1476" i="8"/>
  <c r="Q1477" i="8"/>
  <c r="Q1478" i="8"/>
  <c r="Q1479" i="8"/>
  <c r="Q1480" i="8"/>
  <c r="Q1481" i="8"/>
  <c r="Q1482" i="8"/>
  <c r="Q1483" i="8"/>
  <c r="Q1484" i="8"/>
  <c r="Q1485" i="8"/>
  <c r="Q1486" i="8"/>
  <c r="Q1487" i="8"/>
  <c r="Q1488" i="8"/>
  <c r="Q1489" i="8"/>
  <c r="Q1490" i="8"/>
  <c r="Q1491" i="8"/>
  <c r="Q1492" i="8"/>
  <c r="Q1493" i="8"/>
  <c r="Q1494" i="8"/>
  <c r="Q1495" i="8"/>
  <c r="Q1496" i="8"/>
  <c r="Q1497" i="8"/>
  <c r="Q1498" i="8"/>
  <c r="Q1499" i="8"/>
  <c r="Q1500" i="8"/>
  <c r="Q1501" i="8"/>
  <c r="Q1502" i="8"/>
  <c r="Q1503" i="8"/>
  <c r="Q1504" i="8"/>
  <c r="Q1505" i="8"/>
  <c r="Q1506" i="8"/>
  <c r="Q1507" i="8"/>
  <c r="Q1508" i="8"/>
  <c r="Q1509" i="8"/>
  <c r="Q1510" i="8"/>
  <c r="Q1511" i="8"/>
  <c r="Q1512" i="8"/>
  <c r="Q1513" i="8"/>
  <c r="Q1514" i="8"/>
  <c r="Q1515" i="8"/>
  <c r="Q1516" i="8"/>
  <c r="Q1517" i="8"/>
  <c r="Q1518" i="8"/>
  <c r="Q1519" i="8"/>
  <c r="Q1520" i="8"/>
  <c r="Q1521" i="8"/>
  <c r="Q1522" i="8"/>
  <c r="Q1523" i="8"/>
  <c r="Q1524" i="8"/>
  <c r="Q1525" i="8"/>
  <c r="Q1526" i="8"/>
  <c r="Q1527" i="8"/>
  <c r="Q1528" i="8"/>
  <c r="Q1529" i="8"/>
  <c r="Q1530" i="8"/>
  <c r="Q1531" i="8"/>
  <c r="Q1532" i="8"/>
  <c r="Q1533" i="8"/>
  <c r="Q1534" i="8"/>
  <c r="Q1535" i="8"/>
  <c r="Q1536" i="8"/>
  <c r="Q1537" i="8"/>
  <c r="Q1538" i="8"/>
  <c r="Q1539" i="8"/>
  <c r="Q1540" i="8"/>
  <c r="Q1541" i="8"/>
  <c r="Q1542" i="8"/>
  <c r="Q1543" i="8"/>
  <c r="Q1544" i="8"/>
  <c r="Q1545" i="8"/>
  <c r="Q1546" i="8"/>
  <c r="Q1547" i="8"/>
  <c r="Q1548" i="8"/>
  <c r="Q1549" i="8"/>
  <c r="Q1550" i="8"/>
  <c r="Q1551" i="8"/>
  <c r="Q1552" i="8"/>
  <c r="Q1553" i="8"/>
  <c r="Q1554" i="8"/>
  <c r="Q1555" i="8"/>
  <c r="Q1556" i="8"/>
  <c r="Q1557" i="8"/>
  <c r="Q1558" i="8"/>
  <c r="Q1559" i="8"/>
  <c r="Q1560" i="8"/>
  <c r="Q1561" i="8"/>
  <c r="Q1562" i="8"/>
  <c r="Q1563" i="8"/>
  <c r="Q1564" i="8"/>
  <c r="Q1565" i="8"/>
  <c r="Q1566" i="8"/>
  <c r="Q1567" i="8"/>
  <c r="Q1568" i="8"/>
  <c r="Q1569" i="8"/>
  <c r="Q1570" i="8"/>
  <c r="Q1571" i="8"/>
  <c r="Q1572" i="8"/>
  <c r="Q1573" i="8"/>
  <c r="Q1574" i="8"/>
  <c r="Q1575" i="8"/>
  <c r="Q1576" i="8"/>
  <c r="Q1577" i="8"/>
  <c r="Q1578" i="8"/>
  <c r="Q1579" i="8"/>
  <c r="Q1580" i="8"/>
  <c r="Q1581" i="8"/>
  <c r="Q1582" i="8"/>
  <c r="Q1583" i="8"/>
  <c r="Q1584" i="8"/>
  <c r="Q1585" i="8"/>
  <c r="Q1586" i="8"/>
  <c r="Q1587" i="8"/>
  <c r="Q1588" i="8"/>
  <c r="Q1589" i="8"/>
  <c r="Q1590" i="8"/>
  <c r="Q1591" i="8"/>
  <c r="Q1592" i="8"/>
  <c r="Q1593" i="8"/>
  <c r="Q1594" i="8"/>
  <c r="Q1595" i="8"/>
  <c r="Q1596" i="8"/>
  <c r="Q1597" i="8"/>
  <c r="Q1598" i="8"/>
  <c r="Q1599" i="8"/>
  <c r="Q1600" i="8"/>
  <c r="Q1601" i="8"/>
  <c r="Q1602" i="8"/>
  <c r="Q1603" i="8"/>
  <c r="Q1604" i="8"/>
  <c r="Q1605" i="8"/>
  <c r="Q1606" i="8"/>
  <c r="Q1607" i="8"/>
  <c r="Q1608" i="8"/>
  <c r="Q1609" i="8"/>
  <c r="Q1610" i="8"/>
  <c r="Q1611" i="8"/>
  <c r="Q1612" i="8"/>
  <c r="Q1613" i="8"/>
  <c r="Q1614" i="8"/>
  <c r="Q1615" i="8"/>
  <c r="Q1616" i="8"/>
  <c r="Q1617" i="8"/>
  <c r="Q1618" i="8"/>
  <c r="Q1619" i="8"/>
  <c r="Q1620" i="8"/>
  <c r="Q1621" i="8"/>
  <c r="Q1622" i="8"/>
  <c r="Q1623" i="8"/>
  <c r="Q1624" i="8"/>
  <c r="Q1625" i="8"/>
  <c r="Q1626" i="8"/>
  <c r="Q1627" i="8"/>
  <c r="Q1628" i="8"/>
  <c r="Q1629" i="8"/>
  <c r="Q1630" i="8"/>
  <c r="Q1631" i="8"/>
  <c r="Q1632" i="8"/>
  <c r="Q1633" i="8"/>
  <c r="Q1634" i="8"/>
  <c r="Q1635" i="8"/>
  <c r="Q1636" i="8"/>
  <c r="Q1637" i="8"/>
  <c r="Q1638" i="8"/>
  <c r="Q1639" i="8"/>
  <c r="Q1640" i="8"/>
  <c r="Q1641" i="8"/>
  <c r="Q1642" i="8"/>
  <c r="Q1643" i="8"/>
  <c r="Q1644" i="8"/>
  <c r="Q1645" i="8"/>
  <c r="Q1646" i="8"/>
  <c r="Q1647" i="8"/>
  <c r="Q1648" i="8"/>
  <c r="Q1649" i="8"/>
  <c r="Q1650" i="8"/>
  <c r="Q1651" i="8"/>
  <c r="Q1652" i="8"/>
  <c r="Q1653" i="8"/>
  <c r="Q1654" i="8"/>
  <c r="Q1655" i="8"/>
  <c r="Q1656" i="8"/>
  <c r="Q1657" i="8"/>
  <c r="Q1658" i="8"/>
  <c r="Q1659" i="8"/>
  <c r="Q1660" i="8"/>
  <c r="Q1661" i="8"/>
  <c r="Q1662" i="8"/>
  <c r="Q1663" i="8"/>
  <c r="Q1664" i="8"/>
  <c r="Q1665" i="8"/>
  <c r="Q1666" i="8"/>
  <c r="Q1667" i="8"/>
  <c r="Q1668" i="8"/>
  <c r="Q1669" i="8"/>
  <c r="Q1670" i="8"/>
  <c r="Q1671" i="8"/>
  <c r="Q1672" i="8"/>
  <c r="Q1673" i="8"/>
  <c r="Q1674" i="8"/>
  <c r="Q1675" i="8"/>
  <c r="Q1676" i="8"/>
  <c r="Q1677" i="8"/>
  <c r="Q1678" i="8"/>
  <c r="Q1679" i="8"/>
  <c r="Q1680" i="8"/>
  <c r="Q1681" i="8"/>
  <c r="Q1682" i="8"/>
  <c r="Q1683" i="8"/>
  <c r="Q1684" i="8"/>
  <c r="Q1685" i="8"/>
  <c r="Q1686" i="8"/>
  <c r="Q1687" i="8"/>
  <c r="Q1688" i="8"/>
  <c r="Q1689" i="8"/>
  <c r="Q1690" i="8"/>
  <c r="Q1691" i="8"/>
  <c r="Q1692" i="8"/>
  <c r="Q1693" i="8"/>
  <c r="Q1694" i="8"/>
  <c r="Q1695" i="8"/>
  <c r="Q1696" i="8"/>
  <c r="Q1697" i="8"/>
  <c r="Q1698" i="8"/>
  <c r="Q1699" i="8"/>
  <c r="Q1700" i="8"/>
  <c r="Q1701" i="8"/>
  <c r="Q1702" i="8"/>
  <c r="Q1703" i="8"/>
  <c r="Q1704" i="8"/>
  <c r="Q1705" i="8"/>
  <c r="Q1706" i="8"/>
  <c r="Q1707" i="8"/>
  <c r="Q1708" i="8"/>
  <c r="Q1709" i="8"/>
  <c r="Q1710" i="8"/>
  <c r="Q1711" i="8"/>
  <c r="Q1712" i="8"/>
  <c r="Q1713" i="8"/>
  <c r="Q1714" i="8"/>
  <c r="Q1715" i="8"/>
  <c r="Q1716" i="8"/>
  <c r="Q1717" i="8"/>
  <c r="Q1718" i="8"/>
  <c r="Q1719" i="8"/>
  <c r="Q1720" i="8"/>
  <c r="Q1721" i="8"/>
  <c r="Q1722" i="8"/>
  <c r="Q1723" i="8"/>
  <c r="Q1724" i="8"/>
  <c r="Q1725" i="8"/>
  <c r="Q1726" i="8"/>
  <c r="Q1727" i="8"/>
  <c r="Q1728" i="8"/>
  <c r="Q1729" i="8"/>
  <c r="Q1730" i="8"/>
  <c r="Q1731" i="8"/>
  <c r="Q1732" i="8"/>
  <c r="Q1733" i="8"/>
  <c r="Q1734" i="8"/>
  <c r="Q1735" i="8"/>
  <c r="Q1736" i="8"/>
  <c r="Q1737" i="8"/>
  <c r="Q1738" i="8"/>
  <c r="Q1739" i="8"/>
  <c r="Q1740" i="8"/>
  <c r="Q1741" i="8"/>
  <c r="Q1742" i="8"/>
  <c r="Q1743" i="8"/>
  <c r="Q1744" i="8"/>
  <c r="Q1745" i="8"/>
  <c r="Q1746" i="8"/>
  <c r="Q1747" i="8"/>
  <c r="Q1748" i="8"/>
  <c r="Q1749" i="8"/>
  <c r="Q1750" i="8"/>
  <c r="Q1751" i="8"/>
  <c r="Q1752" i="8"/>
  <c r="Q1753" i="8"/>
  <c r="Q1754" i="8"/>
  <c r="Q1755" i="8"/>
  <c r="Q1756" i="8"/>
  <c r="Q1757" i="8"/>
  <c r="Q1758" i="8"/>
  <c r="Q1759" i="8"/>
  <c r="Q1760" i="8"/>
  <c r="Q1761" i="8"/>
  <c r="Q1762" i="8"/>
  <c r="Q1763" i="8"/>
  <c r="Q1764" i="8"/>
  <c r="Q1765" i="8"/>
  <c r="Q1766" i="8"/>
  <c r="Q1767" i="8"/>
  <c r="Q1768" i="8"/>
  <c r="Q1769" i="8"/>
  <c r="Q1770" i="8"/>
  <c r="Q1771" i="8"/>
  <c r="Q1772" i="8"/>
  <c r="Q1773" i="8"/>
  <c r="Q1774" i="8"/>
  <c r="Q1775" i="8"/>
  <c r="Q1776" i="8"/>
  <c r="Q1777" i="8"/>
  <c r="Q1778" i="8"/>
  <c r="Q1779" i="8"/>
  <c r="Q1780" i="8"/>
  <c r="Q1781" i="8"/>
  <c r="Q1782" i="8"/>
  <c r="Q1783" i="8"/>
  <c r="Q1784" i="8"/>
  <c r="Q1785" i="8"/>
  <c r="Q1786" i="8"/>
  <c r="Q1787" i="8"/>
  <c r="Q1788" i="8"/>
  <c r="Q1789" i="8"/>
  <c r="Q1790" i="8"/>
  <c r="Q1791" i="8"/>
  <c r="Q1792" i="8"/>
  <c r="Q1793" i="8"/>
  <c r="Q1794" i="8"/>
  <c r="Q1795" i="8"/>
  <c r="Q1796" i="8"/>
  <c r="Q1797" i="8"/>
  <c r="Q1798" i="8"/>
  <c r="Q1799" i="8"/>
  <c r="Q1800" i="8"/>
  <c r="Q1801" i="8"/>
  <c r="Q1802" i="8"/>
  <c r="Q1803" i="8"/>
  <c r="Q1804" i="8"/>
  <c r="Q1805" i="8"/>
  <c r="Q1806" i="8"/>
  <c r="Q1807" i="8"/>
  <c r="Q1808" i="8"/>
  <c r="Q1809" i="8"/>
  <c r="Q1810" i="8"/>
  <c r="Q1811" i="8"/>
  <c r="Q1812" i="8"/>
  <c r="Q1813" i="8"/>
  <c r="Q1814" i="8"/>
  <c r="Q1815" i="8"/>
  <c r="Q1816" i="8"/>
  <c r="Q1817" i="8"/>
  <c r="Q1818" i="8"/>
  <c r="Q1819" i="8"/>
  <c r="Q1820" i="8"/>
  <c r="Q1821" i="8"/>
  <c r="Q1822" i="8"/>
  <c r="Q1823" i="8"/>
  <c r="Q1824" i="8"/>
  <c r="Q1825" i="8"/>
  <c r="Q1826" i="8"/>
  <c r="Q1827" i="8"/>
  <c r="Q1828" i="8"/>
  <c r="Q1829" i="8"/>
  <c r="Q1830" i="8"/>
  <c r="Q1831" i="8"/>
  <c r="Q1832" i="8"/>
  <c r="Q1833" i="8"/>
  <c r="Q1834" i="8"/>
  <c r="Q1835" i="8"/>
  <c r="Q1836" i="8"/>
  <c r="Q1837" i="8"/>
  <c r="Q1838" i="8"/>
  <c r="Q1839" i="8"/>
  <c r="Q1840" i="8"/>
  <c r="Q1841" i="8"/>
  <c r="Q1842" i="8"/>
  <c r="Q1843" i="8"/>
  <c r="Q1844" i="8"/>
  <c r="Q1845" i="8"/>
  <c r="Q1846" i="8"/>
  <c r="Q1847" i="8"/>
  <c r="Q1848" i="8"/>
  <c r="Q1849" i="8"/>
  <c r="Q1850" i="8"/>
  <c r="Q1851" i="8"/>
  <c r="Q1852" i="8"/>
  <c r="Q1853" i="8"/>
  <c r="Q1854" i="8"/>
  <c r="Q1855" i="8"/>
  <c r="Q1856" i="8"/>
  <c r="Q1857" i="8"/>
  <c r="Q1858" i="8"/>
  <c r="Q1859" i="8"/>
  <c r="Q1860" i="8"/>
  <c r="Q1861" i="8"/>
  <c r="Q1862" i="8"/>
  <c r="Q1863" i="8"/>
  <c r="Q1864" i="8"/>
  <c r="Q1865" i="8"/>
  <c r="Q1866" i="8"/>
  <c r="Q1867" i="8"/>
  <c r="Q1868" i="8"/>
  <c r="Q1869" i="8"/>
  <c r="Q1870" i="8"/>
  <c r="Q1871" i="8"/>
  <c r="Q1872" i="8"/>
  <c r="Q1873" i="8"/>
  <c r="Q1874" i="8"/>
  <c r="Q1875" i="8"/>
  <c r="Q1876" i="8"/>
  <c r="Q1877" i="8"/>
  <c r="Q1878" i="8"/>
  <c r="Q1879" i="8"/>
  <c r="Q1880" i="8"/>
  <c r="Q1881" i="8"/>
  <c r="Q1882" i="8"/>
  <c r="Q1883" i="8"/>
  <c r="Q1884" i="8"/>
  <c r="Q1885" i="8"/>
  <c r="Q1886" i="8"/>
  <c r="Q1887" i="8"/>
  <c r="Q1888" i="8"/>
  <c r="Q1889" i="8"/>
  <c r="Q1890" i="8"/>
  <c r="Q1891" i="8"/>
  <c r="Q1892" i="8"/>
  <c r="Q1893" i="8"/>
  <c r="Q1894" i="8"/>
  <c r="Q1895" i="8"/>
  <c r="Q1896" i="8"/>
  <c r="Q1897" i="8"/>
  <c r="Q1898" i="8"/>
  <c r="Q1899" i="8"/>
  <c r="Q1900" i="8"/>
  <c r="Q1901" i="8"/>
  <c r="Q1902" i="8"/>
  <c r="Q1903" i="8"/>
  <c r="Q1904" i="8"/>
  <c r="Q1905" i="8"/>
  <c r="Q1906" i="8"/>
  <c r="Q1907" i="8"/>
  <c r="Q1908" i="8"/>
  <c r="Q1909" i="8"/>
  <c r="Q1910" i="8"/>
  <c r="Q1911" i="8"/>
  <c r="Q1912" i="8"/>
  <c r="Q1913" i="8"/>
  <c r="Q1914" i="8"/>
  <c r="Q1915" i="8"/>
  <c r="Q1916" i="8"/>
  <c r="Q1917" i="8"/>
  <c r="Q1918" i="8"/>
  <c r="Q1919" i="8"/>
  <c r="Q1920" i="8"/>
  <c r="Q1921" i="8"/>
  <c r="Q1922" i="8"/>
  <c r="Q1923" i="8"/>
  <c r="Q1924" i="8"/>
  <c r="Q1925" i="8"/>
  <c r="Q1926" i="8"/>
  <c r="Q1927" i="8"/>
  <c r="Q1928" i="8"/>
  <c r="Q1929" i="8"/>
  <c r="Q1930" i="8"/>
  <c r="Q1931" i="8"/>
  <c r="Q1932" i="8"/>
  <c r="Q1933" i="8"/>
  <c r="Q1934" i="8"/>
  <c r="Q1935" i="8"/>
  <c r="Q1936" i="8"/>
  <c r="Q1937" i="8"/>
  <c r="Q1938" i="8"/>
  <c r="Q1939" i="8"/>
  <c r="Q1940" i="8"/>
  <c r="Q1941" i="8"/>
  <c r="Q1942" i="8"/>
  <c r="Q1943" i="8"/>
  <c r="Q1944" i="8"/>
  <c r="Q1945" i="8"/>
  <c r="Q1946" i="8"/>
  <c r="Q1947" i="8"/>
  <c r="Q1948" i="8"/>
  <c r="Q1949" i="8"/>
  <c r="Q1950" i="8"/>
  <c r="Q1951" i="8"/>
  <c r="Q1952" i="8"/>
  <c r="Q1953" i="8"/>
  <c r="Q1954" i="8"/>
  <c r="Q1955" i="8"/>
  <c r="Q1956" i="8"/>
  <c r="Q1957" i="8"/>
  <c r="Q1958" i="8"/>
  <c r="Q1959" i="8"/>
  <c r="Q1960" i="8"/>
  <c r="Q1961" i="8"/>
  <c r="Q1962" i="8"/>
  <c r="Q1963" i="8"/>
  <c r="Q1964" i="8"/>
  <c r="Q1965" i="8"/>
  <c r="Q1966" i="8"/>
  <c r="Q1967" i="8"/>
  <c r="Q1968" i="8"/>
  <c r="Q1969" i="8"/>
  <c r="Q1970" i="8"/>
  <c r="Q1971" i="8"/>
  <c r="Q1972" i="8"/>
  <c r="Q1973" i="8"/>
  <c r="Q1974" i="8"/>
  <c r="Q1975" i="8"/>
  <c r="Q1976" i="8"/>
  <c r="Q1977" i="8"/>
  <c r="Q1978" i="8"/>
  <c r="Q1979" i="8"/>
  <c r="Q1980" i="8"/>
  <c r="Q1981" i="8"/>
  <c r="Q1982" i="8"/>
  <c r="Q1983" i="8"/>
  <c r="Q1984" i="8"/>
  <c r="Q1985" i="8"/>
  <c r="Q1986" i="8"/>
  <c r="Q1987" i="8"/>
  <c r="Q1988" i="8"/>
  <c r="Q1989" i="8"/>
  <c r="Q1990" i="8"/>
  <c r="Q1991" i="8"/>
  <c r="Q1992" i="8"/>
  <c r="Q1993" i="8"/>
  <c r="Q1994" i="8"/>
  <c r="Q1995" i="8"/>
  <c r="Q1996" i="8"/>
  <c r="Q1997" i="8"/>
  <c r="Q1998" i="8"/>
  <c r="Q1999" i="8"/>
  <c r="Q2000" i="8"/>
  <c r="Q2001" i="8"/>
  <c r="Q2002" i="8"/>
  <c r="Q2003" i="8"/>
  <c r="Q2004" i="8"/>
  <c r="Q2005" i="8"/>
  <c r="Q2006" i="8"/>
  <c r="Q2007" i="8"/>
  <c r="Q2008" i="8"/>
  <c r="Q2009" i="8"/>
  <c r="Q2010" i="8"/>
  <c r="Q2011" i="8"/>
  <c r="Q2012" i="8"/>
  <c r="Q2013" i="8"/>
  <c r="Q2014" i="8"/>
  <c r="Q2015" i="8"/>
  <c r="Q2016" i="8"/>
  <c r="Q2017" i="8"/>
  <c r="Q2018" i="8"/>
  <c r="Q2019" i="8"/>
  <c r="Q2020" i="8"/>
  <c r="Q2021" i="8"/>
  <c r="Q2022" i="8"/>
  <c r="Q2023" i="8"/>
  <c r="Q2024" i="8"/>
  <c r="Q2025" i="8"/>
  <c r="Q2026" i="8"/>
  <c r="Q2027" i="8"/>
  <c r="Q2028" i="8"/>
  <c r="Q2029" i="8"/>
  <c r="Q2030" i="8"/>
  <c r="Q2031" i="8"/>
  <c r="Q2032" i="8"/>
  <c r="Q2033" i="8"/>
  <c r="Q2034" i="8"/>
  <c r="Q2035" i="8"/>
  <c r="Q2036" i="8"/>
  <c r="Q2037" i="8"/>
  <c r="Q2038" i="8"/>
  <c r="Q2039" i="8"/>
  <c r="Q2040" i="8"/>
  <c r="Q2041" i="8"/>
  <c r="Q2042" i="8"/>
  <c r="Q2043" i="8"/>
  <c r="Q2044" i="8"/>
  <c r="Q2045" i="8"/>
  <c r="Q2046" i="8"/>
  <c r="Q2047" i="8"/>
  <c r="Q2048" i="8"/>
  <c r="Q2049" i="8"/>
  <c r="Q2050" i="8"/>
  <c r="Q2051" i="8"/>
  <c r="Q2052" i="8"/>
  <c r="Q2053" i="8"/>
  <c r="Q2054" i="8"/>
  <c r="Q2055" i="8"/>
  <c r="Q2056" i="8"/>
  <c r="Q2057" i="8"/>
  <c r="Q2058" i="8"/>
  <c r="Q2059" i="8"/>
  <c r="Q2060" i="8"/>
  <c r="Q2061" i="8"/>
  <c r="Q2062" i="8"/>
  <c r="Q2063" i="8"/>
  <c r="Q2064" i="8"/>
  <c r="Q2065" i="8"/>
  <c r="Q2066" i="8"/>
  <c r="Q2067" i="8"/>
  <c r="Q2068" i="8"/>
  <c r="Q2069" i="8"/>
  <c r="Q2070" i="8"/>
  <c r="Q2071" i="8"/>
  <c r="Q2072" i="8"/>
  <c r="Q2073" i="8"/>
  <c r="Q2074" i="8"/>
  <c r="Q2075" i="8"/>
  <c r="Q2076" i="8"/>
  <c r="Q2077" i="8"/>
  <c r="Q2078" i="8"/>
  <c r="Q2079" i="8"/>
  <c r="Q2080" i="8"/>
  <c r="Q2081" i="8"/>
  <c r="Q2082" i="8"/>
  <c r="Q2083" i="8"/>
  <c r="Q2084" i="8"/>
  <c r="Q2085" i="8"/>
  <c r="Q2086" i="8"/>
  <c r="Q2087" i="8"/>
  <c r="Q2088" i="8"/>
  <c r="Q2089" i="8"/>
  <c r="Q2090" i="8"/>
  <c r="Q2091" i="8"/>
  <c r="Q2092" i="8"/>
  <c r="Q2093" i="8"/>
  <c r="Q2094" i="8"/>
  <c r="Q2095" i="8"/>
  <c r="Q2096" i="8"/>
  <c r="Q2097" i="8"/>
  <c r="Q2098" i="8"/>
  <c r="Q2099" i="8"/>
  <c r="Q2100" i="8"/>
  <c r="Q2101" i="8"/>
  <c r="Q2102" i="8"/>
  <c r="Q2103" i="8"/>
  <c r="Q2104" i="8"/>
  <c r="Q2105" i="8"/>
  <c r="Q2106" i="8"/>
  <c r="Q2107" i="8"/>
  <c r="Q2108" i="8"/>
  <c r="Q2109" i="8"/>
  <c r="Q2110" i="8"/>
  <c r="Q2111" i="8"/>
  <c r="Q2112" i="8"/>
  <c r="Q2113" i="8"/>
  <c r="Q2114" i="8"/>
  <c r="Q2115" i="8"/>
  <c r="Q2116" i="8"/>
  <c r="Q2117" i="8"/>
  <c r="Q2118" i="8"/>
  <c r="Q2119" i="8"/>
  <c r="Q2120" i="8"/>
  <c r="Q2121" i="8"/>
  <c r="Q2122" i="8"/>
  <c r="Q2123" i="8"/>
  <c r="Q2124" i="8"/>
  <c r="Q2125" i="8"/>
  <c r="Q2126" i="8"/>
  <c r="Q2127" i="8"/>
  <c r="Q2128" i="8"/>
  <c r="Q2129" i="8"/>
  <c r="Q2130" i="8"/>
  <c r="Q2131" i="8"/>
  <c r="Q2132" i="8"/>
  <c r="Q2133" i="8"/>
  <c r="Q2134" i="8"/>
  <c r="Q2135" i="8"/>
  <c r="Q2136" i="8"/>
  <c r="Q2137" i="8"/>
  <c r="Q2138" i="8"/>
  <c r="Q2139" i="8"/>
  <c r="Q2140" i="8"/>
  <c r="Q2141" i="8"/>
  <c r="Q2142" i="8"/>
  <c r="Q2143" i="8"/>
  <c r="Q2144" i="8"/>
  <c r="Q2145" i="8"/>
  <c r="Q2146" i="8"/>
  <c r="Q2147" i="8"/>
  <c r="Q2148" i="8"/>
  <c r="Q2149" i="8"/>
  <c r="Q2150" i="8"/>
  <c r="Q2151" i="8"/>
  <c r="Q2152" i="8"/>
  <c r="Q2153" i="8"/>
  <c r="Q2154" i="8"/>
  <c r="Q2155" i="8"/>
  <c r="Q2156" i="8"/>
  <c r="Q2157" i="8"/>
  <c r="Q2158" i="8"/>
  <c r="Q2159" i="8"/>
  <c r="Q2160" i="8"/>
  <c r="Q2161" i="8"/>
  <c r="Q2162" i="8"/>
  <c r="Q2163" i="8"/>
  <c r="Q2164" i="8"/>
  <c r="Q2165" i="8"/>
  <c r="Q2166" i="8"/>
  <c r="Q2167" i="8"/>
  <c r="Q2168" i="8"/>
  <c r="Q2169" i="8"/>
  <c r="Q2170" i="8"/>
  <c r="Q2171" i="8"/>
  <c r="Q2172" i="8"/>
  <c r="Q2173" i="8"/>
  <c r="Q2174" i="8"/>
  <c r="Q2175" i="8"/>
  <c r="Q2176" i="8"/>
  <c r="Q2177" i="8"/>
  <c r="Q2178" i="8"/>
  <c r="Q2179" i="8"/>
  <c r="Q2180" i="8"/>
  <c r="Q2181" i="8"/>
  <c r="Q2182" i="8"/>
  <c r="Q2183" i="8"/>
  <c r="Q2184" i="8"/>
  <c r="Q2185" i="8"/>
  <c r="Q2186" i="8"/>
  <c r="Q2187" i="8"/>
  <c r="Q2188" i="8"/>
  <c r="Q2189" i="8"/>
  <c r="Q2190" i="8"/>
  <c r="Q2191" i="8"/>
  <c r="Q2192" i="8"/>
  <c r="Q2193" i="8"/>
  <c r="Q2194" i="8"/>
  <c r="Q2195" i="8"/>
  <c r="Q2196" i="8"/>
  <c r="Q2197" i="8"/>
  <c r="Q2198" i="8"/>
  <c r="Q2199" i="8"/>
  <c r="Q2200" i="8"/>
  <c r="Q2201" i="8"/>
  <c r="Q2202" i="8"/>
  <c r="Q2203" i="8"/>
  <c r="Q2204" i="8"/>
  <c r="Q2205" i="8"/>
  <c r="Q2206" i="8"/>
  <c r="Q2207" i="8"/>
  <c r="Q2208" i="8"/>
  <c r="Q2209" i="8"/>
  <c r="Q2210" i="8"/>
  <c r="Q2211" i="8"/>
  <c r="Q2212" i="8"/>
  <c r="Q2213" i="8"/>
  <c r="Q2214" i="8"/>
  <c r="Q2215" i="8"/>
  <c r="Q2216" i="8"/>
  <c r="Q2217" i="8"/>
  <c r="Q2218" i="8"/>
  <c r="Q2219" i="8"/>
  <c r="Q2220" i="8"/>
  <c r="Q2221" i="8"/>
  <c r="Q2222" i="8"/>
  <c r="Q2223" i="8"/>
  <c r="Q2224" i="8"/>
  <c r="Q2225" i="8"/>
  <c r="Q2226" i="8"/>
  <c r="Q2227" i="8"/>
  <c r="Q2228" i="8"/>
  <c r="Q2229" i="8"/>
  <c r="Q2230" i="8"/>
  <c r="Q2231" i="8"/>
  <c r="Q2232" i="8"/>
  <c r="Q2233" i="8"/>
  <c r="Q2234" i="8"/>
  <c r="Q2235" i="8"/>
  <c r="Q2236" i="8"/>
  <c r="Q2237" i="8"/>
  <c r="Q2238" i="8"/>
  <c r="Q2239" i="8"/>
  <c r="Q2240" i="8"/>
  <c r="Q2241" i="8"/>
  <c r="Q2242" i="8"/>
  <c r="Q2243" i="8"/>
  <c r="Q2244" i="8"/>
  <c r="Q2245" i="8"/>
  <c r="Q2246" i="8"/>
  <c r="Q2247" i="8"/>
  <c r="Q2248" i="8"/>
  <c r="Q2249" i="8"/>
  <c r="Q2250" i="8"/>
  <c r="Q2251" i="8"/>
  <c r="Q2252" i="8"/>
  <c r="Q2253" i="8"/>
  <c r="Q2254" i="8"/>
  <c r="Q2255" i="8"/>
  <c r="Q2256" i="8"/>
  <c r="Q2257" i="8"/>
  <c r="Q2258" i="8"/>
  <c r="Q2259" i="8"/>
  <c r="Q2260" i="8"/>
  <c r="Q2261" i="8"/>
  <c r="Q2262" i="8"/>
  <c r="Q2263" i="8"/>
  <c r="Q2264" i="8"/>
  <c r="Q2265" i="8"/>
  <c r="Q2266" i="8"/>
  <c r="Q2267" i="8"/>
  <c r="Q2268" i="8"/>
  <c r="Q2269" i="8"/>
  <c r="Q2270" i="8"/>
  <c r="Q2271" i="8"/>
  <c r="Q2272" i="8"/>
  <c r="Q2273" i="8"/>
  <c r="Q2274" i="8"/>
  <c r="Q2275" i="8"/>
  <c r="Q2276" i="8"/>
  <c r="Q2277" i="8"/>
  <c r="Q2278" i="8"/>
  <c r="Q2279" i="8"/>
  <c r="Q2280" i="8"/>
  <c r="Q2281" i="8"/>
  <c r="Q2282" i="8"/>
  <c r="Q2283" i="8"/>
  <c r="Q2284" i="8"/>
  <c r="Q2285" i="8"/>
  <c r="Q2286" i="8"/>
  <c r="Q2287" i="8"/>
  <c r="Q2288" i="8"/>
  <c r="Q2289" i="8"/>
  <c r="Q2290" i="8"/>
  <c r="Q2291" i="8"/>
  <c r="Q2292" i="8"/>
  <c r="Q2293" i="8"/>
  <c r="Q2294" i="8"/>
  <c r="Q2295" i="8"/>
  <c r="Q2296" i="8"/>
  <c r="Q2297" i="8"/>
  <c r="Q2298" i="8"/>
  <c r="Q2299" i="8"/>
  <c r="Q2300" i="8"/>
  <c r="Q2301" i="8"/>
  <c r="Q2302" i="8"/>
  <c r="Q2303" i="8"/>
  <c r="Q2304" i="8"/>
  <c r="Q2305" i="8"/>
  <c r="Q2306" i="8"/>
  <c r="Q2307" i="8"/>
  <c r="Q2308" i="8"/>
  <c r="Q2309" i="8"/>
  <c r="Q2310" i="8"/>
  <c r="Q2311" i="8"/>
  <c r="Q2312" i="8"/>
  <c r="Q2313" i="8"/>
  <c r="Q2314" i="8"/>
  <c r="Q2315" i="8"/>
  <c r="Q2316" i="8"/>
  <c r="Q2317" i="8"/>
  <c r="Q2318" i="8"/>
  <c r="Q2319" i="8"/>
  <c r="Q2320" i="8"/>
  <c r="Q2321" i="8"/>
  <c r="Q2322" i="8"/>
  <c r="Q2323" i="8"/>
  <c r="Q2324" i="8"/>
  <c r="Q2325" i="8"/>
  <c r="Q2326" i="8"/>
  <c r="Q2327" i="8"/>
  <c r="Q2328" i="8"/>
  <c r="Q2329" i="8"/>
  <c r="Q2330" i="8"/>
  <c r="Q2331" i="8"/>
  <c r="Q2332" i="8"/>
  <c r="Q2333" i="8"/>
  <c r="Q2334" i="8"/>
  <c r="Q2335" i="8"/>
  <c r="Q2336" i="8"/>
  <c r="Q2337" i="8"/>
  <c r="Q2338" i="8"/>
  <c r="Q2339" i="8"/>
  <c r="Q2340" i="8"/>
  <c r="Q2341" i="8"/>
  <c r="Q2342" i="8"/>
  <c r="Q2343" i="8"/>
  <c r="Q2344" i="8"/>
  <c r="Q2345" i="8"/>
  <c r="Q2346" i="8"/>
  <c r="Q2347" i="8"/>
  <c r="Q2348" i="8"/>
  <c r="Q2349" i="8"/>
  <c r="Q2350" i="8"/>
  <c r="Q2351" i="8"/>
  <c r="Q2352" i="8"/>
  <c r="Q2353" i="8"/>
  <c r="Q2354" i="8"/>
  <c r="Q2355" i="8"/>
  <c r="Q2356" i="8"/>
  <c r="Q2357" i="8"/>
  <c r="Q2358" i="8"/>
  <c r="Q2359" i="8"/>
  <c r="Q2360" i="8"/>
  <c r="Q2361" i="8"/>
  <c r="Q2362" i="8"/>
  <c r="Q2363" i="8"/>
  <c r="Q2364" i="8"/>
  <c r="Q2365" i="8"/>
  <c r="Q2366" i="8"/>
  <c r="Q2367" i="8"/>
  <c r="Q2368" i="8"/>
  <c r="Q2369" i="8"/>
  <c r="Q2370" i="8"/>
  <c r="Q2371" i="8"/>
  <c r="Q2372" i="8"/>
  <c r="Q2373" i="8"/>
  <c r="Q2374" i="8"/>
  <c r="Q2375" i="8"/>
  <c r="Q2376" i="8"/>
  <c r="Q2377" i="8"/>
  <c r="Q2378" i="8"/>
  <c r="Q2379" i="8"/>
  <c r="Q2380" i="8"/>
  <c r="Q2381" i="8"/>
  <c r="Q2382" i="8"/>
  <c r="Q2383" i="8"/>
  <c r="Q2384" i="8"/>
  <c r="Q2385" i="8"/>
  <c r="Q2386" i="8"/>
  <c r="Q2387" i="8"/>
  <c r="Q2388" i="8"/>
  <c r="Q2389" i="8"/>
  <c r="Q2390" i="8"/>
  <c r="Q2391" i="8"/>
  <c r="Q2392" i="8"/>
  <c r="Q2393" i="8"/>
  <c r="Q2394" i="8"/>
  <c r="Q2395" i="8"/>
  <c r="Q2396" i="8"/>
  <c r="Q2397" i="8"/>
  <c r="Q2398" i="8"/>
  <c r="Q2399" i="8"/>
  <c r="Q2400" i="8"/>
  <c r="Q2401" i="8"/>
  <c r="Q2402" i="8"/>
  <c r="Q2403" i="8"/>
  <c r="Q2404" i="8"/>
  <c r="Q2405" i="8"/>
  <c r="Q2406" i="8"/>
  <c r="Q2407" i="8"/>
  <c r="Q2408" i="8"/>
  <c r="Q2409" i="8"/>
  <c r="Q2410" i="8"/>
  <c r="Q2411" i="8"/>
  <c r="Q2412" i="8"/>
  <c r="Q2413" i="8"/>
  <c r="Q2414" i="8"/>
  <c r="Q2415" i="8"/>
  <c r="Q2416" i="8"/>
  <c r="Q2417" i="8"/>
  <c r="Q2418" i="8"/>
  <c r="Q2419" i="8"/>
  <c r="Q2420" i="8"/>
  <c r="Q2421" i="8"/>
  <c r="Q2422" i="8"/>
  <c r="Q2423" i="8"/>
  <c r="Q2424" i="8"/>
  <c r="Q2425" i="8"/>
  <c r="Q2426" i="8"/>
  <c r="Q2427" i="8"/>
  <c r="Q2428" i="8"/>
  <c r="Q2429" i="8"/>
  <c r="Q2430" i="8"/>
  <c r="Q2431" i="8"/>
  <c r="Q2432" i="8"/>
  <c r="Q2433" i="8"/>
  <c r="Q2434" i="8"/>
  <c r="Q2435" i="8"/>
  <c r="Q2436" i="8"/>
  <c r="Q2437" i="8"/>
  <c r="Q2438" i="8"/>
  <c r="Q2439" i="8"/>
  <c r="Q2440" i="8"/>
  <c r="Q2441" i="8"/>
  <c r="Q2442" i="8"/>
  <c r="Q2443" i="8"/>
  <c r="Q2444" i="8"/>
  <c r="Q2445" i="8"/>
  <c r="Q2446" i="8"/>
  <c r="Q2447" i="8"/>
  <c r="Q2448" i="8"/>
  <c r="Q2449" i="8"/>
  <c r="Q2450" i="8"/>
  <c r="Q2451" i="8"/>
  <c r="Q2452" i="8"/>
  <c r="Q2453" i="8"/>
  <c r="Q2454" i="8"/>
  <c r="Q2455" i="8"/>
  <c r="Q2456" i="8"/>
  <c r="Q2457" i="8"/>
  <c r="Q2458" i="8"/>
  <c r="Q2459" i="8"/>
  <c r="Q2460" i="8"/>
  <c r="Q2461" i="8"/>
  <c r="Q2462" i="8"/>
  <c r="Q2463" i="8"/>
  <c r="Q2464" i="8"/>
  <c r="Q2465" i="8"/>
  <c r="Q2466" i="8"/>
  <c r="Q2467" i="8"/>
  <c r="Q2468" i="8"/>
  <c r="Q2469" i="8"/>
  <c r="Q2470" i="8"/>
  <c r="Q2471" i="8"/>
  <c r="Q2472" i="8"/>
  <c r="Q2473" i="8"/>
  <c r="Q2474" i="8"/>
  <c r="Q2475" i="8"/>
  <c r="Q2476" i="8"/>
  <c r="Q2477" i="8"/>
  <c r="Q2478" i="8"/>
  <c r="Q2479" i="8"/>
  <c r="Q2480" i="8"/>
  <c r="Q2481" i="8"/>
  <c r="Q2482" i="8"/>
  <c r="Q2483" i="8"/>
  <c r="Q2484" i="8"/>
  <c r="Q2485" i="8"/>
  <c r="Q2486" i="8"/>
  <c r="Q2487" i="8"/>
  <c r="Q2488" i="8"/>
  <c r="Q2489" i="8"/>
  <c r="Q2490" i="8"/>
  <c r="Q2491" i="8"/>
  <c r="Q2492" i="8"/>
  <c r="Q2493" i="8"/>
  <c r="Q2494" i="8"/>
  <c r="Q2495" i="8"/>
  <c r="Q2496" i="8"/>
  <c r="Q2497" i="8"/>
  <c r="Q2498" i="8"/>
  <c r="Q2499" i="8"/>
  <c r="Q2500" i="8"/>
  <c r="Q2501" i="8"/>
  <c r="Q2502" i="8"/>
  <c r="Q2503" i="8"/>
  <c r="Q2504" i="8"/>
  <c r="Q2505" i="8"/>
  <c r="Q2506" i="8"/>
  <c r="Q2507" i="8"/>
  <c r="Q2508" i="8"/>
  <c r="Q2509" i="8"/>
  <c r="Q2510" i="8"/>
  <c r="Q2511" i="8"/>
  <c r="Q2512" i="8"/>
  <c r="Q2513" i="8"/>
  <c r="Q2514" i="8"/>
  <c r="Q2515" i="8"/>
  <c r="Q2516" i="8"/>
  <c r="Q2517" i="8"/>
  <c r="Q2518" i="8"/>
  <c r="Q2519" i="8"/>
  <c r="I20" i="15"/>
  <c r="P3" i="8"/>
  <c r="P4" i="8"/>
  <c r="O4" i="8"/>
  <c r="P5" i="8"/>
  <c r="O5" i="8"/>
  <c r="P6" i="8"/>
  <c r="O6" i="8"/>
  <c r="P7" i="8"/>
  <c r="O7" i="8"/>
  <c r="P8" i="8"/>
  <c r="O8" i="8"/>
  <c r="P9" i="8"/>
  <c r="O9" i="8"/>
  <c r="P10" i="8"/>
  <c r="O10" i="8"/>
  <c r="P11" i="8"/>
  <c r="O11" i="8"/>
  <c r="P12" i="8"/>
  <c r="O12" i="8"/>
  <c r="P13" i="8"/>
  <c r="O13" i="8"/>
  <c r="P14" i="8"/>
  <c r="O14" i="8"/>
  <c r="P15" i="8"/>
  <c r="O15" i="8"/>
  <c r="P16" i="8"/>
  <c r="O16" i="8"/>
  <c r="P17" i="8"/>
  <c r="O17" i="8"/>
  <c r="P18" i="8"/>
  <c r="O18" i="8"/>
  <c r="P19" i="8"/>
  <c r="O19" i="8"/>
  <c r="P20" i="8"/>
  <c r="O20" i="8"/>
  <c r="P21" i="8"/>
  <c r="O21" i="8"/>
  <c r="P22" i="8"/>
  <c r="O22" i="8"/>
  <c r="P23" i="8"/>
  <c r="O23" i="8"/>
  <c r="P24" i="8"/>
  <c r="O24" i="8"/>
  <c r="P25" i="8"/>
  <c r="O25" i="8"/>
  <c r="P26" i="8"/>
  <c r="O26" i="8"/>
  <c r="P27" i="8"/>
  <c r="O27" i="8"/>
  <c r="P28" i="8"/>
  <c r="O28" i="8"/>
  <c r="P29" i="8"/>
  <c r="O29" i="8"/>
  <c r="P30" i="8"/>
  <c r="O30" i="8"/>
  <c r="P31" i="8"/>
  <c r="O31" i="8"/>
  <c r="P32" i="8"/>
  <c r="O32" i="8"/>
  <c r="P33" i="8"/>
  <c r="O33" i="8"/>
  <c r="P34" i="8"/>
  <c r="O34" i="8"/>
  <c r="P35" i="8"/>
  <c r="O35" i="8"/>
  <c r="P36" i="8"/>
  <c r="O36" i="8"/>
  <c r="P37" i="8"/>
  <c r="O37" i="8"/>
  <c r="P38" i="8"/>
  <c r="O38" i="8"/>
  <c r="P39" i="8"/>
  <c r="O39" i="8"/>
  <c r="P40" i="8"/>
  <c r="O40" i="8"/>
  <c r="P41" i="8"/>
  <c r="O41" i="8"/>
  <c r="P42" i="8"/>
  <c r="O42" i="8"/>
  <c r="P43" i="8"/>
  <c r="O43" i="8"/>
  <c r="P44" i="8"/>
  <c r="O44" i="8"/>
  <c r="P45" i="8"/>
  <c r="O45" i="8"/>
  <c r="P46" i="8"/>
  <c r="O46" i="8"/>
  <c r="P47" i="8"/>
  <c r="O47" i="8"/>
  <c r="P48" i="8"/>
  <c r="O48" i="8"/>
  <c r="P49" i="8"/>
  <c r="O49" i="8"/>
  <c r="P50" i="8"/>
  <c r="O50" i="8"/>
  <c r="P51" i="8"/>
  <c r="O51" i="8"/>
  <c r="P52" i="8"/>
  <c r="O52" i="8"/>
  <c r="P53" i="8"/>
  <c r="O53" i="8"/>
  <c r="P54" i="8"/>
  <c r="O54" i="8"/>
  <c r="P55" i="8"/>
  <c r="O55" i="8"/>
  <c r="P56" i="8"/>
  <c r="O56" i="8"/>
  <c r="P57" i="8"/>
  <c r="O57" i="8"/>
  <c r="P58" i="8"/>
  <c r="O58" i="8"/>
  <c r="P59" i="8"/>
  <c r="O59" i="8"/>
  <c r="P60" i="8"/>
  <c r="O60" i="8"/>
  <c r="P61" i="8"/>
  <c r="O61" i="8"/>
  <c r="P62" i="8"/>
  <c r="O62" i="8"/>
  <c r="P63" i="8"/>
  <c r="O63" i="8"/>
  <c r="P64" i="8"/>
  <c r="O64" i="8"/>
  <c r="P65" i="8"/>
  <c r="O65" i="8"/>
  <c r="P66" i="8"/>
  <c r="O66" i="8"/>
  <c r="P67" i="8"/>
  <c r="O67" i="8"/>
  <c r="P68" i="8"/>
  <c r="O68" i="8"/>
  <c r="P69" i="8"/>
  <c r="O69" i="8"/>
  <c r="P70" i="8"/>
  <c r="O70" i="8"/>
  <c r="P71" i="8"/>
  <c r="O71" i="8"/>
  <c r="P72" i="8"/>
  <c r="O72" i="8"/>
  <c r="P73" i="8"/>
  <c r="O73" i="8"/>
  <c r="P74" i="8"/>
  <c r="O74" i="8"/>
  <c r="P75" i="8"/>
  <c r="O75" i="8"/>
  <c r="P76" i="8"/>
  <c r="O76" i="8"/>
  <c r="P77" i="8"/>
  <c r="O77" i="8"/>
  <c r="P78" i="8"/>
  <c r="O78" i="8"/>
  <c r="P79" i="8"/>
  <c r="O79" i="8"/>
  <c r="P80" i="8"/>
  <c r="O80" i="8"/>
  <c r="P81" i="8"/>
  <c r="O81" i="8"/>
  <c r="P82" i="8"/>
  <c r="O82" i="8"/>
  <c r="P83" i="8"/>
  <c r="O83" i="8"/>
  <c r="P84" i="8"/>
  <c r="O84" i="8"/>
  <c r="P85" i="8"/>
  <c r="O85" i="8"/>
  <c r="P86" i="8"/>
  <c r="O86" i="8"/>
  <c r="P87" i="8"/>
  <c r="O87" i="8"/>
  <c r="P88" i="8"/>
  <c r="O88" i="8"/>
  <c r="P89" i="8"/>
  <c r="O89" i="8"/>
  <c r="P90" i="8"/>
  <c r="O90" i="8"/>
  <c r="P91" i="8"/>
  <c r="O91" i="8"/>
  <c r="P92" i="8"/>
  <c r="O92" i="8"/>
  <c r="P93" i="8"/>
  <c r="O93" i="8"/>
  <c r="P94" i="8"/>
  <c r="O94" i="8"/>
  <c r="P95" i="8"/>
  <c r="O95" i="8"/>
  <c r="P96" i="8"/>
  <c r="O96" i="8"/>
  <c r="P97" i="8"/>
  <c r="O97" i="8"/>
  <c r="P98" i="8"/>
  <c r="O98" i="8"/>
  <c r="P99" i="8"/>
  <c r="O99" i="8"/>
  <c r="P100" i="8"/>
  <c r="O100" i="8"/>
  <c r="P101" i="8"/>
  <c r="O101" i="8"/>
  <c r="P102" i="8"/>
  <c r="O102" i="8"/>
  <c r="P103" i="8"/>
  <c r="O103" i="8"/>
  <c r="P104" i="8"/>
  <c r="O104" i="8"/>
  <c r="P105" i="8"/>
  <c r="O105" i="8"/>
  <c r="P106" i="8"/>
  <c r="O106" i="8"/>
  <c r="P107" i="8"/>
  <c r="O107" i="8"/>
  <c r="P108" i="8"/>
  <c r="O108" i="8"/>
  <c r="P109" i="8"/>
  <c r="O109" i="8"/>
  <c r="P110" i="8"/>
  <c r="O110" i="8"/>
  <c r="P111" i="8"/>
  <c r="O111" i="8"/>
  <c r="P112" i="8"/>
  <c r="O112" i="8"/>
  <c r="P113" i="8"/>
  <c r="O113" i="8"/>
  <c r="P114" i="8"/>
  <c r="O114" i="8"/>
  <c r="P115" i="8"/>
  <c r="O115" i="8"/>
  <c r="P116" i="8"/>
  <c r="O116" i="8"/>
  <c r="P117" i="8"/>
  <c r="O117" i="8"/>
  <c r="P118" i="8"/>
  <c r="O118" i="8"/>
  <c r="P119" i="8"/>
  <c r="O119" i="8"/>
  <c r="P120" i="8"/>
  <c r="O120" i="8"/>
  <c r="P121" i="8"/>
  <c r="O121" i="8"/>
  <c r="P122" i="8"/>
  <c r="O122" i="8"/>
  <c r="P123" i="8"/>
  <c r="O123" i="8"/>
  <c r="P124" i="8"/>
  <c r="O124" i="8"/>
  <c r="P125" i="8"/>
  <c r="O125" i="8"/>
  <c r="P126" i="8"/>
  <c r="O126" i="8"/>
  <c r="P127" i="8"/>
  <c r="O127" i="8"/>
  <c r="P128" i="8"/>
  <c r="O128" i="8"/>
  <c r="P129" i="8"/>
  <c r="O129" i="8"/>
  <c r="P130" i="8"/>
  <c r="O130" i="8"/>
  <c r="P131" i="8"/>
  <c r="O131" i="8"/>
  <c r="P132" i="8"/>
  <c r="O132" i="8"/>
  <c r="P133" i="8"/>
  <c r="O133" i="8"/>
  <c r="P134" i="8"/>
  <c r="O134" i="8"/>
  <c r="P135" i="8"/>
  <c r="O135" i="8"/>
  <c r="P136" i="8"/>
  <c r="O136" i="8"/>
  <c r="P137" i="8"/>
  <c r="O137" i="8"/>
  <c r="P138" i="8"/>
  <c r="O138" i="8"/>
  <c r="P139" i="8"/>
  <c r="O139" i="8"/>
  <c r="P140" i="8"/>
  <c r="O140" i="8"/>
  <c r="P141" i="8"/>
  <c r="O141" i="8"/>
  <c r="P142" i="8"/>
  <c r="O142" i="8"/>
  <c r="P143" i="8"/>
  <c r="O143" i="8"/>
  <c r="P144" i="8"/>
  <c r="O144" i="8"/>
  <c r="P145" i="8"/>
  <c r="O145" i="8"/>
  <c r="P146" i="8"/>
  <c r="O146" i="8"/>
  <c r="P147" i="8"/>
  <c r="O147" i="8"/>
  <c r="P148" i="8"/>
  <c r="O148" i="8"/>
  <c r="P149" i="8"/>
  <c r="O149" i="8"/>
  <c r="P150" i="8"/>
  <c r="O150" i="8"/>
  <c r="P151" i="8"/>
  <c r="O151" i="8"/>
  <c r="P152" i="8"/>
  <c r="O152" i="8"/>
  <c r="P153" i="8"/>
  <c r="O153" i="8"/>
  <c r="P154" i="8"/>
  <c r="O154" i="8"/>
  <c r="P155" i="8"/>
  <c r="O155" i="8"/>
  <c r="P156" i="8"/>
  <c r="O156" i="8"/>
  <c r="P157" i="8"/>
  <c r="O157" i="8"/>
  <c r="P158" i="8"/>
  <c r="O158" i="8"/>
  <c r="P159" i="8"/>
  <c r="O159" i="8"/>
  <c r="P160" i="8"/>
  <c r="O160" i="8"/>
  <c r="P161" i="8"/>
  <c r="O161" i="8"/>
  <c r="P162" i="8"/>
  <c r="O162" i="8"/>
  <c r="P163" i="8"/>
  <c r="O163" i="8"/>
  <c r="P164" i="8"/>
  <c r="O164" i="8"/>
  <c r="P165" i="8"/>
  <c r="O165" i="8"/>
  <c r="P166" i="8"/>
  <c r="O166" i="8"/>
  <c r="P167" i="8"/>
  <c r="O167" i="8"/>
  <c r="P168" i="8"/>
  <c r="O168" i="8"/>
  <c r="P169" i="8"/>
  <c r="O169" i="8"/>
  <c r="P170" i="8"/>
  <c r="O170" i="8"/>
  <c r="P171" i="8"/>
  <c r="O171" i="8"/>
  <c r="P172" i="8"/>
  <c r="O172" i="8"/>
  <c r="P173" i="8"/>
  <c r="O173" i="8"/>
  <c r="P174" i="8"/>
  <c r="O174" i="8"/>
  <c r="P175" i="8"/>
  <c r="O175" i="8"/>
  <c r="P176" i="8"/>
  <c r="O176" i="8"/>
  <c r="P177" i="8"/>
  <c r="O177" i="8"/>
  <c r="P178" i="8"/>
  <c r="O178" i="8"/>
  <c r="P179" i="8"/>
  <c r="O179" i="8"/>
  <c r="P180" i="8"/>
  <c r="O180" i="8"/>
  <c r="P181" i="8"/>
  <c r="O181" i="8"/>
  <c r="P182" i="8"/>
  <c r="O182" i="8"/>
  <c r="P183" i="8"/>
  <c r="O183" i="8"/>
  <c r="P184" i="8"/>
  <c r="O184" i="8"/>
  <c r="P185" i="8"/>
  <c r="O185" i="8"/>
  <c r="P186" i="8"/>
  <c r="O186" i="8"/>
  <c r="P187" i="8"/>
  <c r="O187" i="8"/>
  <c r="P188" i="8"/>
  <c r="O188" i="8"/>
  <c r="P189" i="8"/>
  <c r="O189" i="8"/>
  <c r="P190" i="8"/>
  <c r="O190" i="8"/>
  <c r="P191" i="8"/>
  <c r="O191" i="8"/>
  <c r="P192" i="8"/>
  <c r="O192" i="8"/>
  <c r="P193" i="8"/>
  <c r="O193" i="8"/>
  <c r="P194" i="8"/>
  <c r="O194" i="8"/>
  <c r="P195" i="8"/>
  <c r="O195" i="8"/>
  <c r="P196" i="8"/>
  <c r="O196" i="8"/>
  <c r="P197" i="8"/>
  <c r="O197" i="8"/>
  <c r="P198" i="8"/>
  <c r="O198" i="8"/>
  <c r="P199" i="8"/>
  <c r="O199" i="8"/>
  <c r="P200" i="8"/>
  <c r="O200" i="8"/>
  <c r="P201" i="8"/>
  <c r="O201" i="8"/>
  <c r="P202" i="8"/>
  <c r="O202" i="8"/>
  <c r="P203" i="8"/>
  <c r="O203" i="8"/>
  <c r="P204" i="8"/>
  <c r="O204" i="8"/>
  <c r="P205" i="8"/>
  <c r="O205" i="8"/>
  <c r="P206" i="8"/>
  <c r="O206" i="8"/>
  <c r="P207" i="8"/>
  <c r="O207" i="8"/>
  <c r="P208" i="8"/>
  <c r="O208" i="8"/>
  <c r="P209" i="8"/>
  <c r="O209" i="8"/>
  <c r="P210" i="8"/>
  <c r="O210" i="8"/>
  <c r="P211" i="8"/>
  <c r="O211" i="8"/>
  <c r="P212" i="8"/>
  <c r="O212" i="8"/>
  <c r="P213" i="8"/>
  <c r="O213" i="8"/>
  <c r="P214" i="8"/>
  <c r="O214" i="8"/>
  <c r="P215" i="8"/>
  <c r="O215" i="8"/>
  <c r="P216" i="8"/>
  <c r="O216" i="8"/>
  <c r="P217" i="8"/>
  <c r="O217" i="8"/>
  <c r="P218" i="8"/>
  <c r="O218" i="8"/>
  <c r="P219" i="8"/>
  <c r="O219" i="8"/>
  <c r="P220" i="8"/>
  <c r="O220" i="8"/>
  <c r="P221" i="8"/>
  <c r="O221" i="8"/>
  <c r="P222" i="8"/>
  <c r="O222" i="8"/>
  <c r="P223" i="8"/>
  <c r="O223" i="8"/>
  <c r="P224" i="8"/>
  <c r="O224" i="8"/>
  <c r="P225" i="8"/>
  <c r="O225" i="8"/>
  <c r="P226" i="8"/>
  <c r="O226" i="8"/>
  <c r="P227" i="8"/>
  <c r="O227" i="8"/>
  <c r="P228" i="8"/>
  <c r="O228" i="8"/>
  <c r="P229" i="8"/>
  <c r="O229" i="8"/>
  <c r="P230" i="8"/>
  <c r="O230" i="8"/>
  <c r="P231" i="8"/>
  <c r="O231" i="8"/>
  <c r="P232" i="8"/>
  <c r="O232" i="8"/>
  <c r="P233" i="8"/>
  <c r="O233" i="8"/>
  <c r="P234" i="8"/>
  <c r="O234" i="8"/>
  <c r="P235" i="8"/>
  <c r="O235" i="8"/>
  <c r="P236" i="8"/>
  <c r="O236" i="8"/>
  <c r="P237" i="8"/>
  <c r="O237" i="8"/>
  <c r="P238" i="8"/>
  <c r="O238" i="8"/>
  <c r="P239" i="8"/>
  <c r="O239" i="8"/>
  <c r="P240" i="8"/>
  <c r="O240" i="8"/>
  <c r="P241" i="8"/>
  <c r="O241" i="8"/>
  <c r="P242" i="8"/>
  <c r="O242" i="8"/>
  <c r="P243" i="8"/>
  <c r="O243" i="8"/>
  <c r="P244" i="8"/>
  <c r="O244" i="8"/>
  <c r="P245" i="8"/>
  <c r="O245" i="8"/>
  <c r="P246" i="8"/>
  <c r="O246" i="8"/>
  <c r="P247" i="8"/>
  <c r="O247" i="8"/>
  <c r="P248" i="8"/>
  <c r="O248" i="8"/>
  <c r="P249" i="8"/>
  <c r="O249" i="8"/>
  <c r="P250" i="8"/>
  <c r="O250" i="8"/>
  <c r="P251" i="8"/>
  <c r="O251" i="8"/>
  <c r="P252" i="8"/>
  <c r="O252" i="8"/>
  <c r="P253" i="8"/>
  <c r="O253" i="8"/>
  <c r="P254" i="8"/>
  <c r="O254" i="8"/>
  <c r="P255" i="8"/>
  <c r="O255" i="8"/>
  <c r="P256" i="8"/>
  <c r="O256" i="8"/>
  <c r="P257" i="8"/>
  <c r="O257" i="8"/>
  <c r="P258" i="8"/>
  <c r="O258" i="8"/>
  <c r="P259" i="8"/>
  <c r="O259" i="8"/>
  <c r="P260" i="8"/>
  <c r="O260" i="8"/>
  <c r="P261" i="8"/>
  <c r="O261" i="8"/>
  <c r="P262" i="8"/>
  <c r="O262" i="8"/>
  <c r="P263" i="8"/>
  <c r="O263" i="8"/>
  <c r="P264" i="8"/>
  <c r="O264" i="8"/>
  <c r="P265" i="8"/>
  <c r="O265" i="8"/>
  <c r="P266" i="8"/>
  <c r="O266" i="8"/>
  <c r="P267" i="8"/>
  <c r="O267" i="8"/>
  <c r="P268" i="8"/>
  <c r="O268" i="8"/>
  <c r="P269" i="8"/>
  <c r="O269" i="8"/>
  <c r="P270" i="8"/>
  <c r="O270" i="8"/>
  <c r="P271" i="8"/>
  <c r="O271" i="8"/>
  <c r="P272" i="8"/>
  <c r="O272" i="8"/>
  <c r="P273" i="8"/>
  <c r="O273" i="8"/>
  <c r="P274" i="8"/>
  <c r="O274" i="8"/>
  <c r="P275" i="8"/>
  <c r="O275" i="8"/>
  <c r="P276" i="8"/>
  <c r="O276" i="8"/>
  <c r="P277" i="8"/>
  <c r="O277" i="8"/>
  <c r="P278" i="8"/>
  <c r="O278" i="8"/>
  <c r="P279" i="8"/>
  <c r="O279" i="8"/>
  <c r="P280" i="8"/>
  <c r="O280" i="8"/>
  <c r="P281" i="8"/>
  <c r="O281" i="8"/>
  <c r="P282" i="8"/>
  <c r="O282" i="8"/>
  <c r="P283" i="8"/>
  <c r="O283" i="8"/>
  <c r="P284" i="8"/>
  <c r="O284" i="8"/>
  <c r="P285" i="8"/>
  <c r="O285" i="8"/>
  <c r="P286" i="8"/>
  <c r="O286" i="8"/>
  <c r="P287" i="8"/>
  <c r="O287" i="8"/>
  <c r="P288" i="8"/>
  <c r="O288" i="8"/>
  <c r="P289" i="8"/>
  <c r="O289" i="8"/>
  <c r="P290" i="8"/>
  <c r="O290" i="8"/>
  <c r="P291" i="8"/>
  <c r="O291" i="8"/>
  <c r="P292" i="8"/>
  <c r="O292" i="8"/>
  <c r="P293" i="8"/>
  <c r="O293" i="8"/>
  <c r="P294" i="8"/>
  <c r="O294" i="8"/>
  <c r="P295" i="8"/>
  <c r="O295" i="8"/>
  <c r="P296" i="8"/>
  <c r="O296" i="8"/>
  <c r="P297" i="8"/>
  <c r="O297" i="8"/>
  <c r="P298" i="8"/>
  <c r="O298" i="8"/>
  <c r="P299" i="8"/>
  <c r="O299" i="8"/>
  <c r="P300" i="8"/>
  <c r="O300" i="8"/>
  <c r="P301" i="8"/>
  <c r="O301" i="8"/>
  <c r="P302" i="8"/>
  <c r="O302" i="8"/>
  <c r="P303" i="8"/>
  <c r="O303" i="8"/>
  <c r="P304" i="8"/>
  <c r="O304" i="8"/>
  <c r="P305" i="8"/>
  <c r="O305" i="8"/>
  <c r="P306" i="8"/>
  <c r="O306" i="8"/>
  <c r="P307" i="8"/>
  <c r="O307" i="8"/>
  <c r="P308" i="8"/>
  <c r="O308" i="8"/>
  <c r="P309" i="8"/>
  <c r="O309" i="8"/>
  <c r="P310" i="8"/>
  <c r="O310" i="8"/>
  <c r="P311" i="8"/>
  <c r="O311" i="8"/>
  <c r="P312" i="8"/>
  <c r="O312" i="8"/>
  <c r="P313" i="8"/>
  <c r="O313" i="8"/>
  <c r="P314" i="8"/>
  <c r="O314" i="8"/>
  <c r="P315" i="8"/>
  <c r="O315" i="8"/>
  <c r="P316" i="8"/>
  <c r="O316" i="8"/>
  <c r="P317" i="8"/>
  <c r="O317" i="8"/>
  <c r="P318" i="8"/>
  <c r="O318" i="8"/>
  <c r="P319" i="8"/>
  <c r="O319" i="8"/>
  <c r="P320" i="8"/>
  <c r="O320" i="8"/>
  <c r="P321" i="8"/>
  <c r="O321" i="8"/>
  <c r="P322" i="8"/>
  <c r="O322" i="8"/>
  <c r="P323" i="8"/>
  <c r="O323" i="8"/>
  <c r="P324" i="8"/>
  <c r="O324" i="8"/>
  <c r="P325" i="8"/>
  <c r="O325" i="8"/>
  <c r="P326" i="8"/>
  <c r="O326" i="8"/>
  <c r="P327" i="8"/>
  <c r="O327" i="8"/>
  <c r="P328" i="8"/>
  <c r="O328" i="8"/>
  <c r="P329" i="8"/>
  <c r="O329" i="8"/>
  <c r="P330" i="8"/>
  <c r="O330" i="8"/>
  <c r="P331" i="8"/>
  <c r="O331" i="8"/>
  <c r="P332" i="8"/>
  <c r="O332" i="8"/>
  <c r="P333" i="8"/>
  <c r="O333" i="8"/>
  <c r="P334" i="8"/>
  <c r="O334" i="8"/>
  <c r="P335" i="8"/>
  <c r="O335" i="8"/>
  <c r="P336" i="8"/>
  <c r="O336" i="8"/>
  <c r="P337" i="8"/>
  <c r="O337" i="8"/>
  <c r="P338" i="8"/>
  <c r="O338" i="8"/>
  <c r="P339" i="8"/>
  <c r="O339" i="8"/>
  <c r="P340" i="8"/>
  <c r="O340" i="8"/>
  <c r="P341" i="8"/>
  <c r="O341" i="8"/>
  <c r="P342" i="8"/>
  <c r="O342" i="8"/>
  <c r="P343" i="8"/>
  <c r="O343" i="8"/>
  <c r="P344" i="8"/>
  <c r="O344" i="8"/>
  <c r="P345" i="8"/>
  <c r="O345" i="8"/>
  <c r="P346" i="8"/>
  <c r="O346" i="8"/>
  <c r="P347" i="8"/>
  <c r="O347" i="8"/>
  <c r="P348" i="8"/>
  <c r="O348" i="8"/>
  <c r="P349" i="8"/>
  <c r="O349" i="8"/>
  <c r="P350" i="8"/>
  <c r="O350" i="8"/>
  <c r="P351" i="8"/>
  <c r="O351" i="8"/>
  <c r="P352" i="8"/>
  <c r="O352" i="8"/>
  <c r="P353" i="8"/>
  <c r="O353" i="8"/>
  <c r="P354" i="8"/>
  <c r="O354" i="8"/>
  <c r="P355" i="8"/>
  <c r="O355" i="8"/>
  <c r="P356" i="8"/>
  <c r="O356" i="8"/>
  <c r="P357" i="8"/>
  <c r="O357" i="8"/>
  <c r="P358" i="8"/>
  <c r="O358" i="8"/>
  <c r="P359" i="8"/>
  <c r="O359" i="8"/>
  <c r="P360" i="8"/>
  <c r="O360" i="8"/>
  <c r="P361" i="8"/>
  <c r="O361" i="8"/>
  <c r="P362" i="8"/>
  <c r="O362" i="8"/>
  <c r="P363" i="8"/>
  <c r="O363" i="8"/>
  <c r="P364" i="8"/>
  <c r="O364" i="8"/>
  <c r="P365" i="8"/>
  <c r="O365" i="8"/>
  <c r="P366" i="8"/>
  <c r="O366" i="8"/>
  <c r="P367" i="8"/>
  <c r="O367" i="8"/>
  <c r="P368" i="8"/>
  <c r="O368" i="8"/>
  <c r="P369" i="8"/>
  <c r="O369" i="8"/>
  <c r="P370" i="8"/>
  <c r="O370" i="8"/>
  <c r="P371" i="8"/>
  <c r="O371" i="8"/>
  <c r="P372" i="8"/>
  <c r="O372" i="8"/>
  <c r="P373" i="8"/>
  <c r="O373" i="8"/>
  <c r="P374" i="8"/>
  <c r="O374" i="8"/>
  <c r="P375" i="8"/>
  <c r="O375" i="8"/>
  <c r="P376" i="8"/>
  <c r="O376" i="8"/>
  <c r="P377" i="8"/>
  <c r="O377" i="8"/>
  <c r="P378" i="8"/>
  <c r="O378" i="8"/>
  <c r="P379" i="8"/>
  <c r="O379" i="8"/>
  <c r="P380" i="8"/>
  <c r="O380" i="8"/>
  <c r="P381" i="8"/>
  <c r="O381" i="8"/>
  <c r="P382" i="8"/>
  <c r="O382" i="8"/>
  <c r="P383" i="8"/>
  <c r="O383" i="8"/>
  <c r="P384" i="8"/>
  <c r="O384" i="8"/>
  <c r="P385" i="8"/>
  <c r="O385" i="8"/>
  <c r="P386" i="8"/>
  <c r="O386" i="8"/>
  <c r="P387" i="8"/>
  <c r="O387" i="8"/>
  <c r="P388" i="8"/>
  <c r="O388" i="8"/>
  <c r="P389" i="8"/>
  <c r="O389" i="8"/>
  <c r="P390" i="8"/>
  <c r="O390" i="8"/>
  <c r="P391" i="8"/>
  <c r="O391" i="8"/>
  <c r="P392" i="8"/>
  <c r="O392" i="8"/>
  <c r="P393" i="8"/>
  <c r="O393" i="8"/>
  <c r="P394" i="8"/>
  <c r="O394" i="8"/>
  <c r="P395" i="8"/>
  <c r="O395" i="8"/>
  <c r="P396" i="8"/>
  <c r="O396" i="8"/>
  <c r="P397" i="8"/>
  <c r="O397" i="8"/>
  <c r="P398" i="8"/>
  <c r="O398" i="8"/>
  <c r="P399" i="8"/>
  <c r="O399" i="8"/>
  <c r="P400" i="8"/>
  <c r="O400" i="8"/>
  <c r="P401" i="8"/>
  <c r="O401" i="8"/>
  <c r="P402" i="8"/>
  <c r="O402" i="8"/>
  <c r="P403" i="8"/>
  <c r="O403" i="8"/>
  <c r="P404" i="8"/>
  <c r="O404" i="8"/>
  <c r="P405" i="8"/>
  <c r="O405" i="8"/>
  <c r="P406" i="8"/>
  <c r="O406" i="8"/>
  <c r="P407" i="8"/>
  <c r="O407" i="8"/>
  <c r="P408" i="8"/>
  <c r="O408" i="8"/>
  <c r="P409" i="8"/>
  <c r="O409" i="8"/>
  <c r="P410" i="8"/>
  <c r="O410" i="8"/>
  <c r="P411" i="8"/>
  <c r="O411" i="8"/>
  <c r="P412" i="8"/>
  <c r="O412" i="8"/>
  <c r="P413" i="8"/>
  <c r="O413" i="8"/>
  <c r="P414" i="8"/>
  <c r="O414" i="8"/>
  <c r="P415" i="8"/>
  <c r="O415" i="8"/>
  <c r="P416" i="8"/>
  <c r="O416" i="8"/>
  <c r="P417" i="8"/>
  <c r="O417" i="8"/>
  <c r="P418" i="8"/>
  <c r="O418" i="8"/>
  <c r="P419" i="8"/>
  <c r="O419" i="8"/>
  <c r="P420" i="8"/>
  <c r="O420" i="8"/>
  <c r="P421" i="8"/>
  <c r="O421" i="8"/>
  <c r="P422" i="8"/>
  <c r="O422" i="8"/>
  <c r="P423" i="8"/>
  <c r="O423" i="8"/>
  <c r="P424" i="8"/>
  <c r="O424" i="8"/>
  <c r="P425" i="8"/>
  <c r="O425" i="8"/>
  <c r="P426" i="8"/>
  <c r="O426" i="8"/>
  <c r="P427" i="8"/>
  <c r="O427" i="8"/>
  <c r="P428" i="8"/>
  <c r="O428" i="8"/>
  <c r="P429" i="8"/>
  <c r="O429" i="8"/>
  <c r="P430" i="8"/>
  <c r="O430" i="8"/>
  <c r="P431" i="8"/>
  <c r="O431" i="8"/>
  <c r="P432" i="8"/>
  <c r="O432" i="8"/>
  <c r="P433" i="8"/>
  <c r="O433" i="8"/>
  <c r="P434" i="8"/>
  <c r="O434" i="8"/>
  <c r="P435" i="8"/>
  <c r="O435" i="8"/>
  <c r="P436" i="8"/>
  <c r="O436" i="8"/>
  <c r="P437" i="8"/>
  <c r="O437" i="8"/>
  <c r="P438" i="8"/>
  <c r="O438" i="8"/>
  <c r="P439" i="8"/>
  <c r="O439" i="8"/>
  <c r="P440" i="8"/>
  <c r="O440" i="8"/>
  <c r="P441" i="8"/>
  <c r="O441" i="8"/>
  <c r="P442" i="8"/>
  <c r="O442" i="8"/>
  <c r="P443" i="8"/>
  <c r="O443" i="8"/>
  <c r="P444" i="8"/>
  <c r="O444" i="8"/>
  <c r="P445" i="8"/>
  <c r="O445" i="8"/>
  <c r="P446" i="8"/>
  <c r="O446" i="8"/>
  <c r="P447" i="8"/>
  <c r="O447" i="8"/>
  <c r="P448" i="8"/>
  <c r="O448" i="8"/>
  <c r="P449" i="8"/>
  <c r="O449" i="8"/>
  <c r="P450" i="8"/>
  <c r="O450" i="8"/>
  <c r="P451" i="8"/>
  <c r="O451" i="8"/>
  <c r="P452" i="8"/>
  <c r="O452" i="8"/>
  <c r="P453" i="8"/>
  <c r="O453" i="8"/>
  <c r="P454" i="8"/>
  <c r="O454" i="8"/>
  <c r="P455" i="8"/>
  <c r="O455" i="8"/>
  <c r="P456" i="8"/>
  <c r="O456" i="8"/>
  <c r="P457" i="8"/>
  <c r="O457" i="8"/>
  <c r="P458" i="8"/>
  <c r="O458" i="8"/>
  <c r="P459" i="8"/>
  <c r="O459" i="8"/>
  <c r="P460" i="8"/>
  <c r="O460" i="8"/>
  <c r="P461" i="8"/>
  <c r="O461" i="8"/>
  <c r="P462" i="8"/>
  <c r="O462" i="8"/>
  <c r="P463" i="8"/>
  <c r="O463" i="8"/>
  <c r="P464" i="8"/>
  <c r="O464" i="8"/>
  <c r="P465" i="8"/>
  <c r="O465" i="8"/>
  <c r="P466" i="8"/>
  <c r="O466" i="8"/>
  <c r="P467" i="8"/>
  <c r="O467" i="8"/>
  <c r="P468" i="8"/>
  <c r="O468" i="8"/>
  <c r="P469" i="8"/>
  <c r="O469" i="8"/>
  <c r="P470" i="8"/>
  <c r="O470" i="8"/>
  <c r="P471" i="8"/>
  <c r="O471" i="8"/>
  <c r="P472" i="8"/>
  <c r="O472" i="8"/>
  <c r="P473" i="8"/>
  <c r="O473" i="8"/>
  <c r="P474" i="8"/>
  <c r="O474" i="8"/>
  <c r="P475" i="8"/>
  <c r="O475" i="8"/>
  <c r="P476" i="8"/>
  <c r="O476" i="8"/>
  <c r="P477" i="8"/>
  <c r="O477" i="8"/>
  <c r="P478" i="8"/>
  <c r="O478" i="8"/>
  <c r="P479" i="8"/>
  <c r="O479" i="8"/>
  <c r="P480" i="8"/>
  <c r="O480" i="8"/>
  <c r="P481" i="8"/>
  <c r="O481" i="8"/>
  <c r="P482" i="8"/>
  <c r="O482" i="8"/>
  <c r="P483" i="8"/>
  <c r="O483" i="8"/>
  <c r="P484" i="8"/>
  <c r="O484" i="8"/>
  <c r="P485" i="8"/>
  <c r="O485" i="8"/>
  <c r="P486" i="8"/>
  <c r="O486" i="8"/>
  <c r="P487" i="8"/>
  <c r="O487" i="8"/>
  <c r="P488" i="8"/>
  <c r="O488" i="8"/>
  <c r="P489" i="8"/>
  <c r="O489" i="8"/>
  <c r="P490" i="8"/>
  <c r="O490" i="8"/>
  <c r="P491" i="8"/>
  <c r="O491" i="8"/>
  <c r="P492" i="8"/>
  <c r="O492" i="8"/>
  <c r="P493" i="8"/>
  <c r="O493" i="8"/>
  <c r="P494" i="8"/>
  <c r="O494" i="8"/>
  <c r="P495" i="8"/>
  <c r="O495" i="8"/>
  <c r="P496" i="8"/>
  <c r="O496" i="8"/>
  <c r="P497" i="8"/>
  <c r="O497" i="8"/>
  <c r="P498" i="8"/>
  <c r="O498" i="8"/>
  <c r="P499" i="8"/>
  <c r="O499" i="8"/>
  <c r="P500" i="8"/>
  <c r="O500" i="8"/>
  <c r="P501" i="8"/>
  <c r="O501" i="8"/>
  <c r="P502" i="8"/>
  <c r="O502" i="8"/>
  <c r="P503" i="8"/>
  <c r="O503" i="8"/>
  <c r="P504" i="8"/>
  <c r="O504" i="8"/>
  <c r="P505" i="8"/>
  <c r="O505" i="8"/>
  <c r="P506" i="8"/>
  <c r="O506" i="8"/>
  <c r="P507" i="8"/>
  <c r="O507" i="8"/>
  <c r="P508" i="8"/>
  <c r="O508" i="8"/>
  <c r="P509" i="8"/>
  <c r="O509" i="8"/>
  <c r="P510" i="8"/>
  <c r="O510" i="8"/>
  <c r="P511" i="8"/>
  <c r="O511" i="8"/>
  <c r="P512" i="8"/>
  <c r="O512" i="8"/>
  <c r="P513" i="8"/>
  <c r="O513" i="8"/>
  <c r="P514" i="8"/>
  <c r="O514" i="8"/>
  <c r="P515" i="8"/>
  <c r="O515" i="8"/>
  <c r="P516" i="8"/>
  <c r="O516" i="8"/>
  <c r="P517" i="8"/>
  <c r="O517" i="8"/>
  <c r="P518" i="8"/>
  <c r="O518" i="8"/>
  <c r="P519" i="8"/>
  <c r="O519" i="8"/>
  <c r="P520" i="8"/>
  <c r="O520" i="8"/>
  <c r="P521" i="8"/>
  <c r="O521" i="8"/>
  <c r="P522" i="8"/>
  <c r="O522" i="8"/>
  <c r="P523" i="8"/>
  <c r="O523" i="8"/>
  <c r="P524" i="8"/>
  <c r="O524" i="8"/>
  <c r="P525" i="8"/>
  <c r="O525" i="8"/>
  <c r="P526" i="8"/>
  <c r="O526" i="8"/>
  <c r="P527" i="8"/>
  <c r="O527" i="8"/>
  <c r="P528" i="8"/>
  <c r="O528" i="8"/>
  <c r="P529" i="8"/>
  <c r="O529" i="8"/>
  <c r="P530" i="8"/>
  <c r="O530" i="8"/>
  <c r="P531" i="8"/>
  <c r="O531" i="8"/>
  <c r="P532" i="8"/>
  <c r="O532" i="8"/>
  <c r="P533" i="8"/>
  <c r="O533" i="8"/>
  <c r="P534" i="8"/>
  <c r="O534" i="8"/>
  <c r="P535" i="8"/>
  <c r="O535" i="8"/>
  <c r="P536" i="8"/>
  <c r="O536" i="8"/>
  <c r="P537" i="8"/>
  <c r="O537" i="8"/>
  <c r="P538" i="8"/>
  <c r="O538" i="8"/>
  <c r="P539" i="8"/>
  <c r="O539" i="8"/>
  <c r="P540" i="8"/>
  <c r="O540" i="8"/>
  <c r="P541" i="8"/>
  <c r="O541" i="8"/>
  <c r="P542" i="8"/>
  <c r="O542" i="8"/>
  <c r="P543" i="8"/>
  <c r="O543" i="8"/>
  <c r="P544" i="8"/>
  <c r="O544" i="8"/>
  <c r="P545" i="8"/>
  <c r="O545" i="8"/>
  <c r="P546" i="8"/>
  <c r="O546" i="8"/>
  <c r="P547" i="8"/>
  <c r="O547" i="8"/>
  <c r="P548" i="8"/>
  <c r="O548" i="8"/>
  <c r="P549" i="8"/>
  <c r="O549" i="8"/>
  <c r="P550" i="8"/>
  <c r="O550" i="8"/>
  <c r="P551" i="8"/>
  <c r="O551" i="8"/>
  <c r="P552" i="8"/>
  <c r="O552" i="8"/>
  <c r="P553" i="8"/>
  <c r="O553" i="8"/>
  <c r="P554" i="8"/>
  <c r="O554" i="8"/>
  <c r="P555" i="8"/>
  <c r="O555" i="8"/>
  <c r="P556" i="8"/>
  <c r="O556" i="8"/>
  <c r="P557" i="8"/>
  <c r="O557" i="8"/>
  <c r="P558" i="8"/>
  <c r="O558" i="8"/>
  <c r="P559" i="8"/>
  <c r="O559" i="8"/>
  <c r="P560" i="8"/>
  <c r="O560" i="8"/>
  <c r="P561" i="8"/>
  <c r="O561" i="8"/>
  <c r="P562" i="8"/>
  <c r="O562" i="8"/>
  <c r="P563" i="8"/>
  <c r="O563" i="8"/>
  <c r="P564" i="8"/>
  <c r="O564" i="8"/>
  <c r="P565" i="8"/>
  <c r="O565" i="8"/>
  <c r="P566" i="8"/>
  <c r="O566" i="8"/>
  <c r="P567" i="8"/>
  <c r="O567" i="8"/>
  <c r="P568" i="8"/>
  <c r="O568" i="8"/>
  <c r="P569" i="8"/>
  <c r="O569" i="8"/>
  <c r="P570" i="8"/>
  <c r="O570" i="8"/>
  <c r="P571" i="8"/>
  <c r="O571" i="8"/>
  <c r="P572" i="8"/>
  <c r="O572" i="8"/>
  <c r="P573" i="8"/>
  <c r="O573" i="8"/>
  <c r="P574" i="8"/>
  <c r="O574" i="8"/>
  <c r="P575" i="8"/>
  <c r="O575" i="8"/>
  <c r="P576" i="8"/>
  <c r="O576" i="8"/>
  <c r="P577" i="8"/>
  <c r="O577" i="8"/>
  <c r="P578" i="8"/>
  <c r="O578" i="8"/>
  <c r="P579" i="8"/>
  <c r="O579" i="8"/>
  <c r="P580" i="8"/>
  <c r="O580" i="8"/>
  <c r="P581" i="8"/>
  <c r="O581" i="8"/>
  <c r="P582" i="8"/>
  <c r="O582" i="8"/>
  <c r="P583" i="8"/>
  <c r="O583" i="8"/>
  <c r="P584" i="8"/>
  <c r="O584" i="8"/>
  <c r="P585" i="8"/>
  <c r="O585" i="8"/>
  <c r="P586" i="8"/>
  <c r="O586" i="8"/>
  <c r="P587" i="8"/>
  <c r="O587" i="8"/>
  <c r="P588" i="8"/>
  <c r="O588" i="8"/>
  <c r="P589" i="8"/>
  <c r="O589" i="8"/>
  <c r="P590" i="8"/>
  <c r="O590" i="8"/>
  <c r="P591" i="8"/>
  <c r="O591" i="8"/>
  <c r="P592" i="8"/>
  <c r="O592" i="8"/>
  <c r="P593" i="8"/>
  <c r="O593" i="8"/>
  <c r="P594" i="8"/>
  <c r="O594" i="8"/>
  <c r="P595" i="8"/>
  <c r="O595" i="8"/>
  <c r="P596" i="8"/>
  <c r="O596" i="8"/>
  <c r="P597" i="8"/>
  <c r="O597" i="8"/>
  <c r="P598" i="8"/>
  <c r="O598" i="8"/>
  <c r="P599" i="8"/>
  <c r="O599" i="8"/>
  <c r="P600" i="8"/>
  <c r="O600" i="8"/>
  <c r="P601" i="8"/>
  <c r="O601" i="8"/>
  <c r="P602" i="8"/>
  <c r="O602" i="8"/>
  <c r="P603" i="8"/>
  <c r="O603" i="8"/>
  <c r="P604" i="8"/>
  <c r="O604" i="8"/>
  <c r="P605" i="8"/>
  <c r="O605" i="8"/>
  <c r="P606" i="8"/>
  <c r="O606" i="8"/>
  <c r="P607" i="8"/>
  <c r="O607" i="8"/>
  <c r="P608" i="8"/>
  <c r="O608" i="8"/>
  <c r="P609" i="8"/>
  <c r="O609" i="8"/>
  <c r="P610" i="8"/>
  <c r="O610" i="8"/>
  <c r="P611" i="8"/>
  <c r="O611" i="8"/>
  <c r="P612" i="8"/>
  <c r="O612" i="8"/>
  <c r="P613" i="8"/>
  <c r="O613" i="8"/>
  <c r="P614" i="8"/>
  <c r="O614" i="8"/>
  <c r="P615" i="8"/>
  <c r="O615" i="8"/>
  <c r="P616" i="8"/>
  <c r="O616" i="8"/>
  <c r="P617" i="8"/>
  <c r="O617" i="8"/>
  <c r="P618" i="8"/>
  <c r="O618" i="8"/>
  <c r="P619" i="8"/>
  <c r="O619" i="8"/>
  <c r="P620" i="8"/>
  <c r="O620" i="8"/>
  <c r="P621" i="8"/>
  <c r="O621" i="8"/>
  <c r="P622" i="8"/>
  <c r="O622" i="8"/>
  <c r="P623" i="8"/>
  <c r="O623" i="8"/>
  <c r="P624" i="8"/>
  <c r="O624" i="8"/>
  <c r="P625" i="8"/>
  <c r="O625" i="8"/>
  <c r="P626" i="8"/>
  <c r="O626" i="8"/>
  <c r="P627" i="8"/>
  <c r="O627" i="8"/>
  <c r="P628" i="8"/>
  <c r="O628" i="8"/>
  <c r="P629" i="8"/>
  <c r="O629" i="8"/>
  <c r="P630" i="8"/>
  <c r="O630" i="8"/>
  <c r="P631" i="8"/>
  <c r="O631" i="8"/>
  <c r="P632" i="8"/>
  <c r="O632" i="8"/>
  <c r="P633" i="8"/>
  <c r="O633" i="8"/>
  <c r="P634" i="8"/>
  <c r="O634" i="8"/>
  <c r="P635" i="8"/>
  <c r="O635" i="8"/>
  <c r="P636" i="8"/>
  <c r="O636" i="8"/>
  <c r="P637" i="8"/>
  <c r="O637" i="8"/>
  <c r="P638" i="8"/>
  <c r="O638" i="8"/>
  <c r="P639" i="8"/>
  <c r="O639" i="8"/>
  <c r="P640" i="8"/>
  <c r="O640" i="8"/>
  <c r="P641" i="8"/>
  <c r="O641" i="8"/>
  <c r="P642" i="8"/>
  <c r="O642" i="8"/>
  <c r="P643" i="8"/>
  <c r="O643" i="8"/>
  <c r="P644" i="8"/>
  <c r="O644" i="8"/>
  <c r="P645" i="8"/>
  <c r="O645" i="8"/>
  <c r="P646" i="8"/>
  <c r="O646" i="8"/>
  <c r="P647" i="8"/>
  <c r="O647" i="8"/>
  <c r="P648" i="8"/>
  <c r="O648" i="8"/>
  <c r="P649" i="8"/>
  <c r="O649" i="8"/>
  <c r="P650" i="8"/>
  <c r="O650" i="8"/>
  <c r="P651" i="8"/>
  <c r="O651" i="8"/>
  <c r="P652" i="8"/>
  <c r="O652" i="8"/>
  <c r="P653" i="8"/>
  <c r="O653" i="8"/>
  <c r="P654" i="8"/>
  <c r="O654" i="8"/>
  <c r="P655" i="8"/>
  <c r="O655" i="8"/>
  <c r="P656" i="8"/>
  <c r="O656" i="8"/>
  <c r="P657" i="8"/>
  <c r="O657" i="8"/>
  <c r="P658" i="8"/>
  <c r="O658" i="8"/>
  <c r="P659" i="8"/>
  <c r="O659" i="8"/>
  <c r="P660" i="8"/>
  <c r="O660" i="8"/>
  <c r="P661" i="8"/>
  <c r="O661" i="8"/>
  <c r="P662" i="8"/>
  <c r="O662" i="8"/>
  <c r="P663" i="8"/>
  <c r="O663" i="8"/>
  <c r="P664" i="8"/>
  <c r="O664" i="8"/>
  <c r="P665" i="8"/>
  <c r="O665" i="8"/>
  <c r="P666" i="8"/>
  <c r="O666" i="8"/>
  <c r="P667" i="8"/>
  <c r="O667" i="8"/>
  <c r="P668" i="8"/>
  <c r="O668" i="8"/>
  <c r="P669" i="8"/>
  <c r="O669" i="8"/>
  <c r="P670" i="8"/>
  <c r="O670" i="8"/>
  <c r="P671" i="8"/>
  <c r="O671" i="8"/>
  <c r="P672" i="8"/>
  <c r="O672" i="8"/>
  <c r="P673" i="8"/>
  <c r="O673" i="8"/>
  <c r="P674" i="8"/>
  <c r="O674" i="8"/>
  <c r="P675" i="8"/>
  <c r="O675" i="8"/>
  <c r="P676" i="8"/>
  <c r="O676" i="8"/>
  <c r="P677" i="8"/>
  <c r="O677" i="8"/>
  <c r="P678" i="8"/>
  <c r="O678" i="8"/>
  <c r="P679" i="8"/>
  <c r="O679" i="8"/>
  <c r="P680" i="8"/>
  <c r="O680" i="8"/>
  <c r="P681" i="8"/>
  <c r="O681" i="8"/>
  <c r="P682" i="8"/>
  <c r="O682" i="8"/>
  <c r="P683" i="8"/>
  <c r="O683" i="8"/>
  <c r="P684" i="8"/>
  <c r="O684" i="8"/>
  <c r="P685" i="8"/>
  <c r="O685" i="8"/>
  <c r="P686" i="8"/>
  <c r="O686" i="8"/>
  <c r="P687" i="8"/>
  <c r="O687" i="8"/>
  <c r="P688" i="8"/>
  <c r="O688" i="8"/>
  <c r="P689" i="8"/>
  <c r="O689" i="8"/>
  <c r="P690" i="8"/>
  <c r="O690" i="8"/>
  <c r="P691" i="8"/>
  <c r="O691" i="8"/>
  <c r="P692" i="8"/>
  <c r="O692" i="8"/>
  <c r="P693" i="8"/>
  <c r="O693" i="8"/>
  <c r="P694" i="8"/>
  <c r="O694" i="8"/>
  <c r="P695" i="8"/>
  <c r="O695" i="8"/>
  <c r="P696" i="8"/>
  <c r="O696" i="8"/>
  <c r="P697" i="8"/>
  <c r="O697" i="8"/>
  <c r="P698" i="8"/>
  <c r="O698" i="8"/>
  <c r="P699" i="8"/>
  <c r="O699" i="8"/>
  <c r="P700" i="8"/>
  <c r="O700" i="8"/>
  <c r="P701" i="8"/>
  <c r="O701" i="8"/>
  <c r="P702" i="8"/>
  <c r="O702" i="8"/>
  <c r="P703" i="8"/>
  <c r="O703" i="8"/>
  <c r="P704" i="8"/>
  <c r="O704" i="8"/>
  <c r="P705" i="8"/>
  <c r="O705" i="8"/>
  <c r="P706" i="8"/>
  <c r="O706" i="8"/>
  <c r="P707" i="8"/>
  <c r="O707" i="8"/>
  <c r="P708" i="8"/>
  <c r="O708" i="8"/>
  <c r="P709" i="8"/>
  <c r="O709" i="8"/>
  <c r="P710" i="8"/>
  <c r="O710" i="8"/>
  <c r="P711" i="8"/>
  <c r="O711" i="8"/>
  <c r="P712" i="8"/>
  <c r="O712" i="8"/>
  <c r="P713" i="8"/>
  <c r="O713" i="8"/>
  <c r="P714" i="8"/>
  <c r="O714" i="8"/>
  <c r="P715" i="8"/>
  <c r="O715" i="8"/>
  <c r="P716" i="8"/>
  <c r="O716" i="8"/>
  <c r="P717" i="8"/>
  <c r="O717" i="8"/>
  <c r="P718" i="8"/>
  <c r="O718" i="8"/>
  <c r="P719" i="8"/>
  <c r="O719" i="8"/>
  <c r="P720" i="8"/>
  <c r="O720" i="8"/>
  <c r="P721" i="8"/>
  <c r="O721" i="8"/>
  <c r="P722" i="8"/>
  <c r="O722" i="8"/>
  <c r="P723" i="8"/>
  <c r="O723" i="8"/>
  <c r="P724" i="8"/>
  <c r="O724" i="8"/>
  <c r="P725" i="8"/>
  <c r="O725" i="8"/>
  <c r="P726" i="8"/>
  <c r="O726" i="8"/>
  <c r="P727" i="8"/>
  <c r="O727" i="8"/>
  <c r="P728" i="8"/>
  <c r="O728" i="8"/>
  <c r="P729" i="8"/>
  <c r="O729" i="8"/>
  <c r="P730" i="8"/>
  <c r="O730" i="8"/>
  <c r="P731" i="8"/>
  <c r="O731" i="8"/>
  <c r="P732" i="8"/>
  <c r="O732" i="8"/>
  <c r="P733" i="8"/>
  <c r="O733" i="8"/>
  <c r="P734" i="8"/>
  <c r="O734" i="8"/>
  <c r="P735" i="8"/>
  <c r="O735" i="8"/>
  <c r="P736" i="8"/>
  <c r="O736" i="8"/>
  <c r="P737" i="8"/>
  <c r="O737" i="8"/>
  <c r="P738" i="8"/>
  <c r="O738" i="8"/>
  <c r="P739" i="8"/>
  <c r="O739" i="8"/>
  <c r="P740" i="8"/>
  <c r="O740" i="8"/>
  <c r="P741" i="8"/>
  <c r="O741" i="8"/>
  <c r="P742" i="8"/>
  <c r="O742" i="8"/>
  <c r="P743" i="8"/>
  <c r="O743" i="8"/>
  <c r="P744" i="8"/>
  <c r="O744" i="8"/>
  <c r="P745" i="8"/>
  <c r="O745" i="8"/>
  <c r="P746" i="8"/>
  <c r="O746" i="8"/>
  <c r="P747" i="8"/>
  <c r="O747" i="8"/>
  <c r="P748" i="8"/>
  <c r="O748" i="8"/>
  <c r="P749" i="8"/>
  <c r="O749" i="8"/>
  <c r="P750" i="8"/>
  <c r="O750" i="8"/>
  <c r="P751" i="8"/>
  <c r="O751" i="8"/>
  <c r="P752" i="8"/>
  <c r="O752" i="8"/>
  <c r="P753" i="8"/>
  <c r="O753" i="8"/>
  <c r="P754" i="8"/>
  <c r="O754" i="8"/>
  <c r="P755" i="8"/>
  <c r="O755" i="8"/>
  <c r="P756" i="8"/>
  <c r="O756" i="8"/>
  <c r="P757" i="8"/>
  <c r="O757" i="8"/>
  <c r="P758" i="8"/>
  <c r="O758" i="8"/>
  <c r="P759" i="8"/>
  <c r="O759" i="8"/>
  <c r="P760" i="8"/>
  <c r="O760" i="8"/>
  <c r="P761" i="8"/>
  <c r="O761" i="8"/>
  <c r="P762" i="8"/>
  <c r="O762" i="8"/>
  <c r="P763" i="8"/>
  <c r="O763" i="8"/>
  <c r="P764" i="8"/>
  <c r="O764" i="8"/>
  <c r="P765" i="8"/>
  <c r="O765" i="8"/>
  <c r="P766" i="8"/>
  <c r="O766" i="8"/>
  <c r="P767" i="8"/>
  <c r="O767" i="8"/>
  <c r="P768" i="8"/>
  <c r="O768" i="8"/>
  <c r="P769" i="8"/>
  <c r="O769" i="8"/>
  <c r="P770" i="8"/>
  <c r="O770" i="8"/>
  <c r="P771" i="8"/>
  <c r="O771" i="8"/>
  <c r="P772" i="8"/>
  <c r="O772" i="8"/>
  <c r="P773" i="8"/>
  <c r="O773" i="8"/>
  <c r="P774" i="8"/>
  <c r="O774" i="8"/>
  <c r="P775" i="8"/>
  <c r="O775" i="8"/>
  <c r="P776" i="8"/>
  <c r="O776" i="8"/>
  <c r="P777" i="8"/>
  <c r="O777" i="8"/>
  <c r="P778" i="8"/>
  <c r="O778" i="8"/>
  <c r="P779" i="8"/>
  <c r="O779" i="8"/>
  <c r="P780" i="8"/>
  <c r="O780" i="8"/>
  <c r="P781" i="8"/>
  <c r="O781" i="8"/>
  <c r="P782" i="8"/>
  <c r="O782" i="8"/>
  <c r="P783" i="8"/>
  <c r="O783" i="8"/>
  <c r="P784" i="8"/>
  <c r="O784" i="8"/>
  <c r="P785" i="8"/>
  <c r="O785" i="8"/>
  <c r="P786" i="8"/>
  <c r="O786" i="8"/>
  <c r="P787" i="8"/>
  <c r="O787" i="8"/>
  <c r="P788" i="8"/>
  <c r="O788" i="8"/>
  <c r="P789" i="8"/>
  <c r="O789" i="8"/>
  <c r="P790" i="8"/>
  <c r="O790" i="8"/>
  <c r="P791" i="8"/>
  <c r="O791" i="8"/>
  <c r="P792" i="8"/>
  <c r="O792" i="8"/>
  <c r="P793" i="8"/>
  <c r="O793" i="8"/>
  <c r="P794" i="8"/>
  <c r="O794" i="8"/>
  <c r="P795" i="8"/>
  <c r="O795" i="8"/>
  <c r="P796" i="8"/>
  <c r="O796" i="8"/>
  <c r="P797" i="8"/>
  <c r="O797" i="8"/>
  <c r="P798" i="8"/>
  <c r="O798" i="8"/>
  <c r="P799" i="8"/>
  <c r="O799" i="8"/>
  <c r="P800" i="8"/>
  <c r="O800" i="8"/>
  <c r="P801" i="8"/>
  <c r="O801" i="8"/>
  <c r="P802" i="8"/>
  <c r="O802" i="8"/>
  <c r="P803" i="8"/>
  <c r="O803" i="8"/>
  <c r="P804" i="8"/>
  <c r="O804" i="8"/>
  <c r="P805" i="8"/>
  <c r="O805" i="8"/>
  <c r="P806" i="8"/>
  <c r="O806" i="8"/>
  <c r="P807" i="8"/>
  <c r="O807" i="8"/>
  <c r="P808" i="8"/>
  <c r="O808" i="8"/>
  <c r="P809" i="8"/>
  <c r="O809" i="8"/>
  <c r="P810" i="8"/>
  <c r="O810" i="8"/>
  <c r="P811" i="8"/>
  <c r="O811" i="8"/>
  <c r="P812" i="8"/>
  <c r="O812" i="8"/>
  <c r="P813" i="8"/>
  <c r="O813" i="8"/>
  <c r="P814" i="8"/>
  <c r="O814" i="8"/>
  <c r="P815" i="8"/>
  <c r="O815" i="8"/>
  <c r="P816" i="8"/>
  <c r="O816" i="8"/>
  <c r="P817" i="8"/>
  <c r="O817" i="8"/>
  <c r="P818" i="8"/>
  <c r="O818" i="8"/>
  <c r="P819" i="8"/>
  <c r="O819" i="8"/>
  <c r="P820" i="8"/>
  <c r="O820" i="8"/>
  <c r="P821" i="8"/>
  <c r="O821" i="8"/>
  <c r="P822" i="8"/>
  <c r="O822" i="8"/>
  <c r="P823" i="8"/>
  <c r="O823" i="8"/>
  <c r="P824" i="8"/>
  <c r="O824" i="8"/>
  <c r="P825" i="8"/>
  <c r="O825" i="8"/>
  <c r="P826" i="8"/>
  <c r="O826" i="8"/>
  <c r="P827" i="8"/>
  <c r="O827" i="8"/>
  <c r="P828" i="8"/>
  <c r="O828" i="8"/>
  <c r="P829" i="8"/>
  <c r="O829" i="8"/>
  <c r="P830" i="8"/>
  <c r="O830" i="8"/>
  <c r="P831" i="8"/>
  <c r="O831" i="8"/>
  <c r="P832" i="8"/>
  <c r="O832" i="8"/>
  <c r="P833" i="8"/>
  <c r="O833" i="8"/>
  <c r="P834" i="8"/>
  <c r="O834" i="8"/>
  <c r="P835" i="8"/>
  <c r="O835" i="8"/>
  <c r="P836" i="8"/>
  <c r="O836" i="8"/>
  <c r="P837" i="8"/>
  <c r="O837" i="8"/>
  <c r="P838" i="8"/>
  <c r="O838" i="8"/>
  <c r="P839" i="8"/>
  <c r="O839" i="8"/>
  <c r="P840" i="8"/>
  <c r="O840" i="8"/>
  <c r="P841" i="8"/>
  <c r="O841" i="8"/>
  <c r="P842" i="8"/>
  <c r="O842" i="8"/>
  <c r="P843" i="8"/>
  <c r="O843" i="8"/>
  <c r="P844" i="8"/>
  <c r="O844" i="8"/>
  <c r="P845" i="8"/>
  <c r="O845" i="8"/>
  <c r="P846" i="8"/>
  <c r="O846" i="8"/>
  <c r="P847" i="8"/>
  <c r="O847" i="8"/>
  <c r="P848" i="8"/>
  <c r="O848" i="8"/>
  <c r="P849" i="8"/>
  <c r="O849" i="8"/>
  <c r="P850" i="8"/>
  <c r="O850" i="8"/>
  <c r="P851" i="8"/>
  <c r="O851" i="8"/>
  <c r="P852" i="8"/>
  <c r="O852" i="8"/>
  <c r="P853" i="8"/>
  <c r="O853" i="8"/>
  <c r="P854" i="8"/>
  <c r="O854" i="8"/>
  <c r="P855" i="8"/>
  <c r="O855" i="8"/>
  <c r="P856" i="8"/>
  <c r="O856" i="8"/>
  <c r="P857" i="8"/>
  <c r="O857" i="8"/>
  <c r="P858" i="8"/>
  <c r="O858" i="8"/>
  <c r="P859" i="8"/>
  <c r="O859" i="8"/>
  <c r="P860" i="8"/>
  <c r="O860" i="8"/>
  <c r="P861" i="8"/>
  <c r="O861" i="8"/>
  <c r="P862" i="8"/>
  <c r="O862" i="8"/>
  <c r="P863" i="8"/>
  <c r="O863" i="8"/>
  <c r="P864" i="8"/>
  <c r="O864" i="8"/>
  <c r="P865" i="8"/>
  <c r="O865" i="8"/>
  <c r="P866" i="8"/>
  <c r="O866" i="8"/>
  <c r="P867" i="8"/>
  <c r="O867" i="8"/>
  <c r="P868" i="8"/>
  <c r="O868" i="8"/>
  <c r="P869" i="8"/>
  <c r="O869" i="8"/>
  <c r="P870" i="8"/>
  <c r="O870" i="8"/>
  <c r="P871" i="8"/>
  <c r="O871" i="8"/>
  <c r="P872" i="8"/>
  <c r="O872" i="8"/>
  <c r="P873" i="8"/>
  <c r="O873" i="8"/>
  <c r="P874" i="8"/>
  <c r="O874" i="8"/>
  <c r="P875" i="8"/>
  <c r="O875" i="8"/>
  <c r="P876" i="8"/>
  <c r="O876" i="8"/>
  <c r="P877" i="8"/>
  <c r="O877" i="8"/>
  <c r="P878" i="8"/>
  <c r="O878" i="8"/>
  <c r="P879" i="8"/>
  <c r="O879" i="8"/>
  <c r="P880" i="8"/>
  <c r="O880" i="8"/>
  <c r="P881" i="8"/>
  <c r="O881" i="8"/>
  <c r="P882" i="8"/>
  <c r="O882" i="8"/>
  <c r="P883" i="8"/>
  <c r="O883" i="8"/>
  <c r="P884" i="8"/>
  <c r="O884" i="8"/>
  <c r="P885" i="8"/>
  <c r="O885" i="8"/>
  <c r="P886" i="8"/>
  <c r="O886" i="8"/>
  <c r="P887" i="8"/>
  <c r="O887" i="8"/>
  <c r="P888" i="8"/>
  <c r="O888" i="8"/>
  <c r="P889" i="8"/>
  <c r="O889" i="8"/>
  <c r="P890" i="8"/>
  <c r="O890" i="8"/>
  <c r="P891" i="8"/>
  <c r="O891" i="8"/>
  <c r="P892" i="8"/>
  <c r="O892" i="8"/>
  <c r="P893" i="8"/>
  <c r="O893" i="8"/>
  <c r="P894" i="8"/>
  <c r="O894" i="8"/>
  <c r="P895" i="8"/>
  <c r="O895" i="8"/>
  <c r="P896" i="8"/>
  <c r="O896" i="8"/>
  <c r="P897" i="8"/>
  <c r="O897" i="8"/>
  <c r="P898" i="8"/>
  <c r="O898" i="8"/>
  <c r="P899" i="8"/>
  <c r="O899" i="8"/>
  <c r="P900" i="8"/>
  <c r="O900" i="8"/>
  <c r="P901" i="8"/>
  <c r="O901" i="8"/>
  <c r="P902" i="8"/>
  <c r="O902" i="8"/>
  <c r="P903" i="8"/>
  <c r="O903" i="8"/>
  <c r="P904" i="8"/>
  <c r="O904" i="8"/>
  <c r="P905" i="8"/>
  <c r="O905" i="8"/>
  <c r="P906" i="8"/>
  <c r="O906" i="8"/>
  <c r="P907" i="8"/>
  <c r="O907" i="8"/>
  <c r="P908" i="8"/>
  <c r="O908" i="8"/>
  <c r="P909" i="8"/>
  <c r="O909" i="8"/>
  <c r="P910" i="8"/>
  <c r="O910" i="8"/>
  <c r="P911" i="8"/>
  <c r="O911" i="8"/>
  <c r="P912" i="8"/>
  <c r="O912" i="8"/>
  <c r="P913" i="8"/>
  <c r="O913" i="8"/>
  <c r="P914" i="8"/>
  <c r="O914" i="8"/>
  <c r="P915" i="8"/>
  <c r="O915" i="8"/>
  <c r="P916" i="8"/>
  <c r="O916" i="8"/>
  <c r="P917" i="8"/>
  <c r="O917" i="8"/>
  <c r="P918" i="8"/>
  <c r="O918" i="8"/>
  <c r="P919" i="8"/>
  <c r="O919" i="8"/>
  <c r="P920" i="8"/>
  <c r="O920" i="8"/>
  <c r="P921" i="8"/>
  <c r="O921" i="8"/>
  <c r="P922" i="8"/>
  <c r="O922" i="8"/>
  <c r="P923" i="8"/>
  <c r="O923" i="8"/>
  <c r="P924" i="8"/>
  <c r="O924" i="8"/>
  <c r="P925" i="8"/>
  <c r="O925" i="8"/>
  <c r="P926" i="8"/>
  <c r="O926" i="8"/>
  <c r="P927" i="8"/>
  <c r="O927" i="8"/>
  <c r="P928" i="8"/>
  <c r="O928" i="8"/>
  <c r="P929" i="8"/>
  <c r="O929" i="8"/>
  <c r="P930" i="8"/>
  <c r="O930" i="8"/>
  <c r="P931" i="8"/>
  <c r="O931" i="8"/>
  <c r="P932" i="8"/>
  <c r="O932" i="8"/>
  <c r="P933" i="8"/>
  <c r="O933" i="8"/>
  <c r="P934" i="8"/>
  <c r="O934" i="8"/>
  <c r="P935" i="8"/>
  <c r="O935" i="8"/>
  <c r="P936" i="8"/>
  <c r="O936" i="8"/>
  <c r="P937" i="8"/>
  <c r="O937" i="8"/>
  <c r="P938" i="8"/>
  <c r="O938" i="8"/>
  <c r="P939" i="8"/>
  <c r="O939" i="8"/>
  <c r="P940" i="8"/>
  <c r="O940" i="8"/>
  <c r="P941" i="8"/>
  <c r="O941" i="8"/>
  <c r="P942" i="8"/>
  <c r="O942" i="8"/>
  <c r="P943" i="8"/>
  <c r="O943" i="8"/>
  <c r="P944" i="8"/>
  <c r="O944" i="8"/>
  <c r="P945" i="8"/>
  <c r="O945" i="8"/>
  <c r="P946" i="8"/>
  <c r="O946" i="8"/>
  <c r="P947" i="8"/>
  <c r="O947" i="8"/>
  <c r="P948" i="8"/>
  <c r="O948" i="8"/>
  <c r="P949" i="8"/>
  <c r="O949" i="8"/>
  <c r="P950" i="8"/>
  <c r="O950" i="8"/>
  <c r="P951" i="8"/>
  <c r="O951" i="8"/>
  <c r="P952" i="8"/>
  <c r="O952" i="8"/>
  <c r="P953" i="8"/>
  <c r="O953" i="8"/>
  <c r="P954" i="8"/>
  <c r="O954" i="8"/>
  <c r="P955" i="8"/>
  <c r="O955" i="8"/>
  <c r="P956" i="8"/>
  <c r="O956" i="8"/>
  <c r="P957" i="8"/>
  <c r="O957" i="8"/>
  <c r="P958" i="8"/>
  <c r="O958" i="8"/>
  <c r="P959" i="8"/>
  <c r="O959" i="8"/>
  <c r="P960" i="8"/>
  <c r="O960" i="8"/>
  <c r="P961" i="8"/>
  <c r="O961" i="8"/>
  <c r="P962" i="8"/>
  <c r="O962" i="8"/>
  <c r="P963" i="8"/>
  <c r="O963" i="8"/>
  <c r="P964" i="8"/>
  <c r="O964" i="8"/>
  <c r="P965" i="8"/>
  <c r="O965" i="8"/>
  <c r="P966" i="8"/>
  <c r="O966" i="8"/>
  <c r="P967" i="8"/>
  <c r="O967" i="8"/>
  <c r="P968" i="8"/>
  <c r="O968" i="8"/>
  <c r="P969" i="8"/>
  <c r="O969" i="8"/>
  <c r="P970" i="8"/>
  <c r="O970" i="8"/>
  <c r="P971" i="8"/>
  <c r="O971" i="8"/>
  <c r="P972" i="8"/>
  <c r="O972" i="8"/>
  <c r="P973" i="8"/>
  <c r="O973" i="8"/>
  <c r="P974" i="8"/>
  <c r="O974" i="8"/>
  <c r="P975" i="8"/>
  <c r="O975" i="8"/>
  <c r="P976" i="8"/>
  <c r="O976" i="8"/>
  <c r="P977" i="8"/>
  <c r="O977" i="8"/>
  <c r="P978" i="8"/>
  <c r="O978" i="8"/>
  <c r="P979" i="8"/>
  <c r="O979" i="8"/>
  <c r="P980" i="8"/>
  <c r="O980" i="8"/>
  <c r="P981" i="8"/>
  <c r="O981" i="8"/>
  <c r="P982" i="8"/>
  <c r="O982" i="8"/>
  <c r="P983" i="8"/>
  <c r="O983" i="8"/>
  <c r="P984" i="8"/>
  <c r="O984" i="8"/>
  <c r="P985" i="8"/>
  <c r="O985" i="8"/>
  <c r="P986" i="8"/>
  <c r="O986" i="8"/>
  <c r="P987" i="8"/>
  <c r="O987" i="8"/>
  <c r="P988" i="8"/>
  <c r="O988" i="8"/>
  <c r="P989" i="8"/>
  <c r="O989" i="8"/>
  <c r="P990" i="8"/>
  <c r="O990" i="8"/>
  <c r="P991" i="8"/>
  <c r="O991" i="8"/>
  <c r="P992" i="8"/>
  <c r="O992" i="8"/>
  <c r="P993" i="8"/>
  <c r="O993" i="8"/>
  <c r="P994" i="8"/>
  <c r="O994" i="8"/>
  <c r="P995" i="8"/>
  <c r="O995" i="8"/>
  <c r="P996" i="8"/>
  <c r="O996" i="8"/>
  <c r="P997" i="8"/>
  <c r="O997" i="8"/>
  <c r="P998" i="8"/>
  <c r="O998" i="8"/>
  <c r="P999" i="8"/>
  <c r="O999" i="8"/>
  <c r="P1000" i="8"/>
  <c r="O1000" i="8"/>
  <c r="P1001" i="8"/>
  <c r="O1001" i="8"/>
  <c r="P1002" i="8"/>
  <c r="O1002" i="8"/>
  <c r="P1003" i="8"/>
  <c r="O1003" i="8"/>
  <c r="P1004" i="8"/>
  <c r="O1004" i="8"/>
  <c r="P1005" i="8"/>
  <c r="O1005" i="8"/>
  <c r="P1006" i="8"/>
  <c r="O1006" i="8"/>
  <c r="P1007" i="8"/>
  <c r="O1007" i="8"/>
  <c r="P1008" i="8"/>
  <c r="O1008" i="8"/>
  <c r="P1009" i="8"/>
  <c r="O1009" i="8"/>
  <c r="P1010" i="8"/>
  <c r="O1010" i="8"/>
  <c r="P1011" i="8"/>
  <c r="O1011" i="8"/>
  <c r="P1012" i="8"/>
  <c r="O1012" i="8"/>
  <c r="P1013" i="8"/>
  <c r="O1013" i="8"/>
  <c r="P1014" i="8"/>
  <c r="O1014" i="8"/>
  <c r="P1015" i="8"/>
  <c r="O1015" i="8"/>
  <c r="P1016" i="8"/>
  <c r="O1016" i="8"/>
  <c r="P1017" i="8"/>
  <c r="O1017" i="8"/>
  <c r="P1018" i="8"/>
  <c r="O1018" i="8"/>
  <c r="P1019" i="8"/>
  <c r="O1019" i="8"/>
  <c r="P1020" i="8"/>
  <c r="O1020" i="8"/>
  <c r="P1021" i="8"/>
  <c r="O1021" i="8"/>
  <c r="P1022" i="8"/>
  <c r="O1022" i="8"/>
  <c r="P1023" i="8"/>
  <c r="O1023" i="8"/>
  <c r="P1024" i="8"/>
  <c r="O1024" i="8"/>
  <c r="P1025" i="8"/>
  <c r="O1025" i="8"/>
  <c r="P1026" i="8"/>
  <c r="O1026" i="8"/>
  <c r="P1027" i="8"/>
  <c r="O1027" i="8"/>
  <c r="P1028" i="8"/>
  <c r="O1028" i="8"/>
  <c r="P1029" i="8"/>
  <c r="O1029" i="8"/>
  <c r="P1030" i="8"/>
  <c r="O1030" i="8"/>
  <c r="P1031" i="8"/>
  <c r="O1031" i="8"/>
  <c r="P1032" i="8"/>
  <c r="O1032" i="8"/>
  <c r="P1033" i="8"/>
  <c r="O1033" i="8"/>
  <c r="P1034" i="8"/>
  <c r="O1034" i="8"/>
  <c r="P1035" i="8"/>
  <c r="O1035" i="8"/>
  <c r="P1036" i="8"/>
  <c r="O1036" i="8"/>
  <c r="P1037" i="8"/>
  <c r="O1037" i="8"/>
  <c r="P1038" i="8"/>
  <c r="O1038" i="8"/>
  <c r="P1039" i="8"/>
  <c r="O1039" i="8"/>
  <c r="P1040" i="8"/>
  <c r="O1040" i="8"/>
  <c r="P1041" i="8"/>
  <c r="O1041" i="8"/>
  <c r="P1042" i="8"/>
  <c r="O1042" i="8"/>
  <c r="P1043" i="8"/>
  <c r="O1043" i="8"/>
  <c r="P1044" i="8"/>
  <c r="O1044" i="8"/>
  <c r="P1045" i="8"/>
  <c r="O1045" i="8"/>
  <c r="P1046" i="8"/>
  <c r="O1046" i="8"/>
  <c r="P1047" i="8"/>
  <c r="O1047" i="8"/>
  <c r="P1048" i="8"/>
  <c r="O1048" i="8"/>
  <c r="P1049" i="8"/>
  <c r="O1049" i="8"/>
  <c r="P1050" i="8"/>
  <c r="O1050" i="8"/>
  <c r="P1051" i="8"/>
  <c r="O1051" i="8"/>
  <c r="P1052" i="8"/>
  <c r="O1052" i="8"/>
  <c r="P1053" i="8"/>
  <c r="O1053" i="8"/>
  <c r="P1054" i="8"/>
  <c r="O1054" i="8"/>
  <c r="P1055" i="8"/>
  <c r="O1055" i="8"/>
  <c r="P1056" i="8"/>
  <c r="O1056" i="8"/>
  <c r="P1057" i="8"/>
  <c r="O1057" i="8"/>
  <c r="P1058" i="8"/>
  <c r="O1058" i="8"/>
  <c r="P1059" i="8"/>
  <c r="O1059" i="8"/>
  <c r="P1060" i="8"/>
  <c r="O1060" i="8"/>
  <c r="P1061" i="8"/>
  <c r="O1061" i="8"/>
  <c r="P1062" i="8"/>
  <c r="O1062" i="8"/>
  <c r="P1063" i="8"/>
  <c r="O1063" i="8"/>
  <c r="P1064" i="8"/>
  <c r="O1064" i="8"/>
  <c r="P1065" i="8"/>
  <c r="O1065" i="8"/>
  <c r="P1066" i="8"/>
  <c r="O1066" i="8"/>
  <c r="P1067" i="8"/>
  <c r="O1067" i="8"/>
  <c r="P1068" i="8"/>
  <c r="O1068" i="8"/>
  <c r="P1069" i="8"/>
  <c r="O1069" i="8"/>
  <c r="P1070" i="8"/>
  <c r="O1070" i="8"/>
  <c r="P1071" i="8"/>
  <c r="O1071" i="8"/>
  <c r="P1072" i="8"/>
  <c r="O1072" i="8"/>
  <c r="P1073" i="8"/>
  <c r="O1073" i="8"/>
  <c r="P1074" i="8"/>
  <c r="O1074" i="8"/>
  <c r="P1075" i="8"/>
  <c r="O1075" i="8"/>
  <c r="P1076" i="8"/>
  <c r="O1076" i="8"/>
  <c r="P1077" i="8"/>
  <c r="O1077" i="8"/>
  <c r="P1078" i="8"/>
  <c r="O1078" i="8"/>
  <c r="P1079" i="8"/>
  <c r="O1079" i="8"/>
  <c r="P1080" i="8"/>
  <c r="O1080" i="8"/>
  <c r="P1081" i="8"/>
  <c r="O1081" i="8"/>
  <c r="P1082" i="8"/>
  <c r="O1082" i="8"/>
  <c r="P1083" i="8"/>
  <c r="O1083" i="8"/>
  <c r="P1084" i="8"/>
  <c r="O1084" i="8"/>
  <c r="P1085" i="8"/>
  <c r="O1085" i="8"/>
  <c r="P1086" i="8"/>
  <c r="O1086" i="8"/>
  <c r="P1087" i="8"/>
  <c r="O1087" i="8"/>
  <c r="P1088" i="8"/>
  <c r="O1088" i="8"/>
  <c r="P1089" i="8"/>
  <c r="O1089" i="8"/>
  <c r="P1090" i="8"/>
  <c r="O1090" i="8"/>
  <c r="P1091" i="8"/>
  <c r="O1091" i="8"/>
  <c r="P1092" i="8"/>
  <c r="O1092" i="8"/>
  <c r="P1093" i="8"/>
  <c r="O1093" i="8"/>
  <c r="P1094" i="8"/>
  <c r="O1094" i="8"/>
  <c r="P1095" i="8"/>
  <c r="O1095" i="8"/>
  <c r="P1096" i="8"/>
  <c r="O1096" i="8"/>
  <c r="P1097" i="8"/>
  <c r="O1097" i="8"/>
  <c r="P1098" i="8"/>
  <c r="O1098" i="8"/>
  <c r="P1099" i="8"/>
  <c r="O1099" i="8"/>
  <c r="P1100" i="8"/>
  <c r="O1100" i="8"/>
  <c r="P1101" i="8"/>
  <c r="O1101" i="8"/>
  <c r="P1102" i="8"/>
  <c r="O1102" i="8"/>
  <c r="P1103" i="8"/>
  <c r="O1103" i="8"/>
  <c r="P1104" i="8"/>
  <c r="O1104" i="8"/>
  <c r="P1105" i="8"/>
  <c r="O1105" i="8"/>
  <c r="P1106" i="8"/>
  <c r="O1106" i="8"/>
  <c r="P1107" i="8"/>
  <c r="O1107" i="8"/>
  <c r="P1108" i="8"/>
  <c r="O1108" i="8"/>
  <c r="P1109" i="8"/>
  <c r="O1109" i="8"/>
  <c r="P1110" i="8"/>
  <c r="O1110" i="8"/>
  <c r="P1111" i="8"/>
  <c r="O1111" i="8"/>
  <c r="P1112" i="8"/>
  <c r="O1112" i="8"/>
  <c r="P1113" i="8"/>
  <c r="O1113" i="8"/>
  <c r="P1114" i="8"/>
  <c r="O1114" i="8"/>
  <c r="P1115" i="8"/>
  <c r="O1115" i="8"/>
  <c r="P1116" i="8"/>
  <c r="O1116" i="8"/>
  <c r="P1117" i="8"/>
  <c r="O1117" i="8"/>
  <c r="P1118" i="8"/>
  <c r="O1118" i="8"/>
  <c r="P1119" i="8"/>
  <c r="O1119" i="8"/>
  <c r="P1120" i="8"/>
  <c r="O1120" i="8"/>
  <c r="P1121" i="8"/>
  <c r="O1121" i="8"/>
  <c r="P1122" i="8"/>
  <c r="O1122" i="8"/>
  <c r="P1123" i="8"/>
  <c r="O1123" i="8"/>
  <c r="P1124" i="8"/>
  <c r="O1124" i="8"/>
  <c r="P1125" i="8"/>
  <c r="O1125" i="8"/>
  <c r="P1126" i="8"/>
  <c r="O1126" i="8"/>
  <c r="P1127" i="8"/>
  <c r="O1127" i="8"/>
  <c r="P1128" i="8"/>
  <c r="O1128" i="8"/>
  <c r="P1129" i="8"/>
  <c r="O1129" i="8"/>
  <c r="P1130" i="8"/>
  <c r="O1130" i="8"/>
  <c r="P1131" i="8"/>
  <c r="O1131" i="8"/>
  <c r="P1132" i="8"/>
  <c r="O1132" i="8"/>
  <c r="P1133" i="8"/>
  <c r="O1133" i="8"/>
  <c r="P1134" i="8"/>
  <c r="O1134" i="8"/>
  <c r="P1135" i="8"/>
  <c r="O1135" i="8"/>
  <c r="P1136" i="8"/>
  <c r="O1136" i="8"/>
  <c r="P1137" i="8"/>
  <c r="O1137" i="8"/>
  <c r="P1138" i="8"/>
  <c r="O1138" i="8"/>
  <c r="P1139" i="8"/>
  <c r="O1139" i="8"/>
  <c r="P1140" i="8"/>
  <c r="O1140" i="8"/>
  <c r="P1141" i="8"/>
  <c r="O1141" i="8"/>
  <c r="P1142" i="8"/>
  <c r="O1142" i="8"/>
  <c r="P1143" i="8"/>
  <c r="O1143" i="8"/>
  <c r="P1144" i="8"/>
  <c r="O1144" i="8"/>
  <c r="P1145" i="8"/>
  <c r="O1145" i="8"/>
  <c r="P1146" i="8"/>
  <c r="O1146" i="8"/>
  <c r="P1147" i="8"/>
  <c r="O1147" i="8"/>
  <c r="P1148" i="8"/>
  <c r="O1148" i="8"/>
  <c r="P1149" i="8"/>
  <c r="O1149" i="8"/>
  <c r="P1150" i="8"/>
  <c r="O1150" i="8"/>
  <c r="P1151" i="8"/>
  <c r="O1151" i="8"/>
  <c r="P1152" i="8"/>
  <c r="O1152" i="8"/>
  <c r="P1153" i="8"/>
  <c r="O1153" i="8"/>
  <c r="P1154" i="8"/>
  <c r="O1154" i="8"/>
  <c r="P1155" i="8"/>
  <c r="O1155" i="8"/>
  <c r="P1156" i="8"/>
  <c r="O1156" i="8"/>
  <c r="P1157" i="8"/>
  <c r="O1157" i="8"/>
  <c r="P1158" i="8"/>
  <c r="O1158" i="8"/>
  <c r="P1159" i="8"/>
  <c r="O1159" i="8"/>
  <c r="P1160" i="8"/>
  <c r="O1160" i="8"/>
  <c r="P1161" i="8"/>
  <c r="O1161" i="8"/>
  <c r="P1162" i="8"/>
  <c r="O1162" i="8"/>
  <c r="P1163" i="8"/>
  <c r="O1163" i="8"/>
  <c r="P1164" i="8"/>
  <c r="O1164" i="8"/>
  <c r="P1165" i="8"/>
  <c r="O1165" i="8"/>
  <c r="P1166" i="8"/>
  <c r="O1166" i="8"/>
  <c r="P1167" i="8"/>
  <c r="O1167" i="8"/>
  <c r="P1168" i="8"/>
  <c r="O1168" i="8"/>
  <c r="P1169" i="8"/>
  <c r="O1169" i="8"/>
  <c r="P1170" i="8"/>
  <c r="O1170" i="8"/>
  <c r="P1171" i="8"/>
  <c r="O1171" i="8"/>
  <c r="P1172" i="8"/>
  <c r="O1172" i="8"/>
  <c r="P1173" i="8"/>
  <c r="O1173" i="8"/>
  <c r="P1174" i="8"/>
  <c r="O1174" i="8"/>
  <c r="P1175" i="8"/>
  <c r="O1175" i="8"/>
  <c r="P1176" i="8"/>
  <c r="O1176" i="8"/>
  <c r="P1177" i="8"/>
  <c r="O1177" i="8"/>
  <c r="P1178" i="8"/>
  <c r="O1178" i="8"/>
  <c r="P1179" i="8"/>
  <c r="O1179" i="8"/>
  <c r="P1180" i="8"/>
  <c r="O1180" i="8"/>
  <c r="P1181" i="8"/>
  <c r="O1181" i="8"/>
  <c r="P1182" i="8"/>
  <c r="O1182" i="8"/>
  <c r="P1183" i="8"/>
  <c r="O1183" i="8"/>
  <c r="P1184" i="8"/>
  <c r="O1184" i="8"/>
  <c r="P1185" i="8"/>
  <c r="O1185" i="8"/>
  <c r="P1186" i="8"/>
  <c r="O1186" i="8"/>
  <c r="P1187" i="8"/>
  <c r="O1187" i="8"/>
  <c r="P1188" i="8"/>
  <c r="O1188" i="8"/>
  <c r="P1189" i="8"/>
  <c r="O1189" i="8"/>
  <c r="P1190" i="8"/>
  <c r="O1190" i="8"/>
  <c r="P1191" i="8"/>
  <c r="O1191" i="8"/>
  <c r="P1192" i="8"/>
  <c r="O1192" i="8"/>
  <c r="P1193" i="8"/>
  <c r="O1193" i="8"/>
  <c r="P1194" i="8"/>
  <c r="O1194" i="8"/>
  <c r="P1195" i="8"/>
  <c r="O1195" i="8"/>
  <c r="P1196" i="8"/>
  <c r="O1196" i="8"/>
  <c r="P1197" i="8"/>
  <c r="O1197" i="8"/>
  <c r="P1198" i="8"/>
  <c r="O1198" i="8"/>
  <c r="P1199" i="8"/>
  <c r="O1199" i="8"/>
  <c r="P1200" i="8"/>
  <c r="O1200" i="8"/>
  <c r="P1201" i="8"/>
  <c r="O1201" i="8"/>
  <c r="P1202" i="8"/>
  <c r="O1202" i="8"/>
  <c r="P1203" i="8"/>
  <c r="O1203" i="8"/>
  <c r="P1204" i="8"/>
  <c r="O1204" i="8"/>
  <c r="P1205" i="8"/>
  <c r="O1205" i="8"/>
  <c r="P1206" i="8"/>
  <c r="O1206" i="8"/>
  <c r="P1207" i="8"/>
  <c r="O1207" i="8"/>
  <c r="P1208" i="8"/>
  <c r="O1208" i="8"/>
  <c r="P1209" i="8"/>
  <c r="O1209" i="8"/>
  <c r="P1210" i="8"/>
  <c r="O1210" i="8"/>
  <c r="P1211" i="8"/>
  <c r="O1211" i="8"/>
  <c r="P1212" i="8"/>
  <c r="O1212" i="8"/>
  <c r="P1213" i="8"/>
  <c r="O1213" i="8"/>
  <c r="P1214" i="8"/>
  <c r="O1214" i="8"/>
  <c r="P1215" i="8"/>
  <c r="O1215" i="8"/>
  <c r="P1216" i="8"/>
  <c r="O1216" i="8"/>
  <c r="P1217" i="8"/>
  <c r="O1217" i="8"/>
  <c r="P1218" i="8"/>
  <c r="O1218" i="8"/>
  <c r="P1219" i="8"/>
  <c r="O1219" i="8"/>
  <c r="P1220" i="8"/>
  <c r="O1220" i="8"/>
  <c r="P1221" i="8"/>
  <c r="O1221" i="8"/>
  <c r="P1222" i="8"/>
  <c r="O1222" i="8"/>
  <c r="P1223" i="8"/>
  <c r="O1223" i="8"/>
  <c r="P1224" i="8"/>
  <c r="O1224" i="8"/>
  <c r="P1225" i="8"/>
  <c r="O1225" i="8"/>
  <c r="P1226" i="8"/>
  <c r="O1226" i="8"/>
  <c r="P1227" i="8"/>
  <c r="O1227" i="8"/>
  <c r="P1228" i="8"/>
  <c r="O1228" i="8"/>
  <c r="P1229" i="8"/>
  <c r="O1229" i="8"/>
  <c r="P1230" i="8"/>
  <c r="O1230" i="8"/>
  <c r="P1231" i="8"/>
  <c r="O1231" i="8"/>
  <c r="P1232" i="8"/>
  <c r="O1232" i="8"/>
  <c r="P1233" i="8"/>
  <c r="O1233" i="8"/>
  <c r="P1234" i="8"/>
  <c r="O1234" i="8"/>
  <c r="P1235" i="8"/>
  <c r="O1235" i="8"/>
  <c r="P1236" i="8"/>
  <c r="O1236" i="8"/>
  <c r="P1237" i="8"/>
  <c r="O1237" i="8"/>
  <c r="P1238" i="8"/>
  <c r="O1238" i="8"/>
  <c r="P1239" i="8"/>
  <c r="O1239" i="8"/>
  <c r="P1240" i="8"/>
  <c r="O1240" i="8"/>
  <c r="P1241" i="8"/>
  <c r="O1241" i="8"/>
  <c r="P1242" i="8"/>
  <c r="O1242" i="8"/>
  <c r="P1243" i="8"/>
  <c r="O1243" i="8"/>
  <c r="P1244" i="8"/>
  <c r="O1244" i="8"/>
  <c r="P1245" i="8"/>
  <c r="O1245" i="8"/>
  <c r="P1246" i="8"/>
  <c r="O1246" i="8"/>
  <c r="P1247" i="8"/>
  <c r="O1247" i="8"/>
  <c r="P1248" i="8"/>
  <c r="O1248" i="8"/>
  <c r="P1249" i="8"/>
  <c r="O1249" i="8"/>
  <c r="P1250" i="8"/>
  <c r="O1250" i="8"/>
  <c r="P1251" i="8"/>
  <c r="O1251" i="8"/>
  <c r="P1252" i="8"/>
  <c r="O1252" i="8"/>
  <c r="P1253" i="8"/>
  <c r="O1253" i="8"/>
  <c r="P1254" i="8"/>
  <c r="O1254" i="8"/>
  <c r="P1255" i="8"/>
  <c r="O1255" i="8"/>
  <c r="P1256" i="8"/>
  <c r="O1256" i="8"/>
  <c r="P1257" i="8"/>
  <c r="O1257" i="8"/>
  <c r="P1258" i="8"/>
  <c r="O1258" i="8"/>
  <c r="P1259" i="8"/>
  <c r="O1259" i="8"/>
  <c r="P1260" i="8"/>
  <c r="O1260" i="8"/>
  <c r="P1261" i="8"/>
  <c r="O1261" i="8"/>
  <c r="P1262" i="8"/>
  <c r="O1262" i="8"/>
  <c r="P1263" i="8"/>
  <c r="O1263" i="8"/>
  <c r="P1264" i="8"/>
  <c r="O1264" i="8"/>
  <c r="P1265" i="8"/>
  <c r="O1265" i="8"/>
  <c r="P1266" i="8"/>
  <c r="O1266" i="8"/>
  <c r="P1267" i="8"/>
  <c r="O1267" i="8"/>
  <c r="P1268" i="8"/>
  <c r="O1268" i="8"/>
  <c r="P1269" i="8"/>
  <c r="O1269" i="8"/>
  <c r="P1270" i="8"/>
  <c r="O1270" i="8"/>
  <c r="P1271" i="8"/>
  <c r="O1271" i="8"/>
  <c r="P1272" i="8"/>
  <c r="O1272" i="8"/>
  <c r="P1273" i="8"/>
  <c r="O1273" i="8"/>
  <c r="P1274" i="8"/>
  <c r="O1274" i="8"/>
  <c r="P1275" i="8"/>
  <c r="O1275" i="8"/>
  <c r="P1276" i="8"/>
  <c r="O1276" i="8"/>
  <c r="P1277" i="8"/>
  <c r="O1277" i="8"/>
  <c r="P1278" i="8"/>
  <c r="O1278" i="8"/>
  <c r="P1279" i="8"/>
  <c r="O1279" i="8"/>
  <c r="P1280" i="8"/>
  <c r="O1280" i="8"/>
  <c r="P1281" i="8"/>
  <c r="O1281" i="8"/>
  <c r="P1282" i="8"/>
  <c r="O1282" i="8"/>
  <c r="P1283" i="8"/>
  <c r="O1283" i="8"/>
  <c r="P1284" i="8"/>
  <c r="O1284" i="8"/>
  <c r="P1285" i="8"/>
  <c r="O1285" i="8"/>
  <c r="P1286" i="8"/>
  <c r="O1286" i="8"/>
  <c r="P1287" i="8"/>
  <c r="O1287" i="8"/>
  <c r="P1288" i="8"/>
  <c r="O1288" i="8"/>
  <c r="P1289" i="8"/>
  <c r="O1289" i="8"/>
  <c r="P1290" i="8"/>
  <c r="O1290" i="8"/>
  <c r="P1291" i="8"/>
  <c r="O1291" i="8"/>
  <c r="P1292" i="8"/>
  <c r="O1292" i="8"/>
  <c r="P1293" i="8"/>
  <c r="O1293" i="8"/>
  <c r="P1294" i="8"/>
  <c r="O1294" i="8"/>
  <c r="P1295" i="8"/>
  <c r="O1295" i="8"/>
  <c r="P1296" i="8"/>
  <c r="O1296" i="8"/>
  <c r="P1297" i="8"/>
  <c r="O1297" i="8"/>
  <c r="P1298" i="8"/>
  <c r="O1298" i="8"/>
  <c r="P1299" i="8"/>
  <c r="O1299" i="8"/>
  <c r="P1300" i="8"/>
  <c r="O1300" i="8"/>
  <c r="P1301" i="8"/>
  <c r="O1301" i="8"/>
  <c r="P1302" i="8"/>
  <c r="O1302" i="8"/>
  <c r="P1303" i="8"/>
  <c r="O1303" i="8"/>
  <c r="P1304" i="8"/>
  <c r="O1304" i="8"/>
  <c r="P1305" i="8"/>
  <c r="O1305" i="8"/>
  <c r="P1306" i="8"/>
  <c r="O1306" i="8"/>
  <c r="P1307" i="8"/>
  <c r="O1307" i="8"/>
  <c r="P1308" i="8"/>
  <c r="O1308" i="8"/>
  <c r="P1309" i="8"/>
  <c r="O1309" i="8"/>
  <c r="P1310" i="8"/>
  <c r="O1310" i="8"/>
  <c r="P1311" i="8"/>
  <c r="O1311" i="8"/>
  <c r="P1312" i="8"/>
  <c r="O1312" i="8"/>
  <c r="P1313" i="8"/>
  <c r="O1313" i="8"/>
  <c r="P1314" i="8"/>
  <c r="O1314" i="8"/>
  <c r="P1315" i="8"/>
  <c r="O1315" i="8"/>
  <c r="P1316" i="8"/>
  <c r="O1316" i="8"/>
  <c r="P1317" i="8"/>
  <c r="O1317" i="8"/>
  <c r="P1318" i="8"/>
  <c r="O1318" i="8"/>
  <c r="P1319" i="8"/>
  <c r="O1319" i="8"/>
  <c r="P1320" i="8"/>
  <c r="O1320" i="8"/>
  <c r="P1321" i="8"/>
  <c r="O1321" i="8"/>
  <c r="P1322" i="8"/>
  <c r="O1322" i="8"/>
  <c r="P1323" i="8"/>
  <c r="O1323" i="8"/>
  <c r="P1324" i="8"/>
  <c r="O1324" i="8"/>
  <c r="P1325" i="8"/>
  <c r="O1325" i="8"/>
  <c r="P1326" i="8"/>
  <c r="O1326" i="8"/>
  <c r="P1327" i="8"/>
  <c r="O1327" i="8"/>
  <c r="P1328" i="8"/>
  <c r="O1328" i="8"/>
  <c r="P1329" i="8"/>
  <c r="O1329" i="8"/>
  <c r="P1330" i="8"/>
  <c r="O1330" i="8"/>
  <c r="P1331" i="8"/>
  <c r="O1331" i="8"/>
  <c r="P1332" i="8"/>
  <c r="O1332" i="8"/>
  <c r="P1333" i="8"/>
  <c r="O1333" i="8"/>
  <c r="P1334" i="8"/>
  <c r="O1334" i="8"/>
  <c r="P1335" i="8"/>
  <c r="O1335" i="8"/>
  <c r="P1336" i="8"/>
  <c r="O1336" i="8"/>
  <c r="P1337" i="8"/>
  <c r="O1337" i="8"/>
  <c r="P1338" i="8"/>
  <c r="O1338" i="8"/>
  <c r="P1339" i="8"/>
  <c r="O1339" i="8"/>
  <c r="P1340" i="8"/>
  <c r="O1340" i="8"/>
  <c r="P1341" i="8"/>
  <c r="O1341" i="8"/>
  <c r="P1342" i="8"/>
  <c r="O1342" i="8"/>
  <c r="P1343" i="8"/>
  <c r="O1343" i="8"/>
  <c r="P1344" i="8"/>
  <c r="O1344" i="8"/>
  <c r="P1345" i="8"/>
  <c r="O1345" i="8"/>
  <c r="P1346" i="8"/>
  <c r="O1346" i="8"/>
  <c r="P1347" i="8"/>
  <c r="O1347" i="8"/>
  <c r="P1348" i="8"/>
  <c r="O1348" i="8"/>
  <c r="P1349" i="8"/>
  <c r="O1349" i="8"/>
  <c r="P1350" i="8"/>
  <c r="O1350" i="8"/>
  <c r="P1351" i="8"/>
  <c r="O1351" i="8"/>
  <c r="P1352" i="8"/>
  <c r="O1352" i="8"/>
  <c r="P1353" i="8"/>
  <c r="O1353" i="8"/>
  <c r="P1354" i="8"/>
  <c r="O1354" i="8"/>
  <c r="P1355" i="8"/>
  <c r="O1355" i="8"/>
  <c r="P1356" i="8"/>
  <c r="O1356" i="8"/>
  <c r="P1357" i="8"/>
  <c r="O1357" i="8"/>
  <c r="P1358" i="8"/>
  <c r="O1358" i="8"/>
  <c r="P1359" i="8"/>
  <c r="O1359" i="8"/>
  <c r="P1360" i="8"/>
  <c r="O1360" i="8"/>
  <c r="P1361" i="8"/>
  <c r="O1361" i="8"/>
  <c r="P1362" i="8"/>
  <c r="O1362" i="8"/>
  <c r="P1363" i="8"/>
  <c r="O1363" i="8"/>
  <c r="P1364" i="8"/>
  <c r="O1364" i="8"/>
  <c r="P1365" i="8"/>
  <c r="O1365" i="8"/>
  <c r="P1366" i="8"/>
  <c r="O1366" i="8"/>
  <c r="P1367" i="8"/>
  <c r="O1367" i="8"/>
  <c r="P1368" i="8"/>
  <c r="O1368" i="8"/>
  <c r="P1369" i="8"/>
  <c r="O1369" i="8"/>
  <c r="P1370" i="8"/>
  <c r="O1370" i="8"/>
  <c r="P1371" i="8"/>
  <c r="O1371" i="8"/>
  <c r="P1372" i="8"/>
  <c r="O1372" i="8"/>
  <c r="P1373" i="8"/>
  <c r="O1373" i="8"/>
  <c r="P1374" i="8"/>
  <c r="O1374" i="8"/>
  <c r="P1375" i="8"/>
  <c r="O1375" i="8"/>
  <c r="P1376" i="8"/>
  <c r="O1376" i="8"/>
  <c r="P1377" i="8"/>
  <c r="O1377" i="8"/>
  <c r="P1378" i="8"/>
  <c r="O1378" i="8"/>
  <c r="P1379" i="8"/>
  <c r="O1379" i="8"/>
  <c r="P1380" i="8"/>
  <c r="O1380" i="8"/>
  <c r="P1381" i="8"/>
  <c r="O1381" i="8"/>
  <c r="P1382" i="8"/>
  <c r="O1382" i="8"/>
  <c r="P1383" i="8"/>
  <c r="O1383" i="8"/>
  <c r="P1384" i="8"/>
  <c r="O1384" i="8"/>
  <c r="P1385" i="8"/>
  <c r="O1385" i="8"/>
  <c r="P1386" i="8"/>
  <c r="O1386" i="8"/>
  <c r="P1387" i="8"/>
  <c r="O1387" i="8"/>
  <c r="P1388" i="8"/>
  <c r="O1388" i="8"/>
  <c r="P1389" i="8"/>
  <c r="O1389" i="8"/>
  <c r="P1390" i="8"/>
  <c r="O1390" i="8"/>
  <c r="P1391" i="8"/>
  <c r="O1391" i="8"/>
  <c r="P1392" i="8"/>
  <c r="O1392" i="8"/>
  <c r="P1393" i="8"/>
  <c r="O1393" i="8"/>
  <c r="P1394" i="8"/>
  <c r="O1394" i="8"/>
  <c r="P1395" i="8"/>
  <c r="O1395" i="8"/>
  <c r="P1396" i="8"/>
  <c r="O1396" i="8"/>
  <c r="P1397" i="8"/>
  <c r="O1397" i="8"/>
  <c r="P1398" i="8"/>
  <c r="O1398" i="8"/>
  <c r="P1399" i="8"/>
  <c r="O1399" i="8"/>
  <c r="P1400" i="8"/>
  <c r="O1400" i="8"/>
  <c r="P1401" i="8"/>
  <c r="O1401" i="8"/>
  <c r="P1402" i="8"/>
  <c r="O1402" i="8"/>
  <c r="P1403" i="8"/>
  <c r="O1403" i="8"/>
  <c r="P1404" i="8"/>
  <c r="O1404" i="8"/>
  <c r="P1405" i="8"/>
  <c r="O1405" i="8"/>
  <c r="P1406" i="8"/>
  <c r="O1406" i="8"/>
  <c r="P1407" i="8"/>
  <c r="O1407" i="8"/>
  <c r="P1408" i="8"/>
  <c r="O1408" i="8"/>
  <c r="P1409" i="8"/>
  <c r="O1409" i="8"/>
  <c r="P1410" i="8"/>
  <c r="O1410" i="8"/>
  <c r="P1411" i="8"/>
  <c r="O1411" i="8"/>
  <c r="P1412" i="8"/>
  <c r="O1412" i="8"/>
  <c r="P1413" i="8"/>
  <c r="O1413" i="8"/>
  <c r="P1414" i="8"/>
  <c r="O1414" i="8"/>
  <c r="P1415" i="8"/>
  <c r="O1415" i="8"/>
  <c r="P1416" i="8"/>
  <c r="O1416" i="8"/>
  <c r="P1417" i="8"/>
  <c r="O1417" i="8"/>
  <c r="P1418" i="8"/>
  <c r="O1418" i="8"/>
  <c r="P1419" i="8"/>
  <c r="O1419" i="8"/>
  <c r="P1420" i="8"/>
  <c r="O1420" i="8"/>
  <c r="P1421" i="8"/>
  <c r="O1421" i="8"/>
  <c r="P1422" i="8"/>
  <c r="O1422" i="8"/>
  <c r="P1423" i="8"/>
  <c r="O1423" i="8"/>
  <c r="P1424" i="8"/>
  <c r="O1424" i="8"/>
  <c r="P1425" i="8"/>
  <c r="O1425" i="8"/>
  <c r="P1426" i="8"/>
  <c r="O1426" i="8"/>
  <c r="P1427" i="8"/>
  <c r="O1427" i="8"/>
  <c r="P1428" i="8"/>
  <c r="O1428" i="8"/>
  <c r="P1429" i="8"/>
  <c r="O1429" i="8"/>
  <c r="P1430" i="8"/>
  <c r="O1430" i="8"/>
  <c r="P1431" i="8"/>
  <c r="O1431" i="8"/>
  <c r="P1432" i="8"/>
  <c r="O1432" i="8"/>
  <c r="P1433" i="8"/>
  <c r="O1433" i="8"/>
  <c r="P1434" i="8"/>
  <c r="O1434" i="8"/>
  <c r="P1435" i="8"/>
  <c r="O1435" i="8"/>
  <c r="P1436" i="8"/>
  <c r="O1436" i="8"/>
  <c r="P1437" i="8"/>
  <c r="O1437" i="8"/>
  <c r="P1438" i="8"/>
  <c r="O1438" i="8"/>
  <c r="P1439" i="8"/>
  <c r="O1439" i="8"/>
  <c r="P1440" i="8"/>
  <c r="O1440" i="8"/>
  <c r="P1441" i="8"/>
  <c r="O1441" i="8"/>
  <c r="P1442" i="8"/>
  <c r="O1442" i="8"/>
  <c r="P1443" i="8"/>
  <c r="O1443" i="8"/>
  <c r="P1444" i="8"/>
  <c r="O1444" i="8"/>
  <c r="P1445" i="8"/>
  <c r="O1445" i="8"/>
  <c r="P1446" i="8"/>
  <c r="O1446" i="8"/>
  <c r="P1447" i="8"/>
  <c r="O1447" i="8"/>
  <c r="P1448" i="8"/>
  <c r="O1448" i="8"/>
  <c r="P1449" i="8"/>
  <c r="O1449" i="8"/>
  <c r="P1450" i="8"/>
  <c r="O1450" i="8"/>
  <c r="P1451" i="8"/>
  <c r="O1451" i="8"/>
  <c r="P1452" i="8"/>
  <c r="O1452" i="8"/>
  <c r="P1453" i="8"/>
  <c r="O1453" i="8"/>
  <c r="P1454" i="8"/>
  <c r="O1454" i="8"/>
  <c r="P1455" i="8"/>
  <c r="O1455" i="8"/>
  <c r="P1456" i="8"/>
  <c r="O1456" i="8"/>
  <c r="P1457" i="8"/>
  <c r="O1457" i="8"/>
  <c r="P1458" i="8"/>
  <c r="O1458" i="8"/>
  <c r="P1459" i="8"/>
  <c r="O1459" i="8"/>
  <c r="P1460" i="8"/>
  <c r="O1460" i="8"/>
  <c r="P1461" i="8"/>
  <c r="O1461" i="8"/>
  <c r="P1462" i="8"/>
  <c r="O1462" i="8"/>
  <c r="P1463" i="8"/>
  <c r="O1463" i="8"/>
  <c r="P1464" i="8"/>
  <c r="O1464" i="8"/>
  <c r="P1465" i="8"/>
  <c r="O1465" i="8"/>
  <c r="P1466" i="8"/>
  <c r="O1466" i="8"/>
  <c r="P1467" i="8"/>
  <c r="O1467" i="8"/>
  <c r="P1468" i="8"/>
  <c r="O1468" i="8"/>
  <c r="P1469" i="8"/>
  <c r="O1469" i="8"/>
  <c r="P1470" i="8"/>
  <c r="O1470" i="8"/>
  <c r="P1471" i="8"/>
  <c r="O1471" i="8"/>
  <c r="P1472" i="8"/>
  <c r="O1472" i="8"/>
  <c r="P1473" i="8"/>
  <c r="O1473" i="8"/>
  <c r="P1474" i="8"/>
  <c r="O1474" i="8"/>
  <c r="P1475" i="8"/>
  <c r="O1475" i="8"/>
  <c r="P1476" i="8"/>
  <c r="O1476" i="8"/>
  <c r="P1477" i="8"/>
  <c r="O1477" i="8"/>
  <c r="P1478" i="8"/>
  <c r="O1478" i="8"/>
  <c r="P1479" i="8"/>
  <c r="O1479" i="8"/>
  <c r="P1480" i="8"/>
  <c r="O1480" i="8"/>
  <c r="P1481" i="8"/>
  <c r="O1481" i="8"/>
  <c r="P1482" i="8"/>
  <c r="O1482" i="8"/>
  <c r="P1483" i="8"/>
  <c r="O1483" i="8"/>
  <c r="P1484" i="8"/>
  <c r="O1484" i="8"/>
  <c r="P1485" i="8"/>
  <c r="O1485" i="8"/>
  <c r="P1486" i="8"/>
  <c r="O1486" i="8"/>
  <c r="P1487" i="8"/>
  <c r="O1487" i="8"/>
  <c r="P1488" i="8"/>
  <c r="O1488" i="8"/>
  <c r="P1489" i="8"/>
  <c r="O1489" i="8"/>
  <c r="P1490" i="8"/>
  <c r="O1490" i="8"/>
  <c r="P1491" i="8"/>
  <c r="O1491" i="8"/>
  <c r="P1492" i="8"/>
  <c r="O1492" i="8"/>
  <c r="P1493" i="8"/>
  <c r="O1493" i="8"/>
  <c r="P1494" i="8"/>
  <c r="O1494" i="8"/>
  <c r="P1495" i="8"/>
  <c r="O1495" i="8"/>
  <c r="P1496" i="8"/>
  <c r="O1496" i="8"/>
  <c r="P1497" i="8"/>
  <c r="O1497" i="8"/>
  <c r="P1498" i="8"/>
  <c r="O1498" i="8"/>
  <c r="P1499" i="8"/>
  <c r="O1499" i="8"/>
  <c r="P1500" i="8"/>
  <c r="O1500" i="8"/>
  <c r="P1501" i="8"/>
  <c r="O1501" i="8"/>
  <c r="P1502" i="8"/>
  <c r="O1502" i="8"/>
  <c r="P1503" i="8"/>
  <c r="O1503" i="8"/>
  <c r="P1504" i="8"/>
  <c r="O1504" i="8"/>
  <c r="P1505" i="8"/>
  <c r="O1505" i="8"/>
  <c r="P1506" i="8"/>
  <c r="O1506" i="8"/>
  <c r="P1507" i="8"/>
  <c r="O1507" i="8"/>
  <c r="P1508" i="8"/>
  <c r="O1508" i="8"/>
  <c r="P1509" i="8"/>
  <c r="O1509" i="8"/>
  <c r="P1510" i="8"/>
  <c r="O1510" i="8"/>
  <c r="P1511" i="8"/>
  <c r="O1511" i="8"/>
  <c r="P1512" i="8"/>
  <c r="O1512" i="8"/>
  <c r="P1513" i="8"/>
  <c r="O1513" i="8"/>
  <c r="P1514" i="8"/>
  <c r="O1514" i="8"/>
  <c r="P1515" i="8"/>
  <c r="O1515" i="8"/>
  <c r="P1516" i="8"/>
  <c r="O1516" i="8"/>
  <c r="P1517" i="8"/>
  <c r="O1517" i="8"/>
  <c r="P1518" i="8"/>
  <c r="O1518" i="8"/>
  <c r="P1519" i="8"/>
  <c r="O1519" i="8"/>
  <c r="P1520" i="8"/>
  <c r="O1520" i="8"/>
  <c r="P1521" i="8"/>
  <c r="O1521" i="8"/>
  <c r="P1522" i="8"/>
  <c r="O1522" i="8"/>
  <c r="P1523" i="8"/>
  <c r="O1523" i="8"/>
  <c r="P1524" i="8"/>
  <c r="O1524" i="8"/>
  <c r="P1525" i="8"/>
  <c r="O1525" i="8"/>
  <c r="P1526" i="8"/>
  <c r="O1526" i="8"/>
  <c r="P1527" i="8"/>
  <c r="O1527" i="8"/>
  <c r="P1528" i="8"/>
  <c r="O1528" i="8"/>
  <c r="P1529" i="8"/>
  <c r="O1529" i="8"/>
  <c r="P1530" i="8"/>
  <c r="O1530" i="8"/>
  <c r="P1531" i="8"/>
  <c r="O1531" i="8"/>
  <c r="P1532" i="8"/>
  <c r="O1532" i="8"/>
  <c r="P1533" i="8"/>
  <c r="O1533" i="8"/>
  <c r="P1534" i="8"/>
  <c r="O1534" i="8"/>
  <c r="P1535" i="8"/>
  <c r="O1535" i="8"/>
  <c r="P1536" i="8"/>
  <c r="O1536" i="8"/>
  <c r="P1537" i="8"/>
  <c r="O1537" i="8"/>
  <c r="P1538" i="8"/>
  <c r="O1538" i="8"/>
  <c r="P1539" i="8"/>
  <c r="O1539" i="8"/>
  <c r="P1540" i="8"/>
  <c r="O1540" i="8"/>
  <c r="P1541" i="8"/>
  <c r="O1541" i="8"/>
  <c r="P1542" i="8"/>
  <c r="O1542" i="8"/>
  <c r="P1543" i="8"/>
  <c r="O1543" i="8"/>
  <c r="P1544" i="8"/>
  <c r="O1544" i="8"/>
  <c r="P1545" i="8"/>
  <c r="O1545" i="8"/>
  <c r="P1546" i="8"/>
  <c r="O1546" i="8"/>
  <c r="P1547" i="8"/>
  <c r="O1547" i="8"/>
  <c r="P1548" i="8"/>
  <c r="O1548" i="8"/>
  <c r="P1549" i="8"/>
  <c r="O1549" i="8"/>
  <c r="P1550" i="8"/>
  <c r="O1550" i="8"/>
  <c r="P1551" i="8"/>
  <c r="O1551" i="8"/>
  <c r="P1552" i="8"/>
  <c r="O1552" i="8"/>
  <c r="P1553" i="8"/>
  <c r="O1553" i="8"/>
  <c r="P1554" i="8"/>
  <c r="O1554" i="8"/>
  <c r="P1555" i="8"/>
  <c r="O1555" i="8"/>
  <c r="P1556" i="8"/>
  <c r="O1556" i="8"/>
  <c r="P1557" i="8"/>
  <c r="O1557" i="8"/>
  <c r="P1558" i="8"/>
  <c r="O1558" i="8"/>
  <c r="P1559" i="8"/>
  <c r="O1559" i="8"/>
  <c r="P1560" i="8"/>
  <c r="O1560" i="8"/>
  <c r="P1561" i="8"/>
  <c r="O1561" i="8"/>
  <c r="P1562" i="8"/>
  <c r="O1562" i="8"/>
  <c r="P1563" i="8"/>
  <c r="O1563" i="8"/>
  <c r="P1564" i="8"/>
  <c r="O1564" i="8"/>
  <c r="P1565" i="8"/>
  <c r="O1565" i="8"/>
  <c r="P1566" i="8"/>
  <c r="O1566" i="8"/>
  <c r="P1567" i="8"/>
  <c r="O1567" i="8"/>
  <c r="P1568" i="8"/>
  <c r="O1568" i="8"/>
  <c r="P1569" i="8"/>
  <c r="O1569" i="8"/>
  <c r="P1570" i="8"/>
  <c r="O1570" i="8"/>
  <c r="P1571" i="8"/>
  <c r="O1571" i="8"/>
  <c r="P1572" i="8"/>
  <c r="O1572" i="8"/>
  <c r="P1573" i="8"/>
  <c r="O1573" i="8"/>
  <c r="P1574" i="8"/>
  <c r="O1574" i="8"/>
  <c r="P1575" i="8"/>
  <c r="O1575" i="8"/>
  <c r="P1576" i="8"/>
  <c r="O1576" i="8"/>
  <c r="P1577" i="8"/>
  <c r="O1577" i="8"/>
  <c r="P1578" i="8"/>
  <c r="O1578" i="8"/>
  <c r="P1579" i="8"/>
  <c r="O1579" i="8"/>
  <c r="P1580" i="8"/>
  <c r="O1580" i="8"/>
  <c r="P1581" i="8"/>
  <c r="O1581" i="8"/>
  <c r="P1582" i="8"/>
  <c r="O1582" i="8"/>
  <c r="P1583" i="8"/>
  <c r="O1583" i="8"/>
  <c r="P1584" i="8"/>
  <c r="O1584" i="8"/>
  <c r="P1585" i="8"/>
  <c r="O1585" i="8"/>
  <c r="P1586" i="8"/>
  <c r="O1586" i="8"/>
  <c r="P1587" i="8"/>
  <c r="O1587" i="8"/>
  <c r="P1588" i="8"/>
  <c r="O1588" i="8"/>
  <c r="P1589" i="8"/>
  <c r="O1589" i="8"/>
  <c r="P1590" i="8"/>
  <c r="O1590" i="8"/>
  <c r="P1591" i="8"/>
  <c r="O1591" i="8"/>
  <c r="P1592" i="8"/>
  <c r="O1592" i="8"/>
  <c r="P1593" i="8"/>
  <c r="O1593" i="8"/>
  <c r="P1594" i="8"/>
  <c r="O1594" i="8"/>
  <c r="P1595" i="8"/>
  <c r="O1595" i="8"/>
  <c r="P1596" i="8"/>
  <c r="O1596" i="8"/>
  <c r="P1597" i="8"/>
  <c r="O1597" i="8"/>
  <c r="P1598" i="8"/>
  <c r="O1598" i="8"/>
  <c r="P1599" i="8"/>
  <c r="O1599" i="8"/>
  <c r="P1600" i="8"/>
  <c r="O1600" i="8"/>
  <c r="P1601" i="8"/>
  <c r="O1601" i="8"/>
  <c r="P1602" i="8"/>
  <c r="O1602" i="8"/>
  <c r="P1603" i="8"/>
  <c r="O1603" i="8"/>
  <c r="P1604" i="8"/>
  <c r="O1604" i="8"/>
  <c r="P1605" i="8"/>
  <c r="O1605" i="8"/>
  <c r="P1606" i="8"/>
  <c r="O1606" i="8"/>
  <c r="P1607" i="8"/>
  <c r="O1607" i="8"/>
  <c r="P1608" i="8"/>
  <c r="O1608" i="8"/>
  <c r="P1609" i="8"/>
  <c r="O1609" i="8"/>
  <c r="P1610" i="8"/>
  <c r="O1610" i="8"/>
  <c r="P1611" i="8"/>
  <c r="O1611" i="8"/>
  <c r="P1612" i="8"/>
  <c r="O1612" i="8"/>
  <c r="P1613" i="8"/>
  <c r="O1613" i="8"/>
  <c r="P1614" i="8"/>
  <c r="O1614" i="8"/>
  <c r="P1615" i="8"/>
  <c r="O1615" i="8"/>
  <c r="P1616" i="8"/>
  <c r="O1616" i="8"/>
  <c r="P1617" i="8"/>
  <c r="O1617" i="8"/>
  <c r="P1618" i="8"/>
  <c r="O1618" i="8"/>
  <c r="P1619" i="8"/>
  <c r="O1619" i="8"/>
  <c r="P1620" i="8"/>
  <c r="O1620" i="8"/>
  <c r="P1621" i="8"/>
  <c r="O1621" i="8"/>
  <c r="P1622" i="8"/>
  <c r="O1622" i="8"/>
  <c r="P1623" i="8"/>
  <c r="O1623" i="8"/>
  <c r="P1624" i="8"/>
  <c r="O1624" i="8"/>
  <c r="P1625" i="8"/>
  <c r="O1625" i="8"/>
  <c r="P1626" i="8"/>
  <c r="O1626" i="8"/>
  <c r="P1627" i="8"/>
  <c r="O1627" i="8"/>
  <c r="P1628" i="8"/>
  <c r="O1628" i="8"/>
  <c r="P1629" i="8"/>
  <c r="O1629" i="8"/>
  <c r="P1630" i="8"/>
  <c r="O1630" i="8"/>
  <c r="P1631" i="8"/>
  <c r="O1631" i="8"/>
  <c r="P1632" i="8"/>
  <c r="O1632" i="8"/>
  <c r="P1633" i="8"/>
  <c r="O1633" i="8"/>
  <c r="P1634" i="8"/>
  <c r="O1634" i="8"/>
  <c r="P1635" i="8"/>
  <c r="O1635" i="8"/>
  <c r="P1636" i="8"/>
  <c r="O1636" i="8"/>
  <c r="P1637" i="8"/>
  <c r="O1637" i="8"/>
  <c r="P1638" i="8"/>
  <c r="O1638" i="8"/>
  <c r="P1639" i="8"/>
  <c r="O1639" i="8"/>
  <c r="P1640" i="8"/>
  <c r="O1640" i="8"/>
  <c r="P1641" i="8"/>
  <c r="O1641" i="8"/>
  <c r="P1642" i="8"/>
  <c r="O1642" i="8"/>
  <c r="P1643" i="8"/>
  <c r="O1643" i="8"/>
  <c r="P1644" i="8"/>
  <c r="O1644" i="8"/>
  <c r="P1645" i="8"/>
  <c r="O1645" i="8"/>
  <c r="P1646" i="8"/>
  <c r="O1646" i="8"/>
  <c r="P1647" i="8"/>
  <c r="O1647" i="8"/>
  <c r="P1648" i="8"/>
  <c r="O1648" i="8"/>
  <c r="P1649" i="8"/>
  <c r="O1649" i="8"/>
  <c r="P1650" i="8"/>
  <c r="O1650" i="8"/>
  <c r="P1651" i="8"/>
  <c r="O1651" i="8"/>
  <c r="P1652" i="8"/>
  <c r="O1652" i="8"/>
  <c r="P1653" i="8"/>
  <c r="O1653" i="8"/>
  <c r="P1654" i="8"/>
  <c r="O1654" i="8"/>
  <c r="P1655" i="8"/>
  <c r="O1655" i="8"/>
  <c r="P1656" i="8"/>
  <c r="O1656" i="8"/>
  <c r="P1657" i="8"/>
  <c r="O1657" i="8"/>
  <c r="P1658" i="8"/>
  <c r="O1658" i="8"/>
  <c r="P1659" i="8"/>
  <c r="O1659" i="8"/>
  <c r="P1660" i="8"/>
  <c r="O1660" i="8"/>
  <c r="P1661" i="8"/>
  <c r="O1661" i="8"/>
  <c r="P1662" i="8"/>
  <c r="O1662" i="8"/>
  <c r="P1663" i="8"/>
  <c r="O1663" i="8"/>
  <c r="P1664" i="8"/>
  <c r="O1664" i="8"/>
  <c r="P1665" i="8"/>
  <c r="O1665" i="8"/>
  <c r="P1666" i="8"/>
  <c r="O1666" i="8"/>
  <c r="P1667" i="8"/>
  <c r="O1667" i="8"/>
  <c r="P1668" i="8"/>
  <c r="O1668" i="8"/>
  <c r="P1669" i="8"/>
  <c r="O1669" i="8"/>
  <c r="P1670" i="8"/>
  <c r="O1670" i="8"/>
  <c r="P1671" i="8"/>
  <c r="O1671" i="8"/>
  <c r="P1672" i="8"/>
  <c r="O1672" i="8"/>
  <c r="P1673" i="8"/>
  <c r="O1673" i="8"/>
  <c r="P1674" i="8"/>
  <c r="O1674" i="8"/>
  <c r="P1675" i="8"/>
  <c r="O1675" i="8"/>
  <c r="P1676" i="8"/>
  <c r="O1676" i="8"/>
  <c r="P1677" i="8"/>
  <c r="O1677" i="8"/>
  <c r="P1678" i="8"/>
  <c r="O1678" i="8"/>
  <c r="P1679" i="8"/>
  <c r="O1679" i="8"/>
  <c r="P1680" i="8"/>
  <c r="O1680" i="8"/>
  <c r="P1681" i="8"/>
  <c r="O1681" i="8"/>
  <c r="P1682" i="8"/>
  <c r="O1682" i="8"/>
  <c r="P1683" i="8"/>
  <c r="O1683" i="8"/>
  <c r="P1684" i="8"/>
  <c r="O1684" i="8"/>
  <c r="P1685" i="8"/>
  <c r="O1685" i="8"/>
  <c r="P1686" i="8"/>
  <c r="O1686" i="8"/>
  <c r="P1687" i="8"/>
  <c r="O1687" i="8"/>
  <c r="P1688" i="8"/>
  <c r="O1688" i="8"/>
  <c r="P1689" i="8"/>
  <c r="O1689" i="8"/>
  <c r="P1690" i="8"/>
  <c r="O1690" i="8"/>
  <c r="P1691" i="8"/>
  <c r="O1691" i="8"/>
  <c r="P1692" i="8"/>
  <c r="O1692" i="8"/>
  <c r="P1693" i="8"/>
  <c r="O1693" i="8"/>
  <c r="P1694" i="8"/>
  <c r="O1694" i="8"/>
  <c r="P1695" i="8"/>
  <c r="O1695" i="8"/>
  <c r="P1696" i="8"/>
  <c r="O1696" i="8"/>
  <c r="P1697" i="8"/>
  <c r="O1697" i="8"/>
  <c r="P1698" i="8"/>
  <c r="O1698" i="8"/>
  <c r="P1699" i="8"/>
  <c r="O1699" i="8"/>
  <c r="P1700" i="8"/>
  <c r="O1700" i="8"/>
  <c r="P1701" i="8"/>
  <c r="O1701" i="8"/>
  <c r="P1702" i="8"/>
  <c r="O1702" i="8"/>
  <c r="P1703" i="8"/>
  <c r="O1703" i="8"/>
  <c r="P1704" i="8"/>
  <c r="O1704" i="8"/>
  <c r="P1705" i="8"/>
  <c r="O1705" i="8"/>
  <c r="P1706" i="8"/>
  <c r="O1706" i="8"/>
  <c r="P1707" i="8"/>
  <c r="O1707" i="8"/>
  <c r="P1708" i="8"/>
  <c r="O1708" i="8"/>
  <c r="P1709" i="8"/>
  <c r="O1709" i="8"/>
  <c r="P1710" i="8"/>
  <c r="O1710" i="8"/>
  <c r="P1711" i="8"/>
  <c r="O1711" i="8"/>
  <c r="P1712" i="8"/>
  <c r="O1712" i="8"/>
  <c r="P1713" i="8"/>
  <c r="O1713" i="8"/>
  <c r="P1714" i="8"/>
  <c r="O1714" i="8"/>
  <c r="P1715" i="8"/>
  <c r="O1715" i="8"/>
  <c r="P1716" i="8"/>
  <c r="O1716" i="8"/>
  <c r="P1717" i="8"/>
  <c r="O1717" i="8"/>
  <c r="P1718" i="8"/>
  <c r="O1718" i="8"/>
  <c r="P1719" i="8"/>
  <c r="O1719" i="8"/>
  <c r="P1720" i="8"/>
  <c r="O1720" i="8"/>
  <c r="P1721" i="8"/>
  <c r="O1721" i="8"/>
  <c r="P1722" i="8"/>
  <c r="O1722" i="8"/>
  <c r="P1723" i="8"/>
  <c r="O1723" i="8"/>
  <c r="P1724" i="8"/>
  <c r="O1724" i="8"/>
  <c r="P1725" i="8"/>
  <c r="O1725" i="8"/>
  <c r="P1726" i="8"/>
  <c r="O1726" i="8"/>
  <c r="P1727" i="8"/>
  <c r="O1727" i="8"/>
  <c r="P1728" i="8"/>
  <c r="O1728" i="8"/>
  <c r="P1729" i="8"/>
  <c r="O1729" i="8"/>
  <c r="P1730" i="8"/>
  <c r="O1730" i="8"/>
  <c r="P1731" i="8"/>
  <c r="O1731" i="8"/>
  <c r="P1732" i="8"/>
  <c r="O1732" i="8"/>
  <c r="P1733" i="8"/>
  <c r="O1733" i="8"/>
  <c r="P1734" i="8"/>
  <c r="O1734" i="8"/>
  <c r="P1735" i="8"/>
  <c r="O1735" i="8"/>
  <c r="P1736" i="8"/>
  <c r="O1736" i="8"/>
  <c r="P1737" i="8"/>
  <c r="O1737" i="8"/>
  <c r="P1738" i="8"/>
  <c r="O1738" i="8"/>
  <c r="P1739" i="8"/>
  <c r="O1739" i="8"/>
  <c r="P1740" i="8"/>
  <c r="O1740" i="8"/>
  <c r="P1741" i="8"/>
  <c r="O1741" i="8"/>
  <c r="P1742" i="8"/>
  <c r="O1742" i="8"/>
  <c r="P1743" i="8"/>
  <c r="O1743" i="8"/>
  <c r="P1744" i="8"/>
  <c r="O1744" i="8"/>
  <c r="P1745" i="8"/>
  <c r="O1745" i="8"/>
  <c r="P1746" i="8"/>
  <c r="O1746" i="8"/>
  <c r="P1747" i="8"/>
  <c r="O1747" i="8"/>
  <c r="P1748" i="8"/>
  <c r="O1748" i="8"/>
  <c r="P1749" i="8"/>
  <c r="O1749" i="8"/>
  <c r="P1750" i="8"/>
  <c r="O1750" i="8"/>
  <c r="P1751" i="8"/>
  <c r="O1751" i="8"/>
  <c r="P1752" i="8"/>
  <c r="O1752" i="8"/>
  <c r="P1753" i="8"/>
  <c r="O1753" i="8"/>
  <c r="P1754" i="8"/>
  <c r="O1754" i="8"/>
  <c r="P1755" i="8"/>
  <c r="O1755" i="8"/>
  <c r="P1756" i="8"/>
  <c r="O1756" i="8"/>
  <c r="P1757" i="8"/>
  <c r="O1757" i="8"/>
  <c r="P1758" i="8"/>
  <c r="O1758" i="8"/>
  <c r="P1759" i="8"/>
  <c r="O1759" i="8"/>
  <c r="P1760" i="8"/>
  <c r="O1760" i="8"/>
  <c r="P1761" i="8"/>
  <c r="O1761" i="8"/>
  <c r="P1762" i="8"/>
  <c r="O1762" i="8"/>
  <c r="P1763" i="8"/>
  <c r="O1763" i="8"/>
  <c r="P1764" i="8"/>
  <c r="O1764" i="8"/>
  <c r="P1765" i="8"/>
  <c r="O1765" i="8"/>
  <c r="P1766" i="8"/>
  <c r="O1766" i="8"/>
  <c r="P1767" i="8"/>
  <c r="O1767" i="8"/>
  <c r="P1768" i="8"/>
  <c r="O1768" i="8"/>
  <c r="P1769" i="8"/>
  <c r="O1769" i="8"/>
  <c r="P1770" i="8"/>
  <c r="O1770" i="8"/>
  <c r="P1771" i="8"/>
  <c r="O1771" i="8"/>
  <c r="P1772" i="8"/>
  <c r="O1772" i="8"/>
  <c r="P1773" i="8"/>
  <c r="O1773" i="8"/>
  <c r="P1774" i="8"/>
  <c r="O1774" i="8"/>
  <c r="P1775" i="8"/>
  <c r="O1775" i="8"/>
  <c r="P1776" i="8"/>
  <c r="O1776" i="8"/>
  <c r="P1777" i="8"/>
  <c r="O1777" i="8"/>
  <c r="P1778" i="8"/>
  <c r="O1778" i="8"/>
  <c r="P1779" i="8"/>
  <c r="O1779" i="8"/>
  <c r="P1780" i="8"/>
  <c r="O1780" i="8"/>
  <c r="P1781" i="8"/>
  <c r="O1781" i="8"/>
  <c r="P1782" i="8"/>
  <c r="O1782" i="8"/>
  <c r="P1783" i="8"/>
  <c r="O1783" i="8"/>
  <c r="P1784" i="8"/>
  <c r="O1784" i="8"/>
  <c r="P1785" i="8"/>
  <c r="O1785" i="8"/>
  <c r="P1786" i="8"/>
  <c r="O1786" i="8"/>
  <c r="P1787" i="8"/>
  <c r="O1787" i="8"/>
  <c r="P1788" i="8"/>
  <c r="O1788" i="8"/>
  <c r="P1789" i="8"/>
  <c r="O1789" i="8"/>
  <c r="P1790" i="8"/>
  <c r="O1790" i="8"/>
  <c r="P1791" i="8"/>
  <c r="O1791" i="8"/>
  <c r="P1792" i="8"/>
  <c r="O1792" i="8"/>
  <c r="P1793" i="8"/>
  <c r="O1793" i="8"/>
  <c r="P1794" i="8"/>
  <c r="O1794" i="8"/>
  <c r="P1795" i="8"/>
  <c r="O1795" i="8"/>
  <c r="P1796" i="8"/>
  <c r="O1796" i="8"/>
  <c r="P1797" i="8"/>
  <c r="O1797" i="8"/>
  <c r="P1798" i="8"/>
  <c r="O1798" i="8"/>
  <c r="P1799" i="8"/>
  <c r="O1799" i="8"/>
  <c r="P1800" i="8"/>
  <c r="O1800" i="8"/>
  <c r="P1801" i="8"/>
  <c r="O1801" i="8"/>
  <c r="P1802" i="8"/>
  <c r="O1802" i="8"/>
  <c r="P1803" i="8"/>
  <c r="O1803" i="8"/>
  <c r="P1804" i="8"/>
  <c r="O1804" i="8"/>
  <c r="P1805" i="8"/>
  <c r="O1805" i="8"/>
  <c r="P1806" i="8"/>
  <c r="O1806" i="8"/>
  <c r="P1807" i="8"/>
  <c r="O1807" i="8"/>
  <c r="P1808" i="8"/>
  <c r="O1808" i="8"/>
  <c r="P1809" i="8"/>
  <c r="O1809" i="8"/>
  <c r="P1810" i="8"/>
  <c r="O1810" i="8"/>
  <c r="P1811" i="8"/>
  <c r="O1811" i="8"/>
  <c r="P1812" i="8"/>
  <c r="O1812" i="8"/>
  <c r="P1813" i="8"/>
  <c r="O1813" i="8"/>
  <c r="P1814" i="8"/>
  <c r="O1814" i="8"/>
  <c r="P1815" i="8"/>
  <c r="O1815" i="8"/>
  <c r="P1816" i="8"/>
  <c r="O1816" i="8"/>
  <c r="P1817" i="8"/>
  <c r="O1817" i="8"/>
  <c r="P1818" i="8"/>
  <c r="O1818" i="8"/>
  <c r="P1819" i="8"/>
  <c r="O1819" i="8"/>
  <c r="P1820" i="8"/>
  <c r="O1820" i="8"/>
  <c r="P1821" i="8"/>
  <c r="O1821" i="8"/>
  <c r="P1822" i="8"/>
  <c r="O1822" i="8"/>
  <c r="P1823" i="8"/>
  <c r="O1823" i="8"/>
  <c r="P1824" i="8"/>
  <c r="O1824" i="8"/>
  <c r="P1825" i="8"/>
  <c r="O1825" i="8"/>
  <c r="P1826" i="8"/>
  <c r="O1826" i="8"/>
  <c r="P1827" i="8"/>
  <c r="O1827" i="8"/>
  <c r="P1828" i="8"/>
  <c r="O1828" i="8"/>
  <c r="P1829" i="8"/>
  <c r="O1829" i="8"/>
  <c r="P1830" i="8"/>
  <c r="O1830" i="8"/>
  <c r="P1831" i="8"/>
  <c r="O1831" i="8"/>
  <c r="P1832" i="8"/>
  <c r="O1832" i="8"/>
  <c r="P1833" i="8"/>
  <c r="O1833" i="8"/>
  <c r="P1834" i="8"/>
  <c r="O1834" i="8"/>
  <c r="P1835" i="8"/>
  <c r="O1835" i="8"/>
  <c r="P1836" i="8"/>
  <c r="O1836" i="8"/>
  <c r="P1837" i="8"/>
  <c r="O1837" i="8"/>
  <c r="P1838" i="8"/>
  <c r="O1838" i="8"/>
  <c r="P1839" i="8"/>
  <c r="O1839" i="8"/>
  <c r="P1840" i="8"/>
  <c r="O1840" i="8"/>
  <c r="P1841" i="8"/>
  <c r="O1841" i="8"/>
  <c r="P1842" i="8"/>
  <c r="O1842" i="8"/>
  <c r="P1843" i="8"/>
  <c r="O1843" i="8"/>
  <c r="P1844" i="8"/>
  <c r="O1844" i="8"/>
  <c r="P1845" i="8"/>
  <c r="O1845" i="8"/>
  <c r="P1846" i="8"/>
  <c r="O1846" i="8"/>
  <c r="P1847" i="8"/>
  <c r="O1847" i="8"/>
  <c r="P1848" i="8"/>
  <c r="O1848" i="8"/>
  <c r="P1849" i="8"/>
  <c r="O1849" i="8"/>
  <c r="P1850" i="8"/>
  <c r="O1850" i="8"/>
  <c r="P1851" i="8"/>
  <c r="O1851" i="8"/>
  <c r="P1852" i="8"/>
  <c r="O1852" i="8"/>
  <c r="P1853" i="8"/>
  <c r="O1853" i="8"/>
  <c r="P1854" i="8"/>
  <c r="O1854" i="8"/>
  <c r="P1855" i="8"/>
  <c r="O1855" i="8"/>
  <c r="P1856" i="8"/>
  <c r="O1856" i="8"/>
  <c r="P1857" i="8"/>
  <c r="O1857" i="8"/>
  <c r="P1858" i="8"/>
  <c r="O1858" i="8"/>
  <c r="P1859" i="8"/>
  <c r="O1859" i="8"/>
  <c r="P1860" i="8"/>
  <c r="O1860" i="8"/>
  <c r="P1861" i="8"/>
  <c r="O1861" i="8"/>
  <c r="P1862" i="8"/>
  <c r="O1862" i="8"/>
  <c r="P1863" i="8"/>
  <c r="O1863" i="8"/>
  <c r="P1864" i="8"/>
  <c r="O1864" i="8"/>
  <c r="P1865" i="8"/>
  <c r="O1865" i="8"/>
  <c r="P1866" i="8"/>
  <c r="O1866" i="8"/>
  <c r="P1867" i="8"/>
  <c r="O1867" i="8"/>
  <c r="P1868" i="8"/>
  <c r="O1868" i="8"/>
  <c r="P1869" i="8"/>
  <c r="O1869" i="8"/>
  <c r="P1870" i="8"/>
  <c r="O1870" i="8"/>
  <c r="P1871" i="8"/>
  <c r="O1871" i="8"/>
  <c r="P1872" i="8"/>
  <c r="O1872" i="8"/>
  <c r="P1873" i="8"/>
  <c r="O1873" i="8"/>
  <c r="P1874" i="8"/>
  <c r="O1874" i="8"/>
  <c r="P1875" i="8"/>
  <c r="O1875" i="8"/>
  <c r="P1876" i="8"/>
  <c r="O1876" i="8"/>
  <c r="P1877" i="8"/>
  <c r="O1877" i="8"/>
  <c r="P1878" i="8"/>
  <c r="O1878" i="8"/>
  <c r="P1879" i="8"/>
  <c r="O1879" i="8"/>
  <c r="P1880" i="8"/>
  <c r="O1880" i="8"/>
  <c r="P1881" i="8"/>
  <c r="O1881" i="8"/>
  <c r="P1882" i="8"/>
  <c r="O1882" i="8"/>
  <c r="P1883" i="8"/>
  <c r="O1883" i="8"/>
  <c r="P1884" i="8"/>
  <c r="O1884" i="8"/>
  <c r="P1885" i="8"/>
  <c r="O1885" i="8"/>
  <c r="P1886" i="8"/>
  <c r="O1886" i="8"/>
  <c r="P1887" i="8"/>
  <c r="O1887" i="8"/>
  <c r="P1888" i="8"/>
  <c r="O1888" i="8"/>
  <c r="P1889" i="8"/>
  <c r="O1889" i="8"/>
  <c r="P1890" i="8"/>
  <c r="O1890" i="8"/>
  <c r="P1891" i="8"/>
  <c r="O1891" i="8"/>
  <c r="P1892" i="8"/>
  <c r="O1892" i="8"/>
  <c r="P1893" i="8"/>
  <c r="O1893" i="8"/>
  <c r="P1894" i="8"/>
  <c r="O1894" i="8"/>
  <c r="P1895" i="8"/>
  <c r="O1895" i="8"/>
  <c r="P1896" i="8"/>
  <c r="O1896" i="8"/>
  <c r="P1897" i="8"/>
  <c r="O1897" i="8"/>
  <c r="P1898" i="8"/>
  <c r="O1898" i="8"/>
  <c r="P1899" i="8"/>
  <c r="O1899" i="8"/>
  <c r="P1900" i="8"/>
  <c r="O1900" i="8"/>
  <c r="P1901" i="8"/>
  <c r="O1901" i="8"/>
  <c r="P1902" i="8"/>
  <c r="O1902" i="8"/>
  <c r="P1903" i="8"/>
  <c r="O1903" i="8"/>
  <c r="P1904" i="8"/>
  <c r="O1904" i="8"/>
  <c r="P1905" i="8"/>
  <c r="O1905" i="8"/>
  <c r="P1906" i="8"/>
  <c r="O1906" i="8"/>
  <c r="P1907" i="8"/>
  <c r="O1907" i="8"/>
  <c r="P1908" i="8"/>
  <c r="O1908" i="8"/>
  <c r="P1909" i="8"/>
  <c r="O1909" i="8"/>
  <c r="P1910" i="8"/>
  <c r="O1910" i="8"/>
  <c r="P1911" i="8"/>
  <c r="O1911" i="8"/>
  <c r="P1912" i="8"/>
  <c r="O1912" i="8"/>
  <c r="P1913" i="8"/>
  <c r="O1913" i="8"/>
  <c r="P1914" i="8"/>
  <c r="O1914" i="8"/>
  <c r="P1915" i="8"/>
  <c r="O1915" i="8"/>
  <c r="P1916" i="8"/>
  <c r="O1916" i="8"/>
  <c r="P1917" i="8"/>
  <c r="O1917" i="8"/>
  <c r="P1918" i="8"/>
  <c r="O1918" i="8"/>
  <c r="P1919" i="8"/>
  <c r="O1919" i="8"/>
  <c r="P1920" i="8"/>
  <c r="O1920" i="8"/>
  <c r="P1921" i="8"/>
  <c r="O1921" i="8"/>
  <c r="P1922" i="8"/>
  <c r="O1922" i="8"/>
  <c r="P1923" i="8"/>
  <c r="O1923" i="8"/>
  <c r="P1924" i="8"/>
  <c r="O1924" i="8"/>
  <c r="P1925" i="8"/>
  <c r="O1925" i="8"/>
  <c r="P1926" i="8"/>
  <c r="O1926" i="8"/>
  <c r="P1927" i="8"/>
  <c r="O1927" i="8"/>
  <c r="P1928" i="8"/>
  <c r="O1928" i="8"/>
  <c r="P1929" i="8"/>
  <c r="O1929" i="8"/>
  <c r="P1930" i="8"/>
  <c r="O1930" i="8"/>
  <c r="P1931" i="8"/>
  <c r="O1931" i="8"/>
  <c r="P1932" i="8"/>
  <c r="O1932" i="8"/>
  <c r="P1933" i="8"/>
  <c r="O1933" i="8"/>
  <c r="P1934" i="8"/>
  <c r="O1934" i="8"/>
  <c r="P1935" i="8"/>
  <c r="O1935" i="8"/>
  <c r="P1936" i="8"/>
  <c r="O1936" i="8"/>
  <c r="P1937" i="8"/>
  <c r="O1937" i="8"/>
  <c r="P1938" i="8"/>
  <c r="O1938" i="8"/>
  <c r="P1939" i="8"/>
  <c r="O1939" i="8"/>
  <c r="P1940" i="8"/>
  <c r="O1940" i="8"/>
  <c r="P1941" i="8"/>
  <c r="O1941" i="8"/>
  <c r="P1942" i="8"/>
  <c r="O1942" i="8"/>
  <c r="P1943" i="8"/>
  <c r="O1943" i="8"/>
  <c r="P1944" i="8"/>
  <c r="O1944" i="8"/>
  <c r="P1945" i="8"/>
  <c r="O1945" i="8"/>
  <c r="P1946" i="8"/>
  <c r="O1946" i="8"/>
  <c r="P1947" i="8"/>
  <c r="O1947" i="8"/>
  <c r="P1948" i="8"/>
  <c r="O1948" i="8"/>
  <c r="P1949" i="8"/>
  <c r="O1949" i="8"/>
  <c r="P1950" i="8"/>
  <c r="O1950" i="8"/>
  <c r="P1951" i="8"/>
  <c r="O1951" i="8"/>
  <c r="P1952" i="8"/>
  <c r="O1952" i="8"/>
  <c r="P1953" i="8"/>
  <c r="O1953" i="8"/>
  <c r="P1954" i="8"/>
  <c r="O1954" i="8"/>
  <c r="P1955" i="8"/>
  <c r="O1955" i="8"/>
  <c r="P1956" i="8"/>
  <c r="O1956" i="8"/>
  <c r="P1957" i="8"/>
  <c r="O1957" i="8"/>
  <c r="P1958" i="8"/>
  <c r="O1958" i="8"/>
  <c r="P1959" i="8"/>
  <c r="O1959" i="8"/>
  <c r="P1960" i="8"/>
  <c r="O1960" i="8"/>
  <c r="P1961" i="8"/>
  <c r="O1961" i="8"/>
  <c r="P1962" i="8"/>
  <c r="O1962" i="8"/>
  <c r="P1963" i="8"/>
  <c r="O1963" i="8"/>
  <c r="P1964" i="8"/>
  <c r="O1964" i="8"/>
  <c r="P1965" i="8"/>
  <c r="O1965" i="8"/>
  <c r="P1966" i="8"/>
  <c r="O1966" i="8"/>
  <c r="P1967" i="8"/>
  <c r="O1967" i="8"/>
  <c r="P1968" i="8"/>
  <c r="O1968" i="8"/>
  <c r="P1969" i="8"/>
  <c r="O1969" i="8"/>
  <c r="P1970" i="8"/>
  <c r="O1970" i="8"/>
  <c r="P1971" i="8"/>
  <c r="O1971" i="8"/>
  <c r="P1972" i="8"/>
  <c r="O1972" i="8"/>
  <c r="P1973" i="8"/>
  <c r="O1973" i="8"/>
  <c r="P1974" i="8"/>
  <c r="O1974" i="8"/>
  <c r="P1975" i="8"/>
  <c r="O1975" i="8"/>
  <c r="P1976" i="8"/>
  <c r="O1976" i="8"/>
  <c r="P1977" i="8"/>
  <c r="O1977" i="8"/>
  <c r="P1978" i="8"/>
  <c r="O1978" i="8"/>
  <c r="P1979" i="8"/>
  <c r="O1979" i="8"/>
  <c r="P1980" i="8"/>
  <c r="O1980" i="8"/>
  <c r="P1981" i="8"/>
  <c r="O1981" i="8"/>
  <c r="P1982" i="8"/>
  <c r="O1982" i="8"/>
  <c r="P1983" i="8"/>
  <c r="O1983" i="8"/>
  <c r="P1984" i="8"/>
  <c r="O1984" i="8"/>
  <c r="P1985" i="8"/>
  <c r="O1985" i="8"/>
  <c r="P1986" i="8"/>
  <c r="O1986" i="8"/>
  <c r="P1987" i="8"/>
  <c r="O1987" i="8"/>
  <c r="P1988" i="8"/>
  <c r="O1988" i="8"/>
  <c r="P1989" i="8"/>
  <c r="O1989" i="8"/>
  <c r="P1990" i="8"/>
  <c r="O1990" i="8"/>
  <c r="P1991" i="8"/>
  <c r="O1991" i="8"/>
  <c r="P1992" i="8"/>
  <c r="O1992" i="8"/>
  <c r="P1993" i="8"/>
  <c r="O1993" i="8"/>
  <c r="P1994" i="8"/>
  <c r="O1994" i="8"/>
  <c r="P1995" i="8"/>
  <c r="O1995" i="8"/>
  <c r="P1996" i="8"/>
  <c r="O1996" i="8"/>
  <c r="P1997" i="8"/>
  <c r="O1997" i="8"/>
  <c r="P1998" i="8"/>
  <c r="O1998" i="8"/>
  <c r="P1999" i="8"/>
  <c r="O1999" i="8"/>
  <c r="P2000" i="8"/>
  <c r="O2000" i="8"/>
  <c r="P2001" i="8"/>
  <c r="O2001" i="8"/>
  <c r="P2002" i="8"/>
  <c r="O2002" i="8"/>
  <c r="P2003" i="8"/>
  <c r="O2003" i="8"/>
  <c r="P2004" i="8"/>
  <c r="O2004" i="8"/>
  <c r="P2005" i="8"/>
  <c r="O2005" i="8"/>
  <c r="P2006" i="8"/>
  <c r="O2006" i="8"/>
  <c r="P2007" i="8"/>
  <c r="O2007" i="8"/>
  <c r="P2008" i="8"/>
  <c r="O2008" i="8"/>
  <c r="P2009" i="8"/>
  <c r="O2009" i="8"/>
  <c r="P2010" i="8"/>
  <c r="O2010" i="8"/>
  <c r="P2011" i="8"/>
  <c r="O2011" i="8"/>
  <c r="P2012" i="8"/>
  <c r="O2012" i="8"/>
  <c r="P2013" i="8"/>
  <c r="O2013" i="8"/>
  <c r="P2014" i="8"/>
  <c r="O2014" i="8"/>
  <c r="P2015" i="8"/>
  <c r="O2015" i="8"/>
  <c r="P2016" i="8"/>
  <c r="O2016" i="8"/>
  <c r="P2017" i="8"/>
  <c r="O2017" i="8"/>
  <c r="P2018" i="8"/>
  <c r="O2018" i="8"/>
  <c r="P2019" i="8"/>
  <c r="O2019" i="8"/>
  <c r="P2020" i="8"/>
  <c r="O2020" i="8"/>
  <c r="P2021" i="8"/>
  <c r="O2021" i="8"/>
  <c r="P2022" i="8"/>
  <c r="O2022" i="8"/>
  <c r="P2023" i="8"/>
  <c r="O2023" i="8"/>
  <c r="P2024" i="8"/>
  <c r="O2024" i="8"/>
  <c r="P2025" i="8"/>
  <c r="O2025" i="8"/>
  <c r="P2026" i="8"/>
  <c r="O2026" i="8"/>
  <c r="P2027" i="8"/>
  <c r="O2027" i="8"/>
  <c r="P2028" i="8"/>
  <c r="O2028" i="8"/>
  <c r="P2029" i="8"/>
  <c r="O2029" i="8"/>
  <c r="P2030" i="8"/>
  <c r="O2030" i="8"/>
  <c r="P2031" i="8"/>
  <c r="O2031" i="8"/>
  <c r="P2032" i="8"/>
  <c r="O2032" i="8"/>
  <c r="P2033" i="8"/>
  <c r="O2033" i="8"/>
  <c r="P2034" i="8"/>
  <c r="O2034" i="8"/>
  <c r="P2035" i="8"/>
  <c r="O2035" i="8"/>
  <c r="P2036" i="8"/>
  <c r="O2036" i="8"/>
  <c r="P2037" i="8"/>
  <c r="O2037" i="8"/>
  <c r="P2038" i="8"/>
  <c r="O2038" i="8"/>
  <c r="P2039" i="8"/>
  <c r="O2039" i="8"/>
  <c r="P2040" i="8"/>
  <c r="O2040" i="8"/>
  <c r="P2041" i="8"/>
  <c r="O2041" i="8"/>
  <c r="P2042" i="8"/>
  <c r="O2042" i="8"/>
  <c r="P2043" i="8"/>
  <c r="O2043" i="8"/>
  <c r="P2044" i="8"/>
  <c r="O2044" i="8"/>
  <c r="P2045" i="8"/>
  <c r="O2045" i="8"/>
  <c r="P2046" i="8"/>
  <c r="O2046" i="8"/>
  <c r="P2047" i="8"/>
  <c r="O2047" i="8"/>
  <c r="P2048" i="8"/>
  <c r="O2048" i="8"/>
  <c r="P2049" i="8"/>
  <c r="O2049" i="8"/>
  <c r="P2050" i="8"/>
  <c r="O2050" i="8"/>
  <c r="P2051" i="8"/>
  <c r="O2051" i="8"/>
  <c r="P2052" i="8"/>
  <c r="O2052" i="8"/>
  <c r="P2053" i="8"/>
  <c r="O2053" i="8"/>
  <c r="P2054" i="8"/>
  <c r="O2054" i="8"/>
  <c r="P2055" i="8"/>
  <c r="O2055" i="8"/>
  <c r="P2056" i="8"/>
  <c r="O2056" i="8"/>
  <c r="P2057" i="8"/>
  <c r="O2057" i="8"/>
  <c r="P2058" i="8"/>
  <c r="O2058" i="8"/>
  <c r="P2059" i="8"/>
  <c r="O2059" i="8"/>
  <c r="P2060" i="8"/>
  <c r="O2060" i="8"/>
  <c r="P2061" i="8"/>
  <c r="O2061" i="8"/>
  <c r="P2062" i="8"/>
  <c r="O2062" i="8"/>
  <c r="P2063" i="8"/>
  <c r="O2063" i="8"/>
  <c r="P2064" i="8"/>
  <c r="O2064" i="8"/>
  <c r="P2065" i="8"/>
  <c r="O2065" i="8"/>
  <c r="P2066" i="8"/>
  <c r="O2066" i="8"/>
  <c r="P2067" i="8"/>
  <c r="O2067" i="8"/>
  <c r="P2068" i="8"/>
  <c r="O2068" i="8"/>
  <c r="P2069" i="8"/>
  <c r="O2069" i="8"/>
  <c r="P2070" i="8"/>
  <c r="O2070" i="8"/>
  <c r="P2071" i="8"/>
  <c r="O2071" i="8"/>
  <c r="P2072" i="8"/>
  <c r="O2072" i="8"/>
  <c r="P2073" i="8"/>
  <c r="O2073" i="8"/>
  <c r="P2074" i="8"/>
  <c r="O2074" i="8"/>
  <c r="P2075" i="8"/>
  <c r="O2075" i="8"/>
  <c r="P2076" i="8"/>
  <c r="O2076" i="8"/>
  <c r="P2077" i="8"/>
  <c r="O2077" i="8"/>
  <c r="P2078" i="8"/>
  <c r="O2078" i="8"/>
  <c r="P2079" i="8"/>
  <c r="O2079" i="8"/>
  <c r="P2080" i="8"/>
  <c r="O2080" i="8"/>
  <c r="P2081" i="8"/>
  <c r="O2081" i="8"/>
  <c r="P2082" i="8"/>
  <c r="O2082" i="8"/>
  <c r="P2083" i="8"/>
  <c r="O2083" i="8"/>
  <c r="P2084" i="8"/>
  <c r="O2084" i="8"/>
  <c r="P2085" i="8"/>
  <c r="O2085" i="8"/>
  <c r="P2086" i="8"/>
  <c r="O2086" i="8"/>
  <c r="P2087" i="8"/>
  <c r="O2087" i="8"/>
  <c r="P2088" i="8"/>
  <c r="O2088" i="8"/>
  <c r="P2089" i="8"/>
  <c r="O2089" i="8"/>
  <c r="P2090" i="8"/>
  <c r="O2090" i="8"/>
  <c r="P2091" i="8"/>
  <c r="O2091" i="8"/>
  <c r="P2092" i="8"/>
  <c r="O2092" i="8"/>
  <c r="P2093" i="8"/>
  <c r="O2093" i="8"/>
  <c r="P2094" i="8"/>
  <c r="O2094" i="8"/>
  <c r="P2095" i="8"/>
  <c r="O2095" i="8"/>
  <c r="P2096" i="8"/>
  <c r="O2096" i="8"/>
  <c r="P2097" i="8"/>
  <c r="O2097" i="8"/>
  <c r="P2098" i="8"/>
  <c r="O2098" i="8"/>
  <c r="P2099" i="8"/>
  <c r="O2099" i="8"/>
  <c r="P2100" i="8"/>
  <c r="O2100" i="8"/>
  <c r="P2101" i="8"/>
  <c r="O2101" i="8"/>
  <c r="P2102" i="8"/>
  <c r="O2102" i="8"/>
  <c r="P2103" i="8"/>
  <c r="O2103" i="8"/>
  <c r="P2104" i="8"/>
  <c r="O2104" i="8"/>
  <c r="P2105" i="8"/>
  <c r="O2105" i="8"/>
  <c r="P2106" i="8"/>
  <c r="O2106" i="8"/>
  <c r="P2107" i="8"/>
  <c r="O2107" i="8"/>
  <c r="P2108" i="8"/>
  <c r="O2108" i="8"/>
  <c r="P2109" i="8"/>
  <c r="O2109" i="8"/>
  <c r="P2110" i="8"/>
  <c r="O2110" i="8"/>
  <c r="P2111" i="8"/>
  <c r="O2111" i="8"/>
  <c r="P2112" i="8"/>
  <c r="O2112" i="8"/>
  <c r="P2113" i="8"/>
  <c r="O2113" i="8"/>
  <c r="P2114" i="8"/>
  <c r="O2114" i="8"/>
  <c r="P2115" i="8"/>
  <c r="O2115" i="8"/>
  <c r="P2116" i="8"/>
  <c r="O2116" i="8"/>
  <c r="P2117" i="8"/>
  <c r="O2117" i="8"/>
  <c r="P2118" i="8"/>
  <c r="O2118" i="8"/>
  <c r="P2119" i="8"/>
  <c r="O2119" i="8"/>
  <c r="P2120" i="8"/>
  <c r="O2120" i="8"/>
  <c r="P2121" i="8"/>
  <c r="O2121" i="8"/>
  <c r="P2122" i="8"/>
  <c r="O2122" i="8"/>
  <c r="P2123" i="8"/>
  <c r="O2123" i="8"/>
  <c r="P2124" i="8"/>
  <c r="O2124" i="8"/>
  <c r="P2125" i="8"/>
  <c r="O2125" i="8"/>
  <c r="P2126" i="8"/>
  <c r="O2126" i="8"/>
  <c r="P2127" i="8"/>
  <c r="O2127" i="8"/>
  <c r="P2128" i="8"/>
  <c r="O2128" i="8"/>
  <c r="P2129" i="8"/>
  <c r="O2129" i="8"/>
  <c r="P2130" i="8"/>
  <c r="O2130" i="8"/>
  <c r="P2131" i="8"/>
  <c r="O2131" i="8"/>
  <c r="P2132" i="8"/>
  <c r="O2132" i="8"/>
  <c r="P2133" i="8"/>
  <c r="O2133" i="8"/>
  <c r="P2134" i="8"/>
  <c r="O2134" i="8"/>
  <c r="P2135" i="8"/>
  <c r="O2135" i="8"/>
  <c r="P2136" i="8"/>
  <c r="O2136" i="8"/>
  <c r="P2137" i="8"/>
  <c r="O2137" i="8"/>
  <c r="P2138" i="8"/>
  <c r="O2138" i="8"/>
  <c r="P2139" i="8"/>
  <c r="O2139" i="8"/>
  <c r="P2140" i="8"/>
  <c r="O2140" i="8"/>
  <c r="P2141" i="8"/>
  <c r="O2141" i="8"/>
  <c r="P2142" i="8"/>
  <c r="O2142" i="8"/>
  <c r="P2143" i="8"/>
  <c r="O2143" i="8"/>
  <c r="P2144" i="8"/>
  <c r="O2144" i="8"/>
  <c r="P2145" i="8"/>
  <c r="O2145" i="8"/>
  <c r="P2146" i="8"/>
  <c r="O2146" i="8"/>
  <c r="P2147" i="8"/>
  <c r="O2147" i="8"/>
  <c r="P2148" i="8"/>
  <c r="O2148" i="8"/>
  <c r="P2149" i="8"/>
  <c r="O2149" i="8"/>
  <c r="P2150" i="8"/>
  <c r="O2150" i="8"/>
  <c r="P2151" i="8"/>
  <c r="O2151" i="8"/>
  <c r="P2152" i="8"/>
  <c r="O2152" i="8"/>
  <c r="P2153" i="8"/>
  <c r="O2153" i="8"/>
  <c r="P2154" i="8"/>
  <c r="O2154" i="8"/>
  <c r="P2155" i="8"/>
  <c r="O2155" i="8"/>
  <c r="P2156" i="8"/>
  <c r="O2156" i="8"/>
  <c r="P2157" i="8"/>
  <c r="O2157" i="8"/>
  <c r="P2158" i="8"/>
  <c r="O2158" i="8"/>
  <c r="P2159" i="8"/>
  <c r="O2159" i="8"/>
  <c r="P2160" i="8"/>
  <c r="O2160" i="8"/>
  <c r="P2161" i="8"/>
  <c r="O2161" i="8"/>
  <c r="P2162" i="8"/>
  <c r="O2162" i="8"/>
  <c r="P2163" i="8"/>
  <c r="O2163" i="8"/>
  <c r="P2164" i="8"/>
  <c r="O2164" i="8"/>
  <c r="P2165" i="8"/>
  <c r="O2165" i="8"/>
  <c r="P2166" i="8"/>
  <c r="O2166" i="8"/>
  <c r="P2167" i="8"/>
  <c r="O2167" i="8"/>
  <c r="P2168" i="8"/>
  <c r="O2168" i="8"/>
  <c r="P2169" i="8"/>
  <c r="O2169" i="8"/>
  <c r="P2170" i="8"/>
  <c r="O2170" i="8"/>
  <c r="P2171" i="8"/>
  <c r="O2171" i="8"/>
  <c r="P2172" i="8"/>
  <c r="O2172" i="8"/>
  <c r="P2173" i="8"/>
  <c r="O2173" i="8"/>
  <c r="P2174" i="8"/>
  <c r="O2174" i="8"/>
  <c r="P2175" i="8"/>
  <c r="O2175" i="8"/>
  <c r="P2176" i="8"/>
  <c r="O2176" i="8"/>
  <c r="P2177" i="8"/>
  <c r="O2177" i="8"/>
  <c r="P2178" i="8"/>
  <c r="O2178" i="8"/>
  <c r="P2179" i="8"/>
  <c r="O2179" i="8"/>
  <c r="P2180" i="8"/>
  <c r="O2180" i="8"/>
  <c r="P2181" i="8"/>
  <c r="O2181" i="8"/>
  <c r="P2182" i="8"/>
  <c r="O2182" i="8"/>
  <c r="P2183" i="8"/>
  <c r="O2183" i="8"/>
  <c r="P2184" i="8"/>
  <c r="O2184" i="8"/>
  <c r="P2185" i="8"/>
  <c r="O2185" i="8"/>
  <c r="P2186" i="8"/>
  <c r="O2186" i="8"/>
  <c r="P2187" i="8"/>
  <c r="O2187" i="8"/>
  <c r="P2188" i="8"/>
  <c r="O2188" i="8"/>
  <c r="P2189" i="8"/>
  <c r="O2189" i="8"/>
  <c r="P2190" i="8"/>
  <c r="O2190" i="8"/>
  <c r="P2191" i="8"/>
  <c r="O2191" i="8"/>
  <c r="P2192" i="8"/>
  <c r="O2192" i="8"/>
  <c r="P2193" i="8"/>
  <c r="O2193" i="8"/>
  <c r="P2194" i="8"/>
  <c r="O2194" i="8"/>
  <c r="P2195" i="8"/>
  <c r="O2195" i="8"/>
  <c r="P2196" i="8"/>
  <c r="O2196" i="8"/>
  <c r="P2197" i="8"/>
  <c r="O2197" i="8"/>
  <c r="P2198" i="8"/>
  <c r="O2198" i="8"/>
  <c r="P2199" i="8"/>
  <c r="O2199" i="8"/>
  <c r="P2200" i="8"/>
  <c r="O2200" i="8"/>
  <c r="P2201" i="8"/>
  <c r="O2201" i="8"/>
  <c r="P2202" i="8"/>
  <c r="O2202" i="8"/>
  <c r="P2203" i="8"/>
  <c r="O2203" i="8"/>
  <c r="P2204" i="8"/>
  <c r="O2204" i="8"/>
  <c r="P2205" i="8"/>
  <c r="O2205" i="8"/>
  <c r="P2206" i="8"/>
  <c r="O2206" i="8"/>
  <c r="P2207" i="8"/>
  <c r="O2207" i="8"/>
  <c r="P2208" i="8"/>
  <c r="O2208" i="8"/>
  <c r="P2209" i="8"/>
  <c r="O2209" i="8"/>
  <c r="P2210" i="8"/>
  <c r="O2210" i="8"/>
  <c r="P2211" i="8"/>
  <c r="O2211" i="8"/>
  <c r="P2212" i="8"/>
  <c r="O2212" i="8"/>
  <c r="P2213" i="8"/>
  <c r="O2213" i="8"/>
  <c r="P2214" i="8"/>
  <c r="O2214" i="8"/>
  <c r="P2215" i="8"/>
  <c r="O2215" i="8"/>
  <c r="P2216" i="8"/>
  <c r="O2216" i="8"/>
  <c r="P2217" i="8"/>
  <c r="O2217" i="8"/>
  <c r="P2218" i="8"/>
  <c r="O2218" i="8"/>
  <c r="P2219" i="8"/>
  <c r="O2219" i="8"/>
  <c r="P2220" i="8"/>
  <c r="O2220" i="8"/>
  <c r="P2221" i="8"/>
  <c r="O2221" i="8"/>
  <c r="P2222" i="8"/>
  <c r="O2222" i="8"/>
  <c r="P2223" i="8"/>
  <c r="O2223" i="8"/>
  <c r="P2224" i="8"/>
  <c r="O2224" i="8"/>
  <c r="P2225" i="8"/>
  <c r="O2225" i="8"/>
  <c r="P2226" i="8"/>
  <c r="O2226" i="8"/>
  <c r="P2227" i="8"/>
  <c r="O2227" i="8"/>
  <c r="P2228" i="8"/>
  <c r="O2228" i="8"/>
  <c r="P2229" i="8"/>
  <c r="O2229" i="8"/>
  <c r="P2230" i="8"/>
  <c r="O2230" i="8"/>
  <c r="P2231" i="8"/>
  <c r="O2231" i="8"/>
  <c r="P2232" i="8"/>
  <c r="O2232" i="8"/>
  <c r="P2233" i="8"/>
  <c r="O2233" i="8"/>
  <c r="P2234" i="8"/>
  <c r="O2234" i="8"/>
  <c r="P2235" i="8"/>
  <c r="O2235" i="8"/>
  <c r="P2236" i="8"/>
  <c r="O2236" i="8"/>
  <c r="P2237" i="8"/>
  <c r="O2237" i="8"/>
  <c r="P2238" i="8"/>
  <c r="O2238" i="8"/>
  <c r="P2239" i="8"/>
  <c r="O2239" i="8"/>
  <c r="P2240" i="8"/>
  <c r="O2240" i="8"/>
  <c r="P2241" i="8"/>
  <c r="O2241" i="8"/>
  <c r="P2242" i="8"/>
  <c r="O2242" i="8"/>
  <c r="P2243" i="8"/>
  <c r="O2243" i="8"/>
  <c r="P2244" i="8"/>
  <c r="O2244" i="8"/>
  <c r="P2245" i="8"/>
  <c r="O2245" i="8"/>
  <c r="P2246" i="8"/>
  <c r="O2246" i="8"/>
  <c r="P2247" i="8"/>
  <c r="O2247" i="8"/>
  <c r="P2248" i="8"/>
  <c r="O2248" i="8"/>
  <c r="P2249" i="8"/>
  <c r="O2249" i="8"/>
  <c r="P2250" i="8"/>
  <c r="O2250" i="8"/>
  <c r="P2251" i="8"/>
  <c r="O2251" i="8"/>
  <c r="P2252" i="8"/>
  <c r="O2252" i="8"/>
  <c r="P2253" i="8"/>
  <c r="O2253" i="8"/>
  <c r="P2254" i="8"/>
  <c r="O2254" i="8"/>
  <c r="P2255" i="8"/>
  <c r="O2255" i="8"/>
  <c r="P2256" i="8"/>
  <c r="O2256" i="8"/>
  <c r="P2257" i="8"/>
  <c r="O2257" i="8"/>
  <c r="P2258" i="8"/>
  <c r="O2258" i="8"/>
  <c r="P2259" i="8"/>
  <c r="O2259" i="8"/>
  <c r="P2260" i="8"/>
  <c r="O2260" i="8"/>
  <c r="P2261" i="8"/>
  <c r="O2261" i="8"/>
  <c r="P2262" i="8"/>
  <c r="O2262" i="8"/>
  <c r="P2263" i="8"/>
  <c r="O2263" i="8"/>
  <c r="P2264" i="8"/>
  <c r="O2264" i="8"/>
  <c r="P2265" i="8"/>
  <c r="O2265" i="8"/>
  <c r="P2266" i="8"/>
  <c r="O2266" i="8"/>
  <c r="P2267" i="8"/>
  <c r="O2267" i="8"/>
  <c r="P2268" i="8"/>
  <c r="O2268" i="8"/>
  <c r="P2269" i="8"/>
  <c r="O2269" i="8"/>
  <c r="P2270" i="8"/>
  <c r="O2270" i="8"/>
  <c r="P2271" i="8"/>
  <c r="O2271" i="8"/>
  <c r="P2272" i="8"/>
  <c r="O2272" i="8"/>
  <c r="P2273" i="8"/>
  <c r="O2273" i="8"/>
  <c r="P2274" i="8"/>
  <c r="O2274" i="8"/>
  <c r="P2275" i="8"/>
  <c r="O2275" i="8"/>
  <c r="P2276" i="8"/>
  <c r="O2276" i="8"/>
  <c r="P2277" i="8"/>
  <c r="O2277" i="8"/>
  <c r="P2278" i="8"/>
  <c r="O2278" i="8"/>
  <c r="P2279" i="8"/>
  <c r="O2279" i="8"/>
  <c r="P2280" i="8"/>
  <c r="O2280" i="8"/>
  <c r="P2281" i="8"/>
  <c r="O2281" i="8"/>
  <c r="P2282" i="8"/>
  <c r="O2282" i="8"/>
  <c r="P2283" i="8"/>
  <c r="O2283" i="8"/>
  <c r="P2284" i="8"/>
  <c r="O2284" i="8"/>
  <c r="P2285" i="8"/>
  <c r="O2285" i="8"/>
  <c r="P2286" i="8"/>
  <c r="O2286" i="8"/>
  <c r="P2287" i="8"/>
  <c r="O2287" i="8"/>
  <c r="P2288" i="8"/>
  <c r="O2288" i="8"/>
  <c r="P2289" i="8"/>
  <c r="O2289" i="8"/>
  <c r="P2290" i="8"/>
  <c r="O2290" i="8"/>
  <c r="P2291" i="8"/>
  <c r="O2291" i="8"/>
  <c r="P2292" i="8"/>
  <c r="O2292" i="8"/>
  <c r="P2293" i="8"/>
  <c r="O2293" i="8"/>
  <c r="P2294" i="8"/>
  <c r="O2294" i="8"/>
  <c r="P2295" i="8"/>
  <c r="O2295" i="8"/>
  <c r="P2296" i="8"/>
  <c r="O2296" i="8"/>
  <c r="P2297" i="8"/>
  <c r="O2297" i="8"/>
  <c r="P2298" i="8"/>
  <c r="O2298" i="8"/>
  <c r="P2299" i="8"/>
  <c r="O2299" i="8"/>
  <c r="P2300" i="8"/>
  <c r="O2300" i="8"/>
  <c r="P2301" i="8"/>
  <c r="O2301" i="8"/>
  <c r="P2302" i="8"/>
  <c r="O2302" i="8"/>
  <c r="P2303" i="8"/>
  <c r="O2303" i="8"/>
  <c r="P2304" i="8"/>
  <c r="O2304" i="8"/>
  <c r="P2305" i="8"/>
  <c r="O2305" i="8"/>
  <c r="P2306" i="8"/>
  <c r="O2306" i="8"/>
  <c r="P2307" i="8"/>
  <c r="O2307" i="8"/>
  <c r="P2308" i="8"/>
  <c r="O2308" i="8"/>
  <c r="P2309" i="8"/>
  <c r="O2309" i="8"/>
  <c r="P2310" i="8"/>
  <c r="O2310" i="8"/>
  <c r="P2311" i="8"/>
  <c r="O2311" i="8"/>
  <c r="P2312" i="8"/>
  <c r="O2312" i="8"/>
  <c r="P2313" i="8"/>
  <c r="O2313" i="8"/>
  <c r="P2314" i="8"/>
  <c r="O2314" i="8"/>
  <c r="P2315" i="8"/>
  <c r="O2315" i="8"/>
  <c r="P2316" i="8"/>
  <c r="O2316" i="8"/>
  <c r="P2317" i="8"/>
  <c r="O2317" i="8"/>
  <c r="P2318" i="8"/>
  <c r="O2318" i="8"/>
  <c r="P2319" i="8"/>
  <c r="O2319" i="8"/>
  <c r="P2320" i="8"/>
  <c r="O2320" i="8"/>
  <c r="P2321" i="8"/>
  <c r="O2321" i="8"/>
  <c r="P2322" i="8"/>
  <c r="O2322" i="8"/>
  <c r="P2323" i="8"/>
  <c r="O2323" i="8"/>
  <c r="P2324" i="8"/>
  <c r="O2324" i="8"/>
  <c r="P2325" i="8"/>
  <c r="O2325" i="8"/>
  <c r="P2326" i="8"/>
  <c r="O2326" i="8"/>
  <c r="P2327" i="8"/>
  <c r="O2327" i="8"/>
  <c r="P2328" i="8"/>
  <c r="O2328" i="8"/>
  <c r="P2329" i="8"/>
  <c r="O2329" i="8"/>
  <c r="P2330" i="8"/>
  <c r="O2330" i="8"/>
  <c r="P2331" i="8"/>
  <c r="O2331" i="8"/>
  <c r="P2332" i="8"/>
  <c r="O2332" i="8"/>
  <c r="P2333" i="8"/>
  <c r="O2333" i="8"/>
  <c r="P2334" i="8"/>
  <c r="O2334" i="8"/>
  <c r="P2335" i="8"/>
  <c r="O2335" i="8"/>
  <c r="P2336" i="8"/>
  <c r="O2336" i="8"/>
  <c r="P2337" i="8"/>
  <c r="O2337" i="8"/>
  <c r="P2338" i="8"/>
  <c r="O2338" i="8"/>
  <c r="P2339" i="8"/>
  <c r="O2339" i="8"/>
  <c r="P2340" i="8"/>
  <c r="O2340" i="8"/>
  <c r="P2341" i="8"/>
  <c r="O2341" i="8"/>
  <c r="P2342" i="8"/>
  <c r="O2342" i="8"/>
  <c r="P2343" i="8"/>
  <c r="O2343" i="8"/>
  <c r="P2344" i="8"/>
  <c r="O2344" i="8"/>
  <c r="P2345" i="8"/>
  <c r="O2345" i="8"/>
  <c r="P2346" i="8"/>
  <c r="O2346" i="8"/>
  <c r="P2347" i="8"/>
  <c r="O2347" i="8"/>
  <c r="P2348" i="8"/>
  <c r="O2348" i="8"/>
  <c r="P2349" i="8"/>
  <c r="O2349" i="8"/>
  <c r="P2350" i="8"/>
  <c r="O2350" i="8"/>
  <c r="P2351" i="8"/>
  <c r="O2351" i="8"/>
  <c r="P2352" i="8"/>
  <c r="O2352" i="8"/>
  <c r="P2353" i="8"/>
  <c r="O2353" i="8"/>
  <c r="P2354" i="8"/>
  <c r="O2354" i="8"/>
  <c r="P2355" i="8"/>
  <c r="O2355" i="8"/>
  <c r="P2356" i="8"/>
  <c r="O2356" i="8"/>
  <c r="P2357" i="8"/>
  <c r="O2357" i="8"/>
  <c r="P2358" i="8"/>
  <c r="O2358" i="8"/>
  <c r="P2359" i="8"/>
  <c r="O2359" i="8"/>
  <c r="P2360" i="8"/>
  <c r="O2360" i="8"/>
  <c r="P2361" i="8"/>
  <c r="O2361" i="8"/>
  <c r="P2362" i="8"/>
  <c r="O2362" i="8"/>
  <c r="P2363" i="8"/>
  <c r="O2363" i="8"/>
  <c r="P2364" i="8"/>
  <c r="O2364" i="8"/>
  <c r="P2365" i="8"/>
  <c r="O2365" i="8"/>
  <c r="P2366" i="8"/>
  <c r="O2366" i="8"/>
  <c r="P2367" i="8"/>
  <c r="O2367" i="8"/>
  <c r="P2368" i="8"/>
  <c r="O2368" i="8"/>
  <c r="P2369" i="8"/>
  <c r="O2369" i="8"/>
  <c r="P2370" i="8"/>
  <c r="O2370" i="8"/>
  <c r="P2371" i="8"/>
  <c r="O2371" i="8"/>
  <c r="P2372" i="8"/>
  <c r="O2372" i="8"/>
  <c r="P2373" i="8"/>
  <c r="O2373" i="8"/>
  <c r="P2374" i="8"/>
  <c r="O2374" i="8"/>
  <c r="P2375" i="8"/>
  <c r="O2375" i="8"/>
  <c r="P2376" i="8"/>
  <c r="O2376" i="8"/>
  <c r="P2377" i="8"/>
  <c r="O2377" i="8"/>
  <c r="P2378" i="8"/>
  <c r="O2378" i="8"/>
  <c r="P2379" i="8"/>
  <c r="O2379" i="8"/>
  <c r="P2380" i="8"/>
  <c r="O2380" i="8"/>
  <c r="P2381" i="8"/>
  <c r="O2381" i="8"/>
  <c r="P2382" i="8"/>
  <c r="O2382" i="8"/>
  <c r="P2383" i="8"/>
  <c r="O2383" i="8"/>
  <c r="P2384" i="8"/>
  <c r="O2384" i="8"/>
  <c r="P2385" i="8"/>
  <c r="O2385" i="8"/>
  <c r="P2386" i="8"/>
  <c r="O2386" i="8"/>
  <c r="P2387" i="8"/>
  <c r="O2387" i="8"/>
  <c r="P2388" i="8"/>
  <c r="O2388" i="8"/>
  <c r="P2389" i="8"/>
  <c r="O2389" i="8"/>
  <c r="P2390" i="8"/>
  <c r="O2390" i="8"/>
  <c r="P2391" i="8"/>
  <c r="O2391" i="8"/>
  <c r="P2392" i="8"/>
  <c r="O2392" i="8"/>
  <c r="P2393" i="8"/>
  <c r="O2393" i="8"/>
  <c r="P2394" i="8"/>
  <c r="O2394" i="8"/>
  <c r="P2395" i="8"/>
  <c r="O2395" i="8"/>
  <c r="P2396" i="8"/>
  <c r="O2396" i="8"/>
  <c r="P2397" i="8"/>
  <c r="O2397" i="8"/>
  <c r="P2398" i="8"/>
  <c r="O2398" i="8"/>
  <c r="P2399" i="8"/>
  <c r="O2399" i="8"/>
  <c r="P2400" i="8"/>
  <c r="O2400" i="8"/>
  <c r="P2401" i="8"/>
  <c r="O2401" i="8"/>
  <c r="P2402" i="8"/>
  <c r="O2402" i="8"/>
  <c r="P2403" i="8"/>
  <c r="O2403" i="8"/>
  <c r="P2404" i="8"/>
  <c r="O2404" i="8"/>
  <c r="P2405" i="8"/>
  <c r="O2405" i="8"/>
  <c r="P2406" i="8"/>
  <c r="O2406" i="8"/>
  <c r="P2407" i="8"/>
  <c r="O2407" i="8"/>
  <c r="P2408" i="8"/>
  <c r="O2408" i="8"/>
  <c r="P2409" i="8"/>
  <c r="O2409" i="8"/>
  <c r="P2410" i="8"/>
  <c r="O2410" i="8"/>
  <c r="P2411" i="8"/>
  <c r="O2411" i="8"/>
  <c r="P2412" i="8"/>
  <c r="O2412" i="8"/>
  <c r="P2413" i="8"/>
  <c r="O2413" i="8"/>
  <c r="P2414" i="8"/>
  <c r="O2414" i="8"/>
  <c r="P2415" i="8"/>
  <c r="O2415" i="8"/>
  <c r="P2416" i="8"/>
  <c r="O2416" i="8"/>
  <c r="P2417" i="8"/>
  <c r="O2417" i="8"/>
  <c r="P2418" i="8"/>
  <c r="O2418" i="8"/>
  <c r="P2419" i="8"/>
  <c r="O2419" i="8"/>
  <c r="P2420" i="8"/>
  <c r="O2420" i="8"/>
  <c r="P2421" i="8"/>
  <c r="O2421" i="8"/>
  <c r="P2422" i="8"/>
  <c r="O2422" i="8"/>
  <c r="P2423" i="8"/>
  <c r="O2423" i="8"/>
  <c r="P2424" i="8"/>
  <c r="O2424" i="8"/>
  <c r="P2425" i="8"/>
  <c r="O2425" i="8"/>
  <c r="P2426" i="8"/>
  <c r="O2426" i="8"/>
  <c r="P2427" i="8"/>
  <c r="O2427" i="8"/>
  <c r="P2428" i="8"/>
  <c r="O2428" i="8"/>
  <c r="P2429" i="8"/>
  <c r="O2429" i="8"/>
  <c r="P2430" i="8"/>
  <c r="O2430" i="8"/>
  <c r="P2431" i="8"/>
  <c r="O2431" i="8"/>
  <c r="P2432" i="8"/>
  <c r="O2432" i="8"/>
  <c r="P2433" i="8"/>
  <c r="O2433" i="8"/>
  <c r="P2434" i="8"/>
  <c r="O2434" i="8"/>
  <c r="P2435" i="8"/>
  <c r="O2435" i="8"/>
  <c r="P2436" i="8"/>
  <c r="O2436" i="8"/>
  <c r="P2437" i="8"/>
  <c r="O2437" i="8"/>
  <c r="P2438" i="8"/>
  <c r="O2438" i="8"/>
  <c r="P2439" i="8"/>
  <c r="O2439" i="8"/>
  <c r="P2440" i="8"/>
  <c r="O2440" i="8"/>
  <c r="P2441" i="8"/>
  <c r="O2441" i="8"/>
  <c r="P2442" i="8"/>
  <c r="O2442" i="8"/>
  <c r="P2443" i="8"/>
  <c r="O2443" i="8"/>
  <c r="P2444" i="8"/>
  <c r="O2444" i="8"/>
  <c r="P2445" i="8"/>
  <c r="O2445" i="8"/>
  <c r="P2446" i="8"/>
  <c r="O2446" i="8"/>
  <c r="P2447" i="8"/>
  <c r="O2447" i="8"/>
  <c r="P2448" i="8"/>
  <c r="O2448" i="8"/>
  <c r="P2449" i="8"/>
  <c r="O2449" i="8"/>
  <c r="P2450" i="8"/>
  <c r="O2450" i="8"/>
  <c r="P2451" i="8"/>
  <c r="O2451" i="8"/>
  <c r="P2452" i="8"/>
  <c r="O2452" i="8"/>
  <c r="P2453" i="8"/>
  <c r="O2453" i="8"/>
  <c r="P2454" i="8"/>
  <c r="O2454" i="8"/>
  <c r="P2455" i="8"/>
  <c r="O2455" i="8"/>
  <c r="P2456" i="8"/>
  <c r="O2456" i="8"/>
  <c r="P2457" i="8"/>
  <c r="O2457" i="8"/>
  <c r="P2458" i="8"/>
  <c r="O2458" i="8"/>
  <c r="P2459" i="8"/>
  <c r="O2459" i="8"/>
  <c r="P2460" i="8"/>
  <c r="O2460" i="8"/>
  <c r="P2461" i="8"/>
  <c r="O2461" i="8"/>
  <c r="P2462" i="8"/>
  <c r="O2462" i="8"/>
  <c r="P2463" i="8"/>
  <c r="O2463" i="8"/>
  <c r="P2464" i="8"/>
  <c r="O2464" i="8"/>
  <c r="P2465" i="8"/>
  <c r="O2465" i="8"/>
  <c r="P2466" i="8"/>
  <c r="O2466" i="8"/>
  <c r="P2467" i="8"/>
  <c r="O2467" i="8"/>
  <c r="P2468" i="8"/>
  <c r="O2468" i="8"/>
  <c r="P2469" i="8"/>
  <c r="O2469" i="8"/>
  <c r="P2470" i="8"/>
  <c r="O2470" i="8"/>
  <c r="P2471" i="8"/>
  <c r="O2471" i="8"/>
  <c r="P2472" i="8"/>
  <c r="O2472" i="8"/>
  <c r="P2473" i="8"/>
  <c r="O2473" i="8"/>
  <c r="P2474" i="8"/>
  <c r="O2474" i="8"/>
  <c r="P2475" i="8"/>
  <c r="O2475" i="8"/>
  <c r="P2476" i="8"/>
  <c r="O2476" i="8"/>
  <c r="P2477" i="8"/>
  <c r="O2477" i="8"/>
  <c r="P2478" i="8"/>
  <c r="O2478" i="8"/>
  <c r="P2479" i="8"/>
  <c r="O2479" i="8"/>
  <c r="P2480" i="8"/>
  <c r="O2480" i="8"/>
  <c r="P2481" i="8"/>
  <c r="O2481" i="8"/>
  <c r="P2482" i="8"/>
  <c r="O2482" i="8"/>
  <c r="P2483" i="8"/>
  <c r="O2483" i="8"/>
  <c r="P2484" i="8"/>
  <c r="O2484" i="8"/>
  <c r="P2485" i="8"/>
  <c r="O2485" i="8"/>
  <c r="P2486" i="8"/>
  <c r="O2486" i="8"/>
  <c r="P2487" i="8"/>
  <c r="O2487" i="8"/>
  <c r="P2488" i="8"/>
  <c r="O2488" i="8"/>
  <c r="P2489" i="8"/>
  <c r="O2489" i="8"/>
  <c r="P2490" i="8"/>
  <c r="O2490" i="8"/>
  <c r="P2491" i="8"/>
  <c r="O2491" i="8"/>
  <c r="P2492" i="8"/>
  <c r="O2492" i="8"/>
  <c r="P2493" i="8"/>
  <c r="O2493" i="8"/>
  <c r="P2494" i="8"/>
  <c r="O2494" i="8"/>
  <c r="P2495" i="8"/>
  <c r="O2495" i="8"/>
  <c r="P2496" i="8"/>
  <c r="O2496" i="8"/>
  <c r="P2497" i="8"/>
  <c r="O2497" i="8"/>
  <c r="P2498" i="8"/>
  <c r="O2498" i="8"/>
  <c r="P2499" i="8"/>
  <c r="O2499" i="8"/>
  <c r="P2500" i="8"/>
  <c r="O2500" i="8"/>
  <c r="P2501" i="8"/>
  <c r="O2501" i="8"/>
  <c r="P2502" i="8"/>
  <c r="O2502" i="8"/>
  <c r="P2503" i="8"/>
  <c r="O2503" i="8"/>
  <c r="P2504" i="8"/>
  <c r="O2504" i="8"/>
  <c r="P2505" i="8"/>
  <c r="O2505" i="8"/>
  <c r="P2506" i="8"/>
  <c r="O2506" i="8"/>
  <c r="P2507" i="8"/>
  <c r="O2507" i="8"/>
  <c r="P2508" i="8"/>
  <c r="O2508" i="8"/>
  <c r="P2509" i="8"/>
  <c r="O2509" i="8"/>
  <c r="P2510" i="8"/>
  <c r="O2510" i="8"/>
  <c r="P2511" i="8"/>
  <c r="O2511" i="8"/>
  <c r="P2512" i="8"/>
  <c r="O2512" i="8"/>
  <c r="P2513" i="8"/>
  <c r="O2513" i="8"/>
  <c r="P2514" i="8"/>
  <c r="O2514" i="8"/>
  <c r="P2515" i="8"/>
  <c r="O2515" i="8"/>
  <c r="P2516" i="8"/>
  <c r="O2516" i="8"/>
  <c r="P2517" i="8"/>
  <c r="O2517" i="8"/>
  <c r="P2518" i="8"/>
  <c r="O2518" i="8"/>
  <c r="P2519" i="8"/>
  <c r="F47" i="12"/>
  <c r="F21" i="12"/>
  <c r="H42" i="14"/>
  <c r="F49" i="14"/>
  <c r="M40" i="14"/>
  <c r="E40" i="14"/>
  <c r="I40" i="14"/>
  <c r="G49" i="14"/>
  <c r="J40" i="14"/>
  <c r="I44" i="14"/>
  <c r="J42" i="14"/>
  <c r="F44" i="14"/>
  <c r="H49" i="14"/>
  <c r="K40" i="14"/>
  <c r="H40" i="14"/>
  <c r="F42" i="14"/>
  <c r="L40" i="14"/>
  <c r="M42" i="14"/>
  <c r="E42" i="14"/>
  <c r="I42" i="14"/>
  <c r="D40" i="14"/>
  <c r="G44" i="14"/>
  <c r="M49" i="14"/>
  <c r="G42" i="14"/>
  <c r="K49" i="14"/>
  <c r="J44" i="14"/>
  <c r="J49" i="14"/>
  <c r="E49" i="14"/>
  <c r="D49" i="14"/>
  <c r="L44" i="14"/>
  <c r="L42" i="14"/>
  <c r="L49" i="14"/>
  <c r="D44" i="14"/>
  <c r="O10" i="14"/>
  <c r="M11" i="11"/>
  <c r="M12" i="11"/>
  <c r="G14" i="11"/>
  <c r="G13" i="11"/>
  <c r="G12" i="11"/>
  <c r="G11" i="11"/>
  <c r="G10" i="11"/>
  <c r="G47" i="12"/>
  <c r="G21" i="12"/>
  <c r="H13" i="11"/>
  <c r="H10" i="11"/>
  <c r="H11" i="11"/>
  <c r="H12" i="11"/>
  <c r="P58" i="14"/>
  <c r="P57" i="14"/>
  <c r="E65" i="14"/>
  <c r="F65" i="14"/>
  <c r="G65" i="14"/>
  <c r="H65" i="14"/>
  <c r="I65" i="14"/>
  <c r="J65" i="14"/>
  <c r="K65" i="14"/>
  <c r="L65" i="14"/>
  <c r="M65" i="14"/>
  <c r="N65" i="14"/>
  <c r="D65" i="14"/>
  <c r="P59" i="14"/>
  <c r="O55" i="14"/>
  <c r="D62" i="14"/>
  <c r="O33" i="14"/>
  <c r="O32" i="14"/>
  <c r="N21" i="14"/>
  <c r="M21" i="14"/>
  <c r="L21" i="14"/>
  <c r="J21" i="14"/>
  <c r="I21" i="14"/>
  <c r="H21" i="14"/>
  <c r="G21" i="14"/>
  <c r="F21" i="14"/>
  <c r="E21" i="14"/>
  <c r="J45" i="14"/>
  <c r="N45" i="14"/>
  <c r="O9" i="14"/>
  <c r="J5" i="14"/>
  <c r="J15" i="14"/>
  <c r="L4" i="17"/>
  <c r="F59" i="17"/>
  <c r="E59" i="17"/>
  <c r="I25" i="16"/>
  <c r="M15" i="16"/>
  <c r="L15" i="16"/>
  <c r="K15" i="16"/>
  <c r="J15" i="16"/>
  <c r="I15" i="16"/>
  <c r="H15" i="16"/>
  <c r="H6" i="17"/>
  <c r="K45" i="17"/>
  <c r="G45" i="17"/>
  <c r="E25" i="17"/>
  <c r="F25" i="17"/>
  <c r="G25" i="17"/>
  <c r="H25" i="17"/>
  <c r="J22" i="17"/>
  <c r="F22" i="17"/>
  <c r="K22" i="17"/>
  <c r="I22" i="17"/>
  <c r="H22" i="17"/>
  <c r="G22" i="17"/>
  <c r="E22" i="17"/>
  <c r="J8" i="17"/>
  <c r="I8" i="17"/>
  <c r="F8" i="17"/>
  <c r="E8" i="17"/>
  <c r="K60" i="12"/>
  <c r="M59" i="12"/>
  <c r="I60" i="12"/>
  <c r="G60" i="12"/>
  <c r="K8" i="17"/>
  <c r="H8" i="17"/>
  <c r="G8" i="17"/>
  <c r="K6" i="17"/>
  <c r="J6" i="17"/>
  <c r="J48" i="17"/>
  <c r="I6" i="17"/>
  <c r="G6" i="17"/>
  <c r="G48" i="17"/>
  <c r="F6" i="17"/>
  <c r="F46" i="16"/>
  <c r="F4" i="17"/>
  <c r="E46" i="16"/>
  <c r="E4" i="17"/>
  <c r="H53" i="16"/>
  <c r="M28" i="16"/>
  <c r="L28" i="16"/>
  <c r="K28" i="16"/>
  <c r="J28" i="16"/>
  <c r="I28" i="16"/>
  <c r="H28" i="16"/>
  <c r="G28" i="16"/>
  <c r="F28" i="16"/>
  <c r="E28" i="16"/>
  <c r="N49" i="14"/>
  <c r="N20" i="14"/>
  <c r="K26" i="16"/>
  <c r="F26" i="16"/>
  <c r="I26" i="16"/>
  <c r="E26" i="16"/>
  <c r="D26" i="16"/>
  <c r="L25" i="16"/>
  <c r="M24" i="16"/>
  <c r="L24" i="16"/>
  <c r="K24" i="16"/>
  <c r="J24" i="16"/>
  <c r="I24" i="16"/>
  <c r="H24" i="16"/>
  <c r="G24" i="16"/>
  <c r="F24" i="16"/>
  <c r="E24" i="16"/>
  <c r="D24" i="16"/>
  <c r="M14" i="16"/>
  <c r="I14" i="16"/>
  <c r="L14" i="16"/>
  <c r="K14" i="16"/>
  <c r="J14" i="16"/>
  <c r="H14" i="16"/>
  <c r="H13" i="16"/>
  <c r="G13" i="16"/>
  <c r="O11" i="16"/>
  <c r="F7" i="16"/>
  <c r="E7" i="16"/>
  <c r="D7" i="16"/>
  <c r="N5" i="16"/>
  <c r="H5" i="16"/>
  <c r="G5" i="16"/>
  <c r="F5" i="16"/>
  <c r="E5" i="16"/>
  <c r="D5" i="16"/>
  <c r="O2519" i="8"/>
  <c r="S2455" i="8"/>
  <c r="S2456" i="8"/>
  <c r="S2457" i="8"/>
  <c r="S2458" i="8"/>
  <c r="S2459" i="8"/>
  <c r="S2460" i="8"/>
  <c r="S2461" i="8"/>
  <c r="S2462" i="8"/>
  <c r="S2463" i="8"/>
  <c r="S2464" i="8"/>
  <c r="S2465" i="8"/>
  <c r="S2466" i="8"/>
  <c r="S2467" i="8"/>
  <c r="S2468" i="8"/>
  <c r="S2469" i="8"/>
  <c r="S2470" i="8"/>
  <c r="S2471" i="8"/>
  <c r="S2472" i="8"/>
  <c r="S2473" i="8"/>
  <c r="S2474" i="8"/>
  <c r="S2475" i="8"/>
  <c r="S2476" i="8"/>
  <c r="S2477" i="8"/>
  <c r="S2478" i="8"/>
  <c r="S2479" i="8"/>
  <c r="S2480" i="8"/>
  <c r="S2481" i="8"/>
  <c r="S2482" i="8"/>
  <c r="S2483" i="8"/>
  <c r="S2484" i="8"/>
  <c r="S2485" i="8"/>
  <c r="S2486" i="8"/>
  <c r="S2487" i="8"/>
  <c r="S2488" i="8"/>
  <c r="S2489" i="8"/>
  <c r="S2490" i="8"/>
  <c r="S2491" i="8"/>
  <c r="S2492" i="8"/>
  <c r="S2493" i="8"/>
  <c r="S2494" i="8"/>
  <c r="S2495" i="8"/>
  <c r="S2496" i="8"/>
  <c r="S2497" i="8"/>
  <c r="S2498" i="8"/>
  <c r="S2499" i="8"/>
  <c r="S2500" i="8"/>
  <c r="S2501" i="8"/>
  <c r="S2502" i="8"/>
  <c r="S2503" i="8"/>
  <c r="S2504" i="8"/>
  <c r="S2505" i="8"/>
  <c r="S2506" i="8"/>
  <c r="S2507" i="8"/>
  <c r="S2508" i="8"/>
  <c r="S2509" i="8"/>
  <c r="S2510" i="8"/>
  <c r="S2511" i="8"/>
  <c r="S2512" i="8"/>
  <c r="S2513" i="8"/>
  <c r="S2514" i="8"/>
  <c r="S2515" i="8"/>
  <c r="S2516" i="8"/>
  <c r="S2517" i="8"/>
  <c r="S2518" i="8"/>
  <c r="S2519" i="8"/>
  <c r="I15" i="15"/>
  <c r="I19" i="15"/>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S247" i="8"/>
  <c r="S248" i="8"/>
  <c r="S249" i="8"/>
  <c r="S250" i="8"/>
  <c r="S251" i="8"/>
  <c r="S252" i="8"/>
  <c r="S253" i="8"/>
  <c r="S254" i="8"/>
  <c r="S255" i="8"/>
  <c r="S256" i="8"/>
  <c r="S257" i="8"/>
  <c r="S258" i="8"/>
  <c r="S259" i="8"/>
  <c r="S260" i="8"/>
  <c r="S261" i="8"/>
  <c r="S262" i="8"/>
  <c r="S263" i="8"/>
  <c r="S264" i="8"/>
  <c r="S265" i="8"/>
  <c r="S266" i="8"/>
  <c r="S267" i="8"/>
  <c r="S268" i="8"/>
  <c r="S269" i="8"/>
  <c r="S270" i="8"/>
  <c r="S271" i="8"/>
  <c r="S272" i="8"/>
  <c r="S273" i="8"/>
  <c r="S274" i="8"/>
  <c r="S275" i="8"/>
  <c r="S276" i="8"/>
  <c r="S277" i="8"/>
  <c r="S278" i="8"/>
  <c r="S279" i="8"/>
  <c r="S280" i="8"/>
  <c r="S281" i="8"/>
  <c r="S282" i="8"/>
  <c r="S283" i="8"/>
  <c r="S284" i="8"/>
  <c r="S285" i="8"/>
  <c r="S286" i="8"/>
  <c r="S287" i="8"/>
  <c r="S288" i="8"/>
  <c r="S289" i="8"/>
  <c r="S290" i="8"/>
  <c r="S291" i="8"/>
  <c r="S292" i="8"/>
  <c r="S293" i="8"/>
  <c r="S294" i="8"/>
  <c r="S295" i="8"/>
  <c r="S296" i="8"/>
  <c r="S297" i="8"/>
  <c r="S298" i="8"/>
  <c r="S299" i="8"/>
  <c r="S300" i="8"/>
  <c r="S301" i="8"/>
  <c r="S302" i="8"/>
  <c r="S303" i="8"/>
  <c r="S304" i="8"/>
  <c r="S305" i="8"/>
  <c r="S306" i="8"/>
  <c r="S307" i="8"/>
  <c r="S308" i="8"/>
  <c r="S309" i="8"/>
  <c r="S310" i="8"/>
  <c r="S311" i="8"/>
  <c r="S312" i="8"/>
  <c r="S313" i="8"/>
  <c r="S314" i="8"/>
  <c r="S315" i="8"/>
  <c r="S316" i="8"/>
  <c r="S317" i="8"/>
  <c r="S318" i="8"/>
  <c r="S319" i="8"/>
  <c r="S320" i="8"/>
  <c r="S321" i="8"/>
  <c r="S322" i="8"/>
  <c r="S323" i="8"/>
  <c r="S324" i="8"/>
  <c r="S325" i="8"/>
  <c r="S326" i="8"/>
  <c r="S327" i="8"/>
  <c r="S328" i="8"/>
  <c r="S329" i="8"/>
  <c r="S330" i="8"/>
  <c r="S331" i="8"/>
  <c r="S332" i="8"/>
  <c r="S333" i="8"/>
  <c r="S334" i="8"/>
  <c r="S335" i="8"/>
  <c r="S336" i="8"/>
  <c r="S337" i="8"/>
  <c r="S338" i="8"/>
  <c r="S339" i="8"/>
  <c r="S340" i="8"/>
  <c r="S341" i="8"/>
  <c r="S342" i="8"/>
  <c r="S343" i="8"/>
  <c r="S344" i="8"/>
  <c r="S345" i="8"/>
  <c r="S346" i="8"/>
  <c r="S347" i="8"/>
  <c r="S348" i="8"/>
  <c r="S349" i="8"/>
  <c r="S350" i="8"/>
  <c r="S351" i="8"/>
  <c r="S352" i="8"/>
  <c r="S353" i="8"/>
  <c r="S354" i="8"/>
  <c r="S355" i="8"/>
  <c r="S356" i="8"/>
  <c r="S357" i="8"/>
  <c r="S358" i="8"/>
  <c r="S359" i="8"/>
  <c r="S360" i="8"/>
  <c r="S361" i="8"/>
  <c r="S362" i="8"/>
  <c r="S363" i="8"/>
  <c r="S364" i="8"/>
  <c r="S365" i="8"/>
  <c r="S366" i="8"/>
  <c r="S367" i="8"/>
  <c r="S368" i="8"/>
  <c r="S369" i="8"/>
  <c r="S370" i="8"/>
  <c r="S371" i="8"/>
  <c r="S372" i="8"/>
  <c r="S373" i="8"/>
  <c r="S374" i="8"/>
  <c r="S375" i="8"/>
  <c r="S376" i="8"/>
  <c r="S377" i="8"/>
  <c r="S378" i="8"/>
  <c r="S379" i="8"/>
  <c r="S380" i="8"/>
  <c r="S381" i="8"/>
  <c r="S382" i="8"/>
  <c r="S383" i="8"/>
  <c r="S384" i="8"/>
  <c r="S385" i="8"/>
  <c r="S386" i="8"/>
  <c r="S387" i="8"/>
  <c r="S388" i="8"/>
  <c r="S389" i="8"/>
  <c r="S390" i="8"/>
  <c r="S391" i="8"/>
  <c r="S392" i="8"/>
  <c r="S393" i="8"/>
  <c r="S394" i="8"/>
  <c r="S395" i="8"/>
  <c r="S396" i="8"/>
  <c r="S397" i="8"/>
  <c r="S398" i="8"/>
  <c r="S399" i="8"/>
  <c r="S400" i="8"/>
  <c r="S401" i="8"/>
  <c r="S402" i="8"/>
  <c r="S403" i="8"/>
  <c r="S404" i="8"/>
  <c r="S405" i="8"/>
  <c r="S406" i="8"/>
  <c r="S407" i="8"/>
  <c r="S408" i="8"/>
  <c r="S409" i="8"/>
  <c r="S410" i="8"/>
  <c r="S411" i="8"/>
  <c r="S412" i="8"/>
  <c r="S413" i="8"/>
  <c r="S414" i="8"/>
  <c r="S415" i="8"/>
  <c r="S416" i="8"/>
  <c r="S417" i="8"/>
  <c r="S418" i="8"/>
  <c r="S419" i="8"/>
  <c r="S420" i="8"/>
  <c r="S421" i="8"/>
  <c r="S422" i="8"/>
  <c r="S423" i="8"/>
  <c r="S424" i="8"/>
  <c r="S425" i="8"/>
  <c r="S426" i="8"/>
  <c r="S427" i="8"/>
  <c r="S428" i="8"/>
  <c r="S429" i="8"/>
  <c r="S430" i="8"/>
  <c r="S431" i="8"/>
  <c r="S432" i="8"/>
  <c r="S433" i="8"/>
  <c r="S434" i="8"/>
  <c r="S435" i="8"/>
  <c r="S436" i="8"/>
  <c r="S437" i="8"/>
  <c r="S438" i="8"/>
  <c r="S439" i="8"/>
  <c r="S440" i="8"/>
  <c r="S441" i="8"/>
  <c r="S442" i="8"/>
  <c r="S443" i="8"/>
  <c r="S444" i="8"/>
  <c r="S445" i="8"/>
  <c r="S446" i="8"/>
  <c r="S447" i="8"/>
  <c r="S448" i="8"/>
  <c r="S449" i="8"/>
  <c r="S450" i="8"/>
  <c r="S451" i="8"/>
  <c r="S452" i="8"/>
  <c r="S453" i="8"/>
  <c r="S454" i="8"/>
  <c r="S455" i="8"/>
  <c r="S456" i="8"/>
  <c r="S457" i="8"/>
  <c r="S458" i="8"/>
  <c r="S459" i="8"/>
  <c r="S460" i="8"/>
  <c r="S461" i="8"/>
  <c r="S462" i="8"/>
  <c r="S463" i="8"/>
  <c r="S464" i="8"/>
  <c r="S465" i="8"/>
  <c r="S466" i="8"/>
  <c r="S467" i="8"/>
  <c r="S468" i="8"/>
  <c r="S469" i="8"/>
  <c r="S470" i="8"/>
  <c r="S471" i="8"/>
  <c r="S472" i="8"/>
  <c r="S473" i="8"/>
  <c r="S474" i="8"/>
  <c r="S475" i="8"/>
  <c r="S476" i="8"/>
  <c r="S477" i="8"/>
  <c r="S478" i="8"/>
  <c r="S479" i="8"/>
  <c r="S480" i="8"/>
  <c r="S481" i="8"/>
  <c r="S482" i="8"/>
  <c r="S483" i="8"/>
  <c r="S484" i="8"/>
  <c r="S485" i="8"/>
  <c r="S486" i="8"/>
  <c r="S487" i="8"/>
  <c r="S488" i="8"/>
  <c r="S489" i="8"/>
  <c r="S490" i="8"/>
  <c r="S491" i="8"/>
  <c r="S492" i="8"/>
  <c r="S493" i="8"/>
  <c r="S494" i="8"/>
  <c r="S495" i="8"/>
  <c r="S496" i="8"/>
  <c r="S497" i="8"/>
  <c r="S498" i="8"/>
  <c r="S499" i="8"/>
  <c r="S500" i="8"/>
  <c r="S501" i="8"/>
  <c r="S502" i="8"/>
  <c r="S503" i="8"/>
  <c r="S504" i="8"/>
  <c r="S505" i="8"/>
  <c r="S506" i="8"/>
  <c r="S507" i="8"/>
  <c r="S508" i="8"/>
  <c r="S509" i="8"/>
  <c r="S510" i="8"/>
  <c r="S511" i="8"/>
  <c r="S512" i="8"/>
  <c r="S513" i="8"/>
  <c r="S514" i="8"/>
  <c r="S515" i="8"/>
  <c r="S516" i="8"/>
  <c r="S517" i="8"/>
  <c r="S518" i="8"/>
  <c r="S519" i="8"/>
  <c r="S520" i="8"/>
  <c r="S521" i="8"/>
  <c r="S522" i="8"/>
  <c r="S523" i="8"/>
  <c r="S524" i="8"/>
  <c r="S525" i="8"/>
  <c r="S526" i="8"/>
  <c r="S527" i="8"/>
  <c r="S528" i="8"/>
  <c r="S529" i="8"/>
  <c r="S530" i="8"/>
  <c r="S531" i="8"/>
  <c r="S532" i="8"/>
  <c r="S533" i="8"/>
  <c r="S534" i="8"/>
  <c r="S535" i="8"/>
  <c r="S536" i="8"/>
  <c r="S537" i="8"/>
  <c r="S538" i="8"/>
  <c r="S539" i="8"/>
  <c r="S540" i="8"/>
  <c r="S541" i="8"/>
  <c r="S542" i="8"/>
  <c r="S543" i="8"/>
  <c r="S544" i="8"/>
  <c r="S545" i="8"/>
  <c r="S546" i="8"/>
  <c r="S547" i="8"/>
  <c r="S548" i="8"/>
  <c r="S549" i="8"/>
  <c r="S550" i="8"/>
  <c r="S551" i="8"/>
  <c r="S552" i="8"/>
  <c r="S553" i="8"/>
  <c r="S554" i="8"/>
  <c r="S555" i="8"/>
  <c r="S556" i="8"/>
  <c r="S557" i="8"/>
  <c r="S558" i="8"/>
  <c r="S559" i="8"/>
  <c r="S560" i="8"/>
  <c r="S561" i="8"/>
  <c r="S562" i="8"/>
  <c r="S563" i="8"/>
  <c r="S564" i="8"/>
  <c r="S565" i="8"/>
  <c r="S566" i="8"/>
  <c r="S567" i="8"/>
  <c r="S568" i="8"/>
  <c r="S569" i="8"/>
  <c r="S570" i="8"/>
  <c r="S571" i="8"/>
  <c r="S572" i="8"/>
  <c r="S573" i="8"/>
  <c r="S574" i="8"/>
  <c r="S575" i="8"/>
  <c r="S576" i="8"/>
  <c r="S577" i="8"/>
  <c r="S578" i="8"/>
  <c r="S579" i="8"/>
  <c r="S580" i="8"/>
  <c r="S581" i="8"/>
  <c r="S582" i="8"/>
  <c r="S583" i="8"/>
  <c r="S584" i="8"/>
  <c r="S585" i="8"/>
  <c r="S586" i="8"/>
  <c r="S587" i="8"/>
  <c r="S588" i="8"/>
  <c r="S589" i="8"/>
  <c r="S590" i="8"/>
  <c r="S591" i="8"/>
  <c r="S592" i="8"/>
  <c r="S593" i="8"/>
  <c r="S594" i="8"/>
  <c r="S595" i="8"/>
  <c r="S596" i="8"/>
  <c r="S597" i="8"/>
  <c r="S598" i="8"/>
  <c r="S599" i="8"/>
  <c r="S600" i="8"/>
  <c r="S601" i="8"/>
  <c r="S602" i="8"/>
  <c r="S603" i="8"/>
  <c r="S604" i="8"/>
  <c r="S605" i="8"/>
  <c r="S606" i="8"/>
  <c r="S607" i="8"/>
  <c r="S608" i="8"/>
  <c r="S609" i="8"/>
  <c r="S610" i="8"/>
  <c r="S611" i="8"/>
  <c r="S612" i="8"/>
  <c r="S613" i="8"/>
  <c r="S614" i="8"/>
  <c r="S615" i="8"/>
  <c r="S616" i="8"/>
  <c r="S617" i="8"/>
  <c r="S618" i="8"/>
  <c r="S619" i="8"/>
  <c r="S620" i="8"/>
  <c r="S621" i="8"/>
  <c r="S622" i="8"/>
  <c r="S623" i="8"/>
  <c r="S624" i="8"/>
  <c r="S625" i="8"/>
  <c r="S626" i="8"/>
  <c r="S627" i="8"/>
  <c r="S628" i="8"/>
  <c r="S629" i="8"/>
  <c r="S630" i="8"/>
  <c r="S631" i="8"/>
  <c r="S632" i="8"/>
  <c r="S633" i="8"/>
  <c r="S634" i="8"/>
  <c r="S635" i="8"/>
  <c r="S636" i="8"/>
  <c r="S637" i="8"/>
  <c r="S638" i="8"/>
  <c r="S639" i="8"/>
  <c r="S640" i="8"/>
  <c r="S641" i="8"/>
  <c r="S642" i="8"/>
  <c r="S643" i="8"/>
  <c r="S644" i="8"/>
  <c r="S645" i="8"/>
  <c r="S646" i="8"/>
  <c r="S647" i="8"/>
  <c r="S648" i="8"/>
  <c r="S649" i="8"/>
  <c r="S650" i="8"/>
  <c r="S651" i="8"/>
  <c r="S652" i="8"/>
  <c r="S653" i="8"/>
  <c r="S654" i="8"/>
  <c r="S655" i="8"/>
  <c r="S656" i="8"/>
  <c r="S657" i="8"/>
  <c r="S658" i="8"/>
  <c r="S659" i="8"/>
  <c r="S660" i="8"/>
  <c r="S661" i="8"/>
  <c r="S662" i="8"/>
  <c r="S663" i="8"/>
  <c r="S664" i="8"/>
  <c r="S665" i="8"/>
  <c r="S666" i="8"/>
  <c r="S667" i="8"/>
  <c r="S668" i="8"/>
  <c r="S669" i="8"/>
  <c r="S670" i="8"/>
  <c r="S671" i="8"/>
  <c r="S672" i="8"/>
  <c r="S673" i="8"/>
  <c r="S674" i="8"/>
  <c r="S675" i="8"/>
  <c r="S676" i="8"/>
  <c r="S677" i="8"/>
  <c r="S678" i="8"/>
  <c r="S679" i="8"/>
  <c r="S680" i="8"/>
  <c r="S681" i="8"/>
  <c r="S682" i="8"/>
  <c r="S683" i="8"/>
  <c r="S684" i="8"/>
  <c r="S685" i="8"/>
  <c r="S686" i="8"/>
  <c r="S687" i="8"/>
  <c r="S688" i="8"/>
  <c r="S689" i="8"/>
  <c r="S690" i="8"/>
  <c r="S691" i="8"/>
  <c r="S692" i="8"/>
  <c r="S693" i="8"/>
  <c r="S694" i="8"/>
  <c r="S695" i="8"/>
  <c r="S696" i="8"/>
  <c r="S697" i="8"/>
  <c r="S698" i="8"/>
  <c r="S699" i="8"/>
  <c r="S700" i="8"/>
  <c r="S701" i="8"/>
  <c r="S702" i="8"/>
  <c r="S703" i="8"/>
  <c r="S704" i="8"/>
  <c r="S705" i="8"/>
  <c r="S706" i="8"/>
  <c r="S707" i="8"/>
  <c r="S708" i="8"/>
  <c r="S709" i="8"/>
  <c r="S710" i="8"/>
  <c r="S711" i="8"/>
  <c r="S712" i="8"/>
  <c r="S713" i="8"/>
  <c r="S714" i="8"/>
  <c r="S715" i="8"/>
  <c r="S716" i="8"/>
  <c r="S717" i="8"/>
  <c r="S718" i="8"/>
  <c r="S719" i="8"/>
  <c r="S720" i="8"/>
  <c r="S721" i="8"/>
  <c r="S722" i="8"/>
  <c r="S723" i="8"/>
  <c r="S724" i="8"/>
  <c r="S725" i="8"/>
  <c r="S726" i="8"/>
  <c r="S727" i="8"/>
  <c r="S728" i="8"/>
  <c r="S729" i="8"/>
  <c r="S730" i="8"/>
  <c r="S731" i="8"/>
  <c r="S732" i="8"/>
  <c r="S733" i="8"/>
  <c r="S734" i="8"/>
  <c r="S735" i="8"/>
  <c r="S736" i="8"/>
  <c r="S737" i="8"/>
  <c r="S738" i="8"/>
  <c r="S739" i="8"/>
  <c r="S740" i="8"/>
  <c r="S741" i="8"/>
  <c r="S742" i="8"/>
  <c r="S743" i="8"/>
  <c r="S744" i="8"/>
  <c r="S745" i="8"/>
  <c r="S746" i="8"/>
  <c r="S747" i="8"/>
  <c r="S748" i="8"/>
  <c r="S749" i="8"/>
  <c r="S750" i="8"/>
  <c r="S751" i="8"/>
  <c r="S752" i="8"/>
  <c r="S753" i="8"/>
  <c r="S754" i="8"/>
  <c r="S755" i="8"/>
  <c r="S756" i="8"/>
  <c r="S757" i="8"/>
  <c r="S758" i="8"/>
  <c r="S759" i="8"/>
  <c r="S760" i="8"/>
  <c r="S761" i="8"/>
  <c r="S762" i="8"/>
  <c r="S763" i="8"/>
  <c r="S764" i="8"/>
  <c r="S765" i="8"/>
  <c r="S766" i="8"/>
  <c r="S767" i="8"/>
  <c r="S768" i="8"/>
  <c r="S769" i="8"/>
  <c r="S770" i="8"/>
  <c r="S771" i="8"/>
  <c r="S772" i="8"/>
  <c r="S773" i="8"/>
  <c r="S774" i="8"/>
  <c r="S775" i="8"/>
  <c r="S776" i="8"/>
  <c r="S777" i="8"/>
  <c r="S778" i="8"/>
  <c r="S779" i="8"/>
  <c r="S780" i="8"/>
  <c r="S781" i="8"/>
  <c r="S782" i="8"/>
  <c r="S783" i="8"/>
  <c r="S784" i="8"/>
  <c r="S785" i="8"/>
  <c r="S786" i="8"/>
  <c r="S787" i="8"/>
  <c r="S788" i="8"/>
  <c r="S789" i="8"/>
  <c r="S790" i="8"/>
  <c r="S791" i="8"/>
  <c r="S792" i="8"/>
  <c r="S793" i="8"/>
  <c r="S794" i="8"/>
  <c r="S795" i="8"/>
  <c r="S796" i="8"/>
  <c r="S797" i="8"/>
  <c r="S798" i="8"/>
  <c r="S799" i="8"/>
  <c r="S800" i="8"/>
  <c r="S801" i="8"/>
  <c r="S802" i="8"/>
  <c r="S803" i="8"/>
  <c r="S804" i="8"/>
  <c r="S805" i="8"/>
  <c r="S806" i="8"/>
  <c r="S807" i="8"/>
  <c r="S808" i="8"/>
  <c r="S809" i="8"/>
  <c r="S810" i="8"/>
  <c r="S811" i="8"/>
  <c r="S812" i="8"/>
  <c r="S813" i="8"/>
  <c r="S814" i="8"/>
  <c r="S815" i="8"/>
  <c r="S816" i="8"/>
  <c r="S817" i="8"/>
  <c r="S818" i="8"/>
  <c r="S819" i="8"/>
  <c r="S820" i="8"/>
  <c r="S821" i="8"/>
  <c r="S822" i="8"/>
  <c r="S823" i="8"/>
  <c r="S824" i="8"/>
  <c r="S825" i="8"/>
  <c r="S826" i="8"/>
  <c r="S827" i="8"/>
  <c r="S828" i="8"/>
  <c r="S829" i="8"/>
  <c r="S830" i="8"/>
  <c r="S831" i="8"/>
  <c r="S832" i="8"/>
  <c r="S833" i="8"/>
  <c r="S834" i="8"/>
  <c r="S835" i="8"/>
  <c r="S836" i="8"/>
  <c r="S837" i="8"/>
  <c r="S838" i="8"/>
  <c r="S839" i="8"/>
  <c r="S840" i="8"/>
  <c r="S841" i="8"/>
  <c r="S842" i="8"/>
  <c r="S843" i="8"/>
  <c r="S844" i="8"/>
  <c r="S845" i="8"/>
  <c r="S846" i="8"/>
  <c r="S847" i="8"/>
  <c r="S848" i="8"/>
  <c r="S849" i="8"/>
  <c r="S850" i="8"/>
  <c r="S851" i="8"/>
  <c r="S852" i="8"/>
  <c r="S853" i="8"/>
  <c r="S854" i="8"/>
  <c r="S855" i="8"/>
  <c r="S856" i="8"/>
  <c r="S857" i="8"/>
  <c r="S858" i="8"/>
  <c r="S859" i="8"/>
  <c r="S860" i="8"/>
  <c r="S861" i="8"/>
  <c r="S862" i="8"/>
  <c r="S863" i="8"/>
  <c r="S864" i="8"/>
  <c r="S865" i="8"/>
  <c r="S866" i="8"/>
  <c r="S867" i="8"/>
  <c r="S868" i="8"/>
  <c r="S869" i="8"/>
  <c r="S870" i="8"/>
  <c r="S871" i="8"/>
  <c r="S872" i="8"/>
  <c r="S873" i="8"/>
  <c r="S874" i="8"/>
  <c r="S875" i="8"/>
  <c r="S876" i="8"/>
  <c r="S877" i="8"/>
  <c r="S878" i="8"/>
  <c r="S879" i="8"/>
  <c r="S880" i="8"/>
  <c r="S881" i="8"/>
  <c r="S882" i="8"/>
  <c r="S883" i="8"/>
  <c r="S884" i="8"/>
  <c r="S885" i="8"/>
  <c r="S886" i="8"/>
  <c r="S887" i="8"/>
  <c r="S888" i="8"/>
  <c r="S889" i="8"/>
  <c r="S890" i="8"/>
  <c r="S891" i="8"/>
  <c r="S892" i="8"/>
  <c r="S893" i="8"/>
  <c r="S894" i="8"/>
  <c r="S895" i="8"/>
  <c r="S896" i="8"/>
  <c r="S897" i="8"/>
  <c r="S898" i="8"/>
  <c r="S899" i="8"/>
  <c r="S900" i="8"/>
  <c r="S901" i="8"/>
  <c r="S902" i="8"/>
  <c r="S903" i="8"/>
  <c r="S904" i="8"/>
  <c r="S905" i="8"/>
  <c r="S906" i="8"/>
  <c r="S907" i="8"/>
  <c r="S908" i="8"/>
  <c r="S909" i="8"/>
  <c r="S910" i="8"/>
  <c r="S911" i="8"/>
  <c r="S912" i="8"/>
  <c r="S913" i="8"/>
  <c r="S914" i="8"/>
  <c r="S915" i="8"/>
  <c r="S916" i="8"/>
  <c r="S917" i="8"/>
  <c r="S918" i="8"/>
  <c r="S919" i="8"/>
  <c r="S920" i="8"/>
  <c r="S921" i="8"/>
  <c r="S922" i="8"/>
  <c r="S923" i="8"/>
  <c r="S924" i="8"/>
  <c r="S925" i="8"/>
  <c r="S926" i="8"/>
  <c r="S927" i="8"/>
  <c r="S928" i="8"/>
  <c r="S929" i="8"/>
  <c r="S930" i="8"/>
  <c r="S931" i="8"/>
  <c r="S932" i="8"/>
  <c r="S933" i="8"/>
  <c r="S934" i="8"/>
  <c r="S935" i="8"/>
  <c r="S936" i="8"/>
  <c r="S937" i="8"/>
  <c r="S938" i="8"/>
  <c r="S939" i="8"/>
  <c r="S940" i="8"/>
  <c r="S941" i="8"/>
  <c r="S942" i="8"/>
  <c r="S943" i="8"/>
  <c r="S944" i="8"/>
  <c r="S945" i="8"/>
  <c r="S946" i="8"/>
  <c r="S947" i="8"/>
  <c r="S948" i="8"/>
  <c r="S949" i="8"/>
  <c r="S950" i="8"/>
  <c r="S951" i="8"/>
  <c r="S952" i="8"/>
  <c r="S953" i="8"/>
  <c r="S954" i="8"/>
  <c r="S955" i="8"/>
  <c r="S956" i="8"/>
  <c r="S957" i="8"/>
  <c r="S958" i="8"/>
  <c r="S959" i="8"/>
  <c r="S960" i="8"/>
  <c r="S961" i="8"/>
  <c r="S962" i="8"/>
  <c r="S963" i="8"/>
  <c r="S964" i="8"/>
  <c r="S965" i="8"/>
  <c r="S966" i="8"/>
  <c r="S967" i="8"/>
  <c r="S968" i="8"/>
  <c r="S969" i="8"/>
  <c r="S970" i="8"/>
  <c r="S971" i="8"/>
  <c r="S972" i="8"/>
  <c r="S973" i="8"/>
  <c r="S974" i="8"/>
  <c r="S975" i="8"/>
  <c r="S976" i="8"/>
  <c r="S977" i="8"/>
  <c r="S978" i="8"/>
  <c r="S979" i="8"/>
  <c r="S980" i="8"/>
  <c r="S981" i="8"/>
  <c r="S982" i="8"/>
  <c r="S983" i="8"/>
  <c r="S984" i="8"/>
  <c r="S985" i="8"/>
  <c r="S986" i="8"/>
  <c r="S987" i="8"/>
  <c r="S988" i="8"/>
  <c r="S989" i="8"/>
  <c r="S990" i="8"/>
  <c r="S991" i="8"/>
  <c r="S992" i="8"/>
  <c r="S993" i="8"/>
  <c r="S994" i="8"/>
  <c r="S995" i="8"/>
  <c r="S996" i="8"/>
  <c r="S997" i="8"/>
  <c r="S998" i="8"/>
  <c r="S999" i="8"/>
  <c r="S1000" i="8"/>
  <c r="S1001" i="8"/>
  <c r="S1002" i="8"/>
  <c r="S1003" i="8"/>
  <c r="S1004" i="8"/>
  <c r="S1005" i="8"/>
  <c r="S1006" i="8"/>
  <c r="S1007" i="8"/>
  <c r="S1008" i="8"/>
  <c r="S1009" i="8"/>
  <c r="S1010" i="8"/>
  <c r="S1011" i="8"/>
  <c r="S1012" i="8"/>
  <c r="S1013" i="8"/>
  <c r="S1014" i="8"/>
  <c r="S1015" i="8"/>
  <c r="S1016" i="8"/>
  <c r="S1017" i="8"/>
  <c r="S1018" i="8"/>
  <c r="S1019" i="8"/>
  <c r="S1020" i="8"/>
  <c r="S1021" i="8"/>
  <c r="S1022" i="8"/>
  <c r="S1023" i="8"/>
  <c r="S1024" i="8"/>
  <c r="S1025" i="8"/>
  <c r="S1026" i="8"/>
  <c r="S1027" i="8"/>
  <c r="S1028" i="8"/>
  <c r="S1029" i="8"/>
  <c r="S1030" i="8"/>
  <c r="S1031" i="8"/>
  <c r="S1032" i="8"/>
  <c r="S1033" i="8"/>
  <c r="S1034" i="8"/>
  <c r="S1035" i="8"/>
  <c r="S1036" i="8"/>
  <c r="S1037" i="8"/>
  <c r="S1038" i="8"/>
  <c r="S1039" i="8"/>
  <c r="S1040" i="8"/>
  <c r="S1041" i="8"/>
  <c r="S1042" i="8"/>
  <c r="S1043" i="8"/>
  <c r="S1044" i="8"/>
  <c r="S1045" i="8"/>
  <c r="S1046" i="8"/>
  <c r="S1047" i="8"/>
  <c r="S1048" i="8"/>
  <c r="S1049" i="8"/>
  <c r="S1050" i="8"/>
  <c r="S1051" i="8"/>
  <c r="S1052" i="8"/>
  <c r="S1053" i="8"/>
  <c r="S1054" i="8"/>
  <c r="S1055" i="8"/>
  <c r="S1056" i="8"/>
  <c r="S1057" i="8"/>
  <c r="S1058" i="8"/>
  <c r="S1059" i="8"/>
  <c r="S1060" i="8"/>
  <c r="S1061" i="8"/>
  <c r="S1062" i="8"/>
  <c r="S1063" i="8"/>
  <c r="S1064" i="8"/>
  <c r="S1065" i="8"/>
  <c r="S1066" i="8"/>
  <c r="S1067" i="8"/>
  <c r="S1068" i="8"/>
  <c r="S1069" i="8"/>
  <c r="S1070" i="8"/>
  <c r="S1071" i="8"/>
  <c r="S1072" i="8"/>
  <c r="S1073" i="8"/>
  <c r="S1074" i="8"/>
  <c r="S1075" i="8"/>
  <c r="S1076" i="8"/>
  <c r="S1077" i="8"/>
  <c r="S1078" i="8"/>
  <c r="S1079" i="8"/>
  <c r="S1080" i="8"/>
  <c r="S1081" i="8"/>
  <c r="S1082" i="8"/>
  <c r="S1083" i="8"/>
  <c r="S1084" i="8"/>
  <c r="S1085" i="8"/>
  <c r="S1086" i="8"/>
  <c r="S1087" i="8"/>
  <c r="S1088" i="8"/>
  <c r="S1089" i="8"/>
  <c r="S1090" i="8"/>
  <c r="S1091" i="8"/>
  <c r="S1092" i="8"/>
  <c r="S1093" i="8"/>
  <c r="S1094" i="8"/>
  <c r="S1095" i="8"/>
  <c r="S1096" i="8"/>
  <c r="S1097" i="8"/>
  <c r="S1098" i="8"/>
  <c r="S1099" i="8"/>
  <c r="S1100" i="8"/>
  <c r="S1101" i="8"/>
  <c r="S1102" i="8"/>
  <c r="S1103" i="8"/>
  <c r="S1104" i="8"/>
  <c r="S1105" i="8"/>
  <c r="S1106" i="8"/>
  <c r="S1107" i="8"/>
  <c r="S1108" i="8"/>
  <c r="S1109" i="8"/>
  <c r="S1110" i="8"/>
  <c r="S1111" i="8"/>
  <c r="S1112" i="8"/>
  <c r="S1113" i="8"/>
  <c r="S1114" i="8"/>
  <c r="S1115" i="8"/>
  <c r="S1116" i="8"/>
  <c r="S1117" i="8"/>
  <c r="S1118" i="8"/>
  <c r="S1119" i="8"/>
  <c r="S1120" i="8"/>
  <c r="S1121" i="8"/>
  <c r="S1122" i="8"/>
  <c r="S1123" i="8"/>
  <c r="S1124" i="8"/>
  <c r="S1125" i="8"/>
  <c r="S1126" i="8"/>
  <c r="S1127" i="8"/>
  <c r="S1128" i="8"/>
  <c r="S1129" i="8"/>
  <c r="S1130" i="8"/>
  <c r="S1131" i="8"/>
  <c r="S1132" i="8"/>
  <c r="S1133" i="8"/>
  <c r="S1134" i="8"/>
  <c r="S1135" i="8"/>
  <c r="S1136" i="8"/>
  <c r="S1137" i="8"/>
  <c r="S1138" i="8"/>
  <c r="S1139" i="8"/>
  <c r="S1140" i="8"/>
  <c r="S1141" i="8"/>
  <c r="S1142" i="8"/>
  <c r="S1143" i="8"/>
  <c r="S1144" i="8"/>
  <c r="S1145" i="8"/>
  <c r="S1146" i="8"/>
  <c r="S1147" i="8"/>
  <c r="S1148" i="8"/>
  <c r="S1149" i="8"/>
  <c r="S1150" i="8"/>
  <c r="S1151" i="8"/>
  <c r="S1152" i="8"/>
  <c r="S1153" i="8"/>
  <c r="S1154" i="8"/>
  <c r="S1155" i="8"/>
  <c r="S1156" i="8"/>
  <c r="S1157" i="8"/>
  <c r="S1158" i="8"/>
  <c r="S1159" i="8"/>
  <c r="S1160" i="8"/>
  <c r="S1161" i="8"/>
  <c r="S1162" i="8"/>
  <c r="S1163" i="8"/>
  <c r="S1164" i="8"/>
  <c r="S1165" i="8"/>
  <c r="S1166" i="8"/>
  <c r="S1167" i="8"/>
  <c r="S1168" i="8"/>
  <c r="S1169" i="8"/>
  <c r="S1170" i="8"/>
  <c r="S1171" i="8"/>
  <c r="S1172" i="8"/>
  <c r="S1173" i="8"/>
  <c r="S1174" i="8"/>
  <c r="S1175" i="8"/>
  <c r="S1176" i="8"/>
  <c r="S1177" i="8"/>
  <c r="S1178" i="8"/>
  <c r="S1179" i="8"/>
  <c r="S1180" i="8"/>
  <c r="S1181" i="8"/>
  <c r="S1182" i="8"/>
  <c r="S1183" i="8"/>
  <c r="S1184" i="8"/>
  <c r="S1185" i="8"/>
  <c r="S1186" i="8"/>
  <c r="S1187" i="8"/>
  <c r="S1188" i="8"/>
  <c r="S1189" i="8"/>
  <c r="S1190" i="8"/>
  <c r="S1191" i="8"/>
  <c r="S1192" i="8"/>
  <c r="S1193" i="8"/>
  <c r="S1194" i="8"/>
  <c r="S1195" i="8"/>
  <c r="S1196" i="8"/>
  <c r="S1197" i="8"/>
  <c r="S1198" i="8"/>
  <c r="S1199" i="8"/>
  <c r="S1200" i="8"/>
  <c r="S1201" i="8"/>
  <c r="S1202" i="8"/>
  <c r="S1203" i="8"/>
  <c r="S1204" i="8"/>
  <c r="S1205" i="8"/>
  <c r="S1206" i="8"/>
  <c r="S1207" i="8"/>
  <c r="S1208" i="8"/>
  <c r="S1209" i="8"/>
  <c r="S1210" i="8"/>
  <c r="S1211" i="8"/>
  <c r="S1212" i="8"/>
  <c r="S1213" i="8"/>
  <c r="S1214" i="8"/>
  <c r="S1215" i="8"/>
  <c r="S1216" i="8"/>
  <c r="S1217" i="8"/>
  <c r="S1218" i="8"/>
  <c r="S1219" i="8"/>
  <c r="S1220" i="8"/>
  <c r="S1221" i="8"/>
  <c r="S1222" i="8"/>
  <c r="S1223" i="8"/>
  <c r="S1224" i="8"/>
  <c r="S1225" i="8"/>
  <c r="S1226" i="8"/>
  <c r="S1227" i="8"/>
  <c r="S1228" i="8"/>
  <c r="S1229" i="8"/>
  <c r="S1230" i="8"/>
  <c r="S1231" i="8"/>
  <c r="S1232" i="8"/>
  <c r="S1233" i="8"/>
  <c r="S1234" i="8"/>
  <c r="S1235" i="8"/>
  <c r="S1236" i="8"/>
  <c r="S1237" i="8"/>
  <c r="S1238" i="8"/>
  <c r="S1239" i="8"/>
  <c r="S1240" i="8"/>
  <c r="S1241" i="8"/>
  <c r="S1242" i="8"/>
  <c r="S1243" i="8"/>
  <c r="S1244" i="8"/>
  <c r="S1245" i="8"/>
  <c r="S1246" i="8"/>
  <c r="S1247" i="8"/>
  <c r="S1248" i="8"/>
  <c r="S1249" i="8"/>
  <c r="S1250" i="8"/>
  <c r="S1251" i="8"/>
  <c r="S1252" i="8"/>
  <c r="S1253" i="8"/>
  <c r="S1254" i="8"/>
  <c r="S1255" i="8"/>
  <c r="S1256" i="8"/>
  <c r="S1257" i="8"/>
  <c r="S1258" i="8"/>
  <c r="S1259" i="8"/>
  <c r="S1260" i="8"/>
  <c r="S1261" i="8"/>
  <c r="S1262" i="8"/>
  <c r="S1263" i="8"/>
  <c r="S1264" i="8"/>
  <c r="S1265" i="8"/>
  <c r="S1266" i="8"/>
  <c r="S1267" i="8"/>
  <c r="S1268" i="8"/>
  <c r="S1269" i="8"/>
  <c r="S1270" i="8"/>
  <c r="S1271" i="8"/>
  <c r="S1272" i="8"/>
  <c r="S1273" i="8"/>
  <c r="S1274" i="8"/>
  <c r="S1275" i="8"/>
  <c r="S1276" i="8"/>
  <c r="S1277" i="8"/>
  <c r="S1278" i="8"/>
  <c r="S1279" i="8"/>
  <c r="S1280" i="8"/>
  <c r="S1281" i="8"/>
  <c r="S1282" i="8"/>
  <c r="S1283" i="8"/>
  <c r="S1284" i="8"/>
  <c r="S1285" i="8"/>
  <c r="S1286" i="8"/>
  <c r="S1287" i="8"/>
  <c r="S1288" i="8"/>
  <c r="S1289" i="8"/>
  <c r="S1290" i="8"/>
  <c r="S1291" i="8"/>
  <c r="S1292" i="8"/>
  <c r="S1293" i="8"/>
  <c r="S1294" i="8"/>
  <c r="S1295" i="8"/>
  <c r="S1296" i="8"/>
  <c r="S1297" i="8"/>
  <c r="S1298" i="8"/>
  <c r="S1299" i="8"/>
  <c r="S1300" i="8"/>
  <c r="S1301" i="8"/>
  <c r="S1302" i="8"/>
  <c r="S1303" i="8"/>
  <c r="S1304" i="8"/>
  <c r="S1305" i="8"/>
  <c r="S1306" i="8"/>
  <c r="S1307" i="8"/>
  <c r="S1308" i="8"/>
  <c r="S1309" i="8"/>
  <c r="S1310" i="8"/>
  <c r="S1311" i="8"/>
  <c r="S1312" i="8"/>
  <c r="S1313" i="8"/>
  <c r="S1314" i="8"/>
  <c r="S1315" i="8"/>
  <c r="S1316" i="8"/>
  <c r="S1317" i="8"/>
  <c r="S1318" i="8"/>
  <c r="S1319" i="8"/>
  <c r="S1320" i="8"/>
  <c r="S1321" i="8"/>
  <c r="S1322" i="8"/>
  <c r="S1323" i="8"/>
  <c r="S1324" i="8"/>
  <c r="S1325" i="8"/>
  <c r="S1326" i="8"/>
  <c r="S1327" i="8"/>
  <c r="S1328" i="8"/>
  <c r="S1329" i="8"/>
  <c r="S1330" i="8"/>
  <c r="S1331" i="8"/>
  <c r="S1332" i="8"/>
  <c r="S1333" i="8"/>
  <c r="S1334" i="8"/>
  <c r="S1335" i="8"/>
  <c r="S1336" i="8"/>
  <c r="S1337" i="8"/>
  <c r="S1338" i="8"/>
  <c r="S1339" i="8"/>
  <c r="S1340" i="8"/>
  <c r="S1341" i="8"/>
  <c r="S1342" i="8"/>
  <c r="S1343" i="8"/>
  <c r="S1344" i="8"/>
  <c r="S1345" i="8"/>
  <c r="S1346" i="8"/>
  <c r="S1347" i="8"/>
  <c r="S1348" i="8"/>
  <c r="S1349" i="8"/>
  <c r="S1350" i="8"/>
  <c r="S1351" i="8"/>
  <c r="S1352" i="8"/>
  <c r="S1353" i="8"/>
  <c r="S1354" i="8"/>
  <c r="S1355" i="8"/>
  <c r="S1356" i="8"/>
  <c r="S1357" i="8"/>
  <c r="S1358" i="8"/>
  <c r="S1359" i="8"/>
  <c r="S1360" i="8"/>
  <c r="S1361" i="8"/>
  <c r="S1362" i="8"/>
  <c r="S1363" i="8"/>
  <c r="S1364" i="8"/>
  <c r="S1365" i="8"/>
  <c r="S1366" i="8"/>
  <c r="S1367" i="8"/>
  <c r="S1368" i="8"/>
  <c r="S1369" i="8"/>
  <c r="S1370" i="8"/>
  <c r="S1371" i="8"/>
  <c r="S1372" i="8"/>
  <c r="S1373" i="8"/>
  <c r="S1374" i="8"/>
  <c r="S1375" i="8"/>
  <c r="S1376" i="8"/>
  <c r="S1377" i="8"/>
  <c r="S1378" i="8"/>
  <c r="S1379" i="8"/>
  <c r="S1380" i="8"/>
  <c r="S1381" i="8"/>
  <c r="S1382" i="8"/>
  <c r="S1383" i="8"/>
  <c r="S1384" i="8"/>
  <c r="S1385" i="8"/>
  <c r="S1386" i="8"/>
  <c r="S1387" i="8"/>
  <c r="S1388" i="8"/>
  <c r="S1389" i="8"/>
  <c r="S1390" i="8"/>
  <c r="S1391" i="8"/>
  <c r="S1392" i="8"/>
  <c r="S1393" i="8"/>
  <c r="S1394" i="8"/>
  <c r="S1395" i="8"/>
  <c r="S1396" i="8"/>
  <c r="S1397" i="8"/>
  <c r="S1398" i="8"/>
  <c r="S1399" i="8"/>
  <c r="S1400" i="8"/>
  <c r="S1401" i="8"/>
  <c r="S1402" i="8"/>
  <c r="S1403" i="8"/>
  <c r="S1404" i="8"/>
  <c r="S1405" i="8"/>
  <c r="S1406" i="8"/>
  <c r="S1407" i="8"/>
  <c r="S1408" i="8"/>
  <c r="S1409" i="8"/>
  <c r="S1410" i="8"/>
  <c r="S1411" i="8"/>
  <c r="S1412" i="8"/>
  <c r="S1413" i="8"/>
  <c r="S1414" i="8"/>
  <c r="S1415" i="8"/>
  <c r="S1416" i="8"/>
  <c r="S1417" i="8"/>
  <c r="S1418" i="8"/>
  <c r="S1419" i="8"/>
  <c r="S1420" i="8"/>
  <c r="S1421" i="8"/>
  <c r="S1422" i="8"/>
  <c r="S1423" i="8"/>
  <c r="S1424" i="8"/>
  <c r="S1425" i="8"/>
  <c r="S1426" i="8"/>
  <c r="S1427" i="8"/>
  <c r="S1428" i="8"/>
  <c r="S1429" i="8"/>
  <c r="S1430" i="8"/>
  <c r="S1431" i="8"/>
  <c r="S1432" i="8"/>
  <c r="S1433" i="8"/>
  <c r="S1434" i="8"/>
  <c r="S1435" i="8"/>
  <c r="S1436" i="8"/>
  <c r="S1437" i="8"/>
  <c r="S1438" i="8"/>
  <c r="S1439" i="8"/>
  <c r="S1440" i="8"/>
  <c r="S1441" i="8"/>
  <c r="S1442" i="8"/>
  <c r="S1443" i="8"/>
  <c r="S1444" i="8"/>
  <c r="S1445" i="8"/>
  <c r="S1446" i="8"/>
  <c r="S1447" i="8"/>
  <c r="S1448" i="8"/>
  <c r="S1449" i="8"/>
  <c r="S1450" i="8"/>
  <c r="S1451" i="8"/>
  <c r="S1452" i="8"/>
  <c r="S1453" i="8"/>
  <c r="S1454" i="8"/>
  <c r="S1455" i="8"/>
  <c r="S1456" i="8"/>
  <c r="S1457" i="8"/>
  <c r="S1458" i="8"/>
  <c r="S1459" i="8"/>
  <c r="S1460" i="8"/>
  <c r="S1461" i="8"/>
  <c r="S1462" i="8"/>
  <c r="S1463" i="8"/>
  <c r="S1464" i="8"/>
  <c r="S1465" i="8"/>
  <c r="S1466" i="8"/>
  <c r="S1467" i="8"/>
  <c r="S1468" i="8"/>
  <c r="S1469" i="8"/>
  <c r="S1470" i="8"/>
  <c r="S1471" i="8"/>
  <c r="S1472" i="8"/>
  <c r="S1473" i="8"/>
  <c r="S1474" i="8"/>
  <c r="S1475" i="8"/>
  <c r="S1476" i="8"/>
  <c r="S1477" i="8"/>
  <c r="S1478" i="8"/>
  <c r="S1479" i="8"/>
  <c r="S1480" i="8"/>
  <c r="S1481" i="8"/>
  <c r="S1482" i="8"/>
  <c r="S1483" i="8"/>
  <c r="S1484" i="8"/>
  <c r="S1485" i="8"/>
  <c r="S1486" i="8"/>
  <c r="S1487" i="8"/>
  <c r="S1488" i="8"/>
  <c r="S1489" i="8"/>
  <c r="S1490" i="8"/>
  <c r="S1491" i="8"/>
  <c r="S1492" i="8"/>
  <c r="S1493" i="8"/>
  <c r="S1494" i="8"/>
  <c r="S1495" i="8"/>
  <c r="S1496" i="8"/>
  <c r="S1497" i="8"/>
  <c r="S1498" i="8"/>
  <c r="S1499" i="8"/>
  <c r="S1500" i="8"/>
  <c r="S1501" i="8"/>
  <c r="S1502" i="8"/>
  <c r="S1503" i="8"/>
  <c r="S1504" i="8"/>
  <c r="S1505" i="8"/>
  <c r="S1506" i="8"/>
  <c r="S1507" i="8"/>
  <c r="S1508" i="8"/>
  <c r="S1509" i="8"/>
  <c r="S1510" i="8"/>
  <c r="S1511" i="8"/>
  <c r="S1512" i="8"/>
  <c r="S1513" i="8"/>
  <c r="S1514" i="8"/>
  <c r="S1515" i="8"/>
  <c r="S1516" i="8"/>
  <c r="S1517" i="8"/>
  <c r="S1518" i="8"/>
  <c r="S1519" i="8"/>
  <c r="S1520" i="8"/>
  <c r="S1521" i="8"/>
  <c r="S1522" i="8"/>
  <c r="S1523" i="8"/>
  <c r="S1524" i="8"/>
  <c r="S1525" i="8"/>
  <c r="S1526" i="8"/>
  <c r="S1527" i="8"/>
  <c r="S1528" i="8"/>
  <c r="S1529" i="8"/>
  <c r="S1530" i="8"/>
  <c r="S1531" i="8"/>
  <c r="S1532" i="8"/>
  <c r="S1533" i="8"/>
  <c r="S1534" i="8"/>
  <c r="S1535" i="8"/>
  <c r="S1536" i="8"/>
  <c r="S1537" i="8"/>
  <c r="S1538" i="8"/>
  <c r="S1539" i="8"/>
  <c r="S1540" i="8"/>
  <c r="S1541" i="8"/>
  <c r="S1542" i="8"/>
  <c r="S1543" i="8"/>
  <c r="S1544" i="8"/>
  <c r="S1545" i="8"/>
  <c r="S1546" i="8"/>
  <c r="S1547" i="8"/>
  <c r="S1548" i="8"/>
  <c r="S1549" i="8"/>
  <c r="S1550" i="8"/>
  <c r="S1551" i="8"/>
  <c r="S1552" i="8"/>
  <c r="S1553" i="8"/>
  <c r="S1554" i="8"/>
  <c r="S1555" i="8"/>
  <c r="S1556" i="8"/>
  <c r="S1557" i="8"/>
  <c r="S1558" i="8"/>
  <c r="S1559" i="8"/>
  <c r="S1560" i="8"/>
  <c r="S1561" i="8"/>
  <c r="S1562" i="8"/>
  <c r="S1563" i="8"/>
  <c r="S1564" i="8"/>
  <c r="S1565" i="8"/>
  <c r="S1566" i="8"/>
  <c r="S1567" i="8"/>
  <c r="S1568" i="8"/>
  <c r="S1569" i="8"/>
  <c r="S1570" i="8"/>
  <c r="S1571" i="8"/>
  <c r="S1572" i="8"/>
  <c r="S1573" i="8"/>
  <c r="S1574" i="8"/>
  <c r="S1575" i="8"/>
  <c r="S1576" i="8"/>
  <c r="S1577" i="8"/>
  <c r="S1578" i="8"/>
  <c r="S1579" i="8"/>
  <c r="S1580" i="8"/>
  <c r="S1581" i="8"/>
  <c r="S1582" i="8"/>
  <c r="S1583" i="8"/>
  <c r="S1584" i="8"/>
  <c r="S1585" i="8"/>
  <c r="S1586" i="8"/>
  <c r="S1587" i="8"/>
  <c r="S1588" i="8"/>
  <c r="S1589" i="8"/>
  <c r="S1590" i="8"/>
  <c r="S1591" i="8"/>
  <c r="S1592" i="8"/>
  <c r="S1593" i="8"/>
  <c r="S1594" i="8"/>
  <c r="S1595" i="8"/>
  <c r="S1596" i="8"/>
  <c r="S1597" i="8"/>
  <c r="S1598" i="8"/>
  <c r="S1599" i="8"/>
  <c r="S1600" i="8"/>
  <c r="S1601" i="8"/>
  <c r="S1602" i="8"/>
  <c r="S1603" i="8"/>
  <c r="S1604" i="8"/>
  <c r="S1605" i="8"/>
  <c r="S1606" i="8"/>
  <c r="S1607" i="8"/>
  <c r="S1608" i="8"/>
  <c r="S1609" i="8"/>
  <c r="S1610" i="8"/>
  <c r="S1611" i="8"/>
  <c r="S1612" i="8"/>
  <c r="S1613" i="8"/>
  <c r="S1614" i="8"/>
  <c r="S1615" i="8"/>
  <c r="S1616" i="8"/>
  <c r="S1617" i="8"/>
  <c r="S1618" i="8"/>
  <c r="S1619" i="8"/>
  <c r="S1620" i="8"/>
  <c r="S1621" i="8"/>
  <c r="S1622" i="8"/>
  <c r="S1623" i="8"/>
  <c r="S1624" i="8"/>
  <c r="S1625" i="8"/>
  <c r="S1626" i="8"/>
  <c r="S1627" i="8"/>
  <c r="S1628" i="8"/>
  <c r="S1629" i="8"/>
  <c r="S1630" i="8"/>
  <c r="S1631" i="8"/>
  <c r="S1632" i="8"/>
  <c r="S1633" i="8"/>
  <c r="S1634" i="8"/>
  <c r="S1635" i="8"/>
  <c r="S1636" i="8"/>
  <c r="S1637" i="8"/>
  <c r="S1638" i="8"/>
  <c r="S1639" i="8"/>
  <c r="S1640" i="8"/>
  <c r="S1641" i="8"/>
  <c r="S1642" i="8"/>
  <c r="S1643" i="8"/>
  <c r="S1644" i="8"/>
  <c r="S1645" i="8"/>
  <c r="S1646" i="8"/>
  <c r="S1647" i="8"/>
  <c r="S1648" i="8"/>
  <c r="S1649" i="8"/>
  <c r="S1650" i="8"/>
  <c r="S1651" i="8"/>
  <c r="S1652" i="8"/>
  <c r="S1653" i="8"/>
  <c r="S1654" i="8"/>
  <c r="S1655" i="8"/>
  <c r="S1656" i="8"/>
  <c r="S1657" i="8"/>
  <c r="S1658" i="8"/>
  <c r="S1659" i="8"/>
  <c r="S1660" i="8"/>
  <c r="S1661" i="8"/>
  <c r="S1662" i="8"/>
  <c r="S1663" i="8"/>
  <c r="S1664" i="8"/>
  <c r="S1665" i="8"/>
  <c r="S1666" i="8"/>
  <c r="S1667" i="8"/>
  <c r="S1668" i="8"/>
  <c r="S1669" i="8"/>
  <c r="S1670" i="8"/>
  <c r="S1671" i="8"/>
  <c r="S1672" i="8"/>
  <c r="S1673" i="8"/>
  <c r="S1674" i="8"/>
  <c r="S1675" i="8"/>
  <c r="S1676" i="8"/>
  <c r="S1677" i="8"/>
  <c r="S1678" i="8"/>
  <c r="S1679" i="8"/>
  <c r="S1680" i="8"/>
  <c r="S1681" i="8"/>
  <c r="S1682" i="8"/>
  <c r="S1683" i="8"/>
  <c r="S1684" i="8"/>
  <c r="S1685" i="8"/>
  <c r="S1686" i="8"/>
  <c r="S1687" i="8"/>
  <c r="S1688" i="8"/>
  <c r="S1689" i="8"/>
  <c r="S1690" i="8"/>
  <c r="S1691" i="8"/>
  <c r="S1692" i="8"/>
  <c r="S1693" i="8"/>
  <c r="S1694" i="8"/>
  <c r="S1695" i="8"/>
  <c r="S1696" i="8"/>
  <c r="S1697" i="8"/>
  <c r="S1698" i="8"/>
  <c r="S1699" i="8"/>
  <c r="S1700" i="8"/>
  <c r="S1701" i="8"/>
  <c r="S1702" i="8"/>
  <c r="S1703" i="8"/>
  <c r="S1704" i="8"/>
  <c r="S1705" i="8"/>
  <c r="S1706" i="8"/>
  <c r="S1707" i="8"/>
  <c r="S1708" i="8"/>
  <c r="S1709" i="8"/>
  <c r="S1710" i="8"/>
  <c r="S1711" i="8"/>
  <c r="S1712" i="8"/>
  <c r="S1713" i="8"/>
  <c r="S1714" i="8"/>
  <c r="S1715" i="8"/>
  <c r="S1716" i="8"/>
  <c r="S1717" i="8"/>
  <c r="S1718" i="8"/>
  <c r="S1719" i="8"/>
  <c r="S1720" i="8"/>
  <c r="S1721" i="8"/>
  <c r="S1722" i="8"/>
  <c r="S1723" i="8"/>
  <c r="S1724" i="8"/>
  <c r="S1725" i="8"/>
  <c r="S1726" i="8"/>
  <c r="S1727" i="8"/>
  <c r="S1728" i="8"/>
  <c r="S1729" i="8"/>
  <c r="S1730" i="8"/>
  <c r="S1731" i="8"/>
  <c r="S1732" i="8"/>
  <c r="S1733" i="8"/>
  <c r="S1734" i="8"/>
  <c r="S1735" i="8"/>
  <c r="S1736" i="8"/>
  <c r="S1737" i="8"/>
  <c r="S1738" i="8"/>
  <c r="S1739" i="8"/>
  <c r="S1740" i="8"/>
  <c r="S1741" i="8"/>
  <c r="S1742" i="8"/>
  <c r="S1743" i="8"/>
  <c r="S1744" i="8"/>
  <c r="S1745" i="8"/>
  <c r="S1746" i="8"/>
  <c r="S1747" i="8"/>
  <c r="S1748" i="8"/>
  <c r="S1749" i="8"/>
  <c r="S1750" i="8"/>
  <c r="S1751" i="8"/>
  <c r="S1752" i="8"/>
  <c r="S1753" i="8"/>
  <c r="S1754" i="8"/>
  <c r="S1755" i="8"/>
  <c r="S1756" i="8"/>
  <c r="S1757" i="8"/>
  <c r="S1758" i="8"/>
  <c r="S1759" i="8"/>
  <c r="S1760" i="8"/>
  <c r="S1761" i="8"/>
  <c r="S1762" i="8"/>
  <c r="S1763" i="8"/>
  <c r="S1764" i="8"/>
  <c r="S1765" i="8"/>
  <c r="S1766" i="8"/>
  <c r="S1767" i="8"/>
  <c r="S1768" i="8"/>
  <c r="S1769" i="8"/>
  <c r="S1770" i="8"/>
  <c r="S1771" i="8"/>
  <c r="S1772" i="8"/>
  <c r="S1773" i="8"/>
  <c r="S1774" i="8"/>
  <c r="S1775" i="8"/>
  <c r="S1776" i="8"/>
  <c r="S1777" i="8"/>
  <c r="S1778" i="8"/>
  <c r="S1779" i="8"/>
  <c r="S1780" i="8"/>
  <c r="S1781" i="8"/>
  <c r="S1782" i="8"/>
  <c r="S1783" i="8"/>
  <c r="S1784" i="8"/>
  <c r="S1785" i="8"/>
  <c r="S1786" i="8"/>
  <c r="S1787" i="8"/>
  <c r="S1788" i="8"/>
  <c r="S1789" i="8"/>
  <c r="S1790" i="8"/>
  <c r="S1791" i="8"/>
  <c r="S1792" i="8"/>
  <c r="S1793" i="8"/>
  <c r="S1794" i="8"/>
  <c r="S1795" i="8"/>
  <c r="S1796" i="8"/>
  <c r="S1797" i="8"/>
  <c r="S1798" i="8"/>
  <c r="S1799" i="8"/>
  <c r="S1800" i="8"/>
  <c r="S1801" i="8"/>
  <c r="S1802" i="8"/>
  <c r="S1803" i="8"/>
  <c r="S1804" i="8"/>
  <c r="S1805" i="8"/>
  <c r="S1806" i="8"/>
  <c r="S1807" i="8"/>
  <c r="S1808" i="8"/>
  <c r="S1809" i="8"/>
  <c r="S1810" i="8"/>
  <c r="S1811" i="8"/>
  <c r="S1812" i="8"/>
  <c r="S1813" i="8"/>
  <c r="S1814" i="8"/>
  <c r="S1815" i="8"/>
  <c r="S1816" i="8"/>
  <c r="S1817" i="8"/>
  <c r="S1818" i="8"/>
  <c r="S1819" i="8"/>
  <c r="S1820" i="8"/>
  <c r="S1821" i="8"/>
  <c r="S1822" i="8"/>
  <c r="S1823" i="8"/>
  <c r="S1824" i="8"/>
  <c r="S1825" i="8"/>
  <c r="S1826" i="8"/>
  <c r="S1827" i="8"/>
  <c r="S1828" i="8"/>
  <c r="S1829" i="8"/>
  <c r="S1830" i="8"/>
  <c r="S1831" i="8"/>
  <c r="S1832" i="8"/>
  <c r="S1833" i="8"/>
  <c r="S1834" i="8"/>
  <c r="S1835" i="8"/>
  <c r="S1836" i="8"/>
  <c r="S1837" i="8"/>
  <c r="S1838" i="8"/>
  <c r="S1839" i="8"/>
  <c r="S1840" i="8"/>
  <c r="S1841" i="8"/>
  <c r="S1842" i="8"/>
  <c r="S1843" i="8"/>
  <c r="S1844" i="8"/>
  <c r="S1845" i="8"/>
  <c r="S1846" i="8"/>
  <c r="S1847" i="8"/>
  <c r="S1848" i="8"/>
  <c r="S1849" i="8"/>
  <c r="S1850" i="8"/>
  <c r="S1851" i="8"/>
  <c r="S1852" i="8"/>
  <c r="S1853" i="8"/>
  <c r="S1854" i="8"/>
  <c r="S1855" i="8"/>
  <c r="S1856" i="8"/>
  <c r="S1857" i="8"/>
  <c r="S1858" i="8"/>
  <c r="S1859" i="8"/>
  <c r="S1860" i="8"/>
  <c r="S1861" i="8"/>
  <c r="S1862" i="8"/>
  <c r="S1863" i="8"/>
  <c r="S1864" i="8"/>
  <c r="S1865" i="8"/>
  <c r="S1866" i="8"/>
  <c r="S1867" i="8"/>
  <c r="S1868" i="8"/>
  <c r="S1869" i="8"/>
  <c r="S1870" i="8"/>
  <c r="S1871" i="8"/>
  <c r="S1872" i="8"/>
  <c r="S1873" i="8"/>
  <c r="S1874" i="8"/>
  <c r="S1875" i="8"/>
  <c r="S1876" i="8"/>
  <c r="S1877" i="8"/>
  <c r="S1878" i="8"/>
  <c r="S1879" i="8"/>
  <c r="S1880" i="8"/>
  <c r="S1881" i="8"/>
  <c r="S1882" i="8"/>
  <c r="S1883" i="8"/>
  <c r="S1884" i="8"/>
  <c r="S1885" i="8"/>
  <c r="S1886" i="8"/>
  <c r="S1887" i="8"/>
  <c r="S1888" i="8"/>
  <c r="S1889" i="8"/>
  <c r="S1890" i="8"/>
  <c r="S1891" i="8"/>
  <c r="S1892" i="8"/>
  <c r="S1893" i="8"/>
  <c r="S1894" i="8"/>
  <c r="S1895" i="8"/>
  <c r="S1896" i="8"/>
  <c r="S1897" i="8"/>
  <c r="S1898" i="8"/>
  <c r="S1899" i="8"/>
  <c r="S1900" i="8"/>
  <c r="S1901" i="8"/>
  <c r="S1902" i="8"/>
  <c r="S1903" i="8"/>
  <c r="S1904" i="8"/>
  <c r="S1905" i="8"/>
  <c r="S1906" i="8"/>
  <c r="S1907" i="8"/>
  <c r="S1908" i="8"/>
  <c r="S1909" i="8"/>
  <c r="S1910" i="8"/>
  <c r="S1911" i="8"/>
  <c r="S1912" i="8"/>
  <c r="S1913" i="8"/>
  <c r="S1914" i="8"/>
  <c r="S1915" i="8"/>
  <c r="S1916" i="8"/>
  <c r="S1917" i="8"/>
  <c r="S1918" i="8"/>
  <c r="S1919" i="8"/>
  <c r="S1920" i="8"/>
  <c r="S1921" i="8"/>
  <c r="S1922" i="8"/>
  <c r="S1923" i="8"/>
  <c r="S1924" i="8"/>
  <c r="S1925" i="8"/>
  <c r="S1926" i="8"/>
  <c r="S1927" i="8"/>
  <c r="S1928" i="8"/>
  <c r="S1929" i="8"/>
  <c r="S1930" i="8"/>
  <c r="S1931" i="8"/>
  <c r="S1932" i="8"/>
  <c r="S1933" i="8"/>
  <c r="S1934" i="8"/>
  <c r="S1935" i="8"/>
  <c r="S1936" i="8"/>
  <c r="S1937" i="8"/>
  <c r="S1938" i="8"/>
  <c r="S1939" i="8"/>
  <c r="S1940" i="8"/>
  <c r="S1941" i="8"/>
  <c r="S1942" i="8"/>
  <c r="S1943" i="8"/>
  <c r="S1944" i="8"/>
  <c r="S1945" i="8"/>
  <c r="S1946" i="8"/>
  <c r="S1947" i="8"/>
  <c r="S1948" i="8"/>
  <c r="S1949" i="8"/>
  <c r="S1950" i="8"/>
  <c r="S1951" i="8"/>
  <c r="S1952" i="8"/>
  <c r="S1953" i="8"/>
  <c r="S1954" i="8"/>
  <c r="S1955" i="8"/>
  <c r="S1956" i="8"/>
  <c r="S1957" i="8"/>
  <c r="S1958" i="8"/>
  <c r="S1959" i="8"/>
  <c r="S1960" i="8"/>
  <c r="S1961" i="8"/>
  <c r="S1962" i="8"/>
  <c r="S1963" i="8"/>
  <c r="S1964" i="8"/>
  <c r="S1965" i="8"/>
  <c r="S1966" i="8"/>
  <c r="S1967" i="8"/>
  <c r="S1968" i="8"/>
  <c r="S1969" i="8"/>
  <c r="S1970" i="8"/>
  <c r="S1971" i="8"/>
  <c r="S1972" i="8"/>
  <c r="S1973" i="8"/>
  <c r="S1974" i="8"/>
  <c r="S1975" i="8"/>
  <c r="S1976" i="8"/>
  <c r="S1977" i="8"/>
  <c r="S1978" i="8"/>
  <c r="S1979" i="8"/>
  <c r="S1980" i="8"/>
  <c r="S1981" i="8"/>
  <c r="S1982" i="8"/>
  <c r="S1983" i="8"/>
  <c r="S1984" i="8"/>
  <c r="S1985" i="8"/>
  <c r="S1986" i="8"/>
  <c r="S1987" i="8"/>
  <c r="S1988" i="8"/>
  <c r="S1989" i="8"/>
  <c r="S1990" i="8"/>
  <c r="S1991" i="8"/>
  <c r="S1992" i="8"/>
  <c r="S1993" i="8"/>
  <c r="S1994" i="8"/>
  <c r="S1995" i="8"/>
  <c r="S1996" i="8"/>
  <c r="S1997" i="8"/>
  <c r="S1998" i="8"/>
  <c r="S1999" i="8"/>
  <c r="S2000" i="8"/>
  <c r="S2001" i="8"/>
  <c r="S2002" i="8"/>
  <c r="S2003" i="8"/>
  <c r="S2004" i="8"/>
  <c r="S2005" i="8"/>
  <c r="S2006" i="8"/>
  <c r="S2007" i="8"/>
  <c r="S2008" i="8"/>
  <c r="S2009" i="8"/>
  <c r="S2010" i="8"/>
  <c r="S2011" i="8"/>
  <c r="S2012" i="8"/>
  <c r="S2013" i="8"/>
  <c r="S2014" i="8"/>
  <c r="S2015" i="8"/>
  <c r="S2016" i="8"/>
  <c r="S2017" i="8"/>
  <c r="S2018" i="8"/>
  <c r="S2019" i="8"/>
  <c r="S2020" i="8"/>
  <c r="S2021" i="8"/>
  <c r="S2022" i="8"/>
  <c r="S2023" i="8"/>
  <c r="S2024" i="8"/>
  <c r="S2025" i="8"/>
  <c r="S2026" i="8"/>
  <c r="S2027" i="8"/>
  <c r="S2028" i="8"/>
  <c r="S2029" i="8"/>
  <c r="S2030" i="8"/>
  <c r="S2031" i="8"/>
  <c r="S2032" i="8"/>
  <c r="S2033" i="8"/>
  <c r="S2034" i="8"/>
  <c r="S2035" i="8"/>
  <c r="S2036" i="8"/>
  <c r="S2037" i="8"/>
  <c r="S2038" i="8"/>
  <c r="S2039" i="8"/>
  <c r="S2040" i="8"/>
  <c r="S2041" i="8"/>
  <c r="S2042" i="8"/>
  <c r="S2043" i="8"/>
  <c r="S2044" i="8"/>
  <c r="S2045" i="8"/>
  <c r="S2046" i="8"/>
  <c r="S2047" i="8"/>
  <c r="S2048" i="8"/>
  <c r="S2049" i="8"/>
  <c r="S2050" i="8"/>
  <c r="S2051" i="8"/>
  <c r="S2052" i="8"/>
  <c r="S2053" i="8"/>
  <c r="S2054" i="8"/>
  <c r="S2055" i="8"/>
  <c r="S2056" i="8"/>
  <c r="S2057" i="8"/>
  <c r="S2058" i="8"/>
  <c r="S2059" i="8"/>
  <c r="S2060" i="8"/>
  <c r="S2061" i="8"/>
  <c r="S2062" i="8"/>
  <c r="S2063" i="8"/>
  <c r="S2064" i="8"/>
  <c r="S2065" i="8"/>
  <c r="S2066" i="8"/>
  <c r="S2067" i="8"/>
  <c r="S2068" i="8"/>
  <c r="S2069" i="8"/>
  <c r="S2070" i="8"/>
  <c r="S2071" i="8"/>
  <c r="S2072" i="8"/>
  <c r="S2073" i="8"/>
  <c r="S2074" i="8"/>
  <c r="S2075" i="8"/>
  <c r="S2076" i="8"/>
  <c r="S2077" i="8"/>
  <c r="S2078" i="8"/>
  <c r="S2079" i="8"/>
  <c r="S2080" i="8"/>
  <c r="S2081" i="8"/>
  <c r="S2082" i="8"/>
  <c r="S2083" i="8"/>
  <c r="S2084" i="8"/>
  <c r="S2085" i="8"/>
  <c r="S2086" i="8"/>
  <c r="S2087" i="8"/>
  <c r="S2088" i="8"/>
  <c r="S2089" i="8"/>
  <c r="S2090" i="8"/>
  <c r="S2091" i="8"/>
  <c r="S2092" i="8"/>
  <c r="S2093" i="8"/>
  <c r="S2094" i="8"/>
  <c r="S2095" i="8"/>
  <c r="S2096" i="8"/>
  <c r="S2097" i="8"/>
  <c r="S2098" i="8"/>
  <c r="S2099" i="8"/>
  <c r="S2100" i="8"/>
  <c r="S2101" i="8"/>
  <c r="S2102" i="8"/>
  <c r="S2103" i="8"/>
  <c r="S2104" i="8"/>
  <c r="S2105" i="8"/>
  <c r="S2106" i="8"/>
  <c r="S2107" i="8"/>
  <c r="S2108" i="8"/>
  <c r="S2109" i="8"/>
  <c r="S2110" i="8"/>
  <c r="S2111" i="8"/>
  <c r="S2112" i="8"/>
  <c r="S2113" i="8"/>
  <c r="S2114" i="8"/>
  <c r="S2115" i="8"/>
  <c r="S2116" i="8"/>
  <c r="S2117" i="8"/>
  <c r="S2118" i="8"/>
  <c r="S2119" i="8"/>
  <c r="S2120" i="8"/>
  <c r="S2121" i="8"/>
  <c r="S2122" i="8"/>
  <c r="S2123" i="8"/>
  <c r="S2124" i="8"/>
  <c r="S2125" i="8"/>
  <c r="S2126" i="8"/>
  <c r="S2127" i="8"/>
  <c r="S2128" i="8"/>
  <c r="S2129" i="8"/>
  <c r="S2130" i="8"/>
  <c r="S2131" i="8"/>
  <c r="S2132" i="8"/>
  <c r="S2133" i="8"/>
  <c r="S2134" i="8"/>
  <c r="S2135" i="8"/>
  <c r="S2136" i="8"/>
  <c r="S2137" i="8"/>
  <c r="S2138" i="8"/>
  <c r="S2139" i="8"/>
  <c r="S2140" i="8"/>
  <c r="S2141" i="8"/>
  <c r="S2142" i="8"/>
  <c r="S2143" i="8"/>
  <c r="S2144" i="8"/>
  <c r="S2145" i="8"/>
  <c r="S2146" i="8"/>
  <c r="S2147" i="8"/>
  <c r="S2148" i="8"/>
  <c r="S2149" i="8"/>
  <c r="S2150" i="8"/>
  <c r="S2151" i="8"/>
  <c r="S2152" i="8"/>
  <c r="S2153" i="8"/>
  <c r="S2154" i="8"/>
  <c r="S2155" i="8"/>
  <c r="S2156" i="8"/>
  <c r="S2157" i="8"/>
  <c r="S2158" i="8"/>
  <c r="S2159" i="8"/>
  <c r="S2160" i="8"/>
  <c r="S2161" i="8"/>
  <c r="S2162" i="8"/>
  <c r="S2163" i="8"/>
  <c r="S2164" i="8"/>
  <c r="S2165" i="8"/>
  <c r="S2166" i="8"/>
  <c r="S2167" i="8"/>
  <c r="S2168" i="8"/>
  <c r="S2169" i="8"/>
  <c r="S2170" i="8"/>
  <c r="S2171" i="8"/>
  <c r="S2172" i="8"/>
  <c r="S2173" i="8"/>
  <c r="S2174" i="8"/>
  <c r="S2175" i="8"/>
  <c r="S2176" i="8"/>
  <c r="S2177" i="8"/>
  <c r="S2178" i="8"/>
  <c r="S2179" i="8"/>
  <c r="S2180" i="8"/>
  <c r="S2181" i="8"/>
  <c r="S2182" i="8"/>
  <c r="S2183" i="8"/>
  <c r="S2184" i="8"/>
  <c r="S2185" i="8"/>
  <c r="S2186" i="8"/>
  <c r="S2187" i="8"/>
  <c r="S2188" i="8"/>
  <c r="S2189" i="8"/>
  <c r="S2190" i="8"/>
  <c r="S2191" i="8"/>
  <c r="S2192" i="8"/>
  <c r="S2193" i="8"/>
  <c r="S2194" i="8"/>
  <c r="S2195" i="8"/>
  <c r="S2196" i="8"/>
  <c r="S2197" i="8"/>
  <c r="S2198" i="8"/>
  <c r="S2199" i="8"/>
  <c r="S2200" i="8"/>
  <c r="S2201" i="8"/>
  <c r="S2202" i="8"/>
  <c r="S2203" i="8"/>
  <c r="S2204" i="8"/>
  <c r="S2205" i="8"/>
  <c r="S2206" i="8"/>
  <c r="S2207" i="8"/>
  <c r="S2208" i="8"/>
  <c r="S2209" i="8"/>
  <c r="S2210" i="8"/>
  <c r="S2211" i="8"/>
  <c r="S2212" i="8"/>
  <c r="S2213" i="8"/>
  <c r="S2214" i="8"/>
  <c r="S2215" i="8"/>
  <c r="S2216" i="8"/>
  <c r="S2217" i="8"/>
  <c r="S2218" i="8"/>
  <c r="S2219" i="8"/>
  <c r="S2220" i="8"/>
  <c r="S2221" i="8"/>
  <c r="S2222" i="8"/>
  <c r="S2223" i="8"/>
  <c r="S2224" i="8"/>
  <c r="S2225" i="8"/>
  <c r="S2226" i="8"/>
  <c r="S2227" i="8"/>
  <c r="S2228" i="8"/>
  <c r="S2229" i="8"/>
  <c r="S2230" i="8"/>
  <c r="S2231" i="8"/>
  <c r="S2232" i="8"/>
  <c r="S2233" i="8"/>
  <c r="S2234" i="8"/>
  <c r="S2235" i="8"/>
  <c r="S2236" i="8"/>
  <c r="S2237" i="8"/>
  <c r="S2238" i="8"/>
  <c r="S2239" i="8"/>
  <c r="S2240" i="8"/>
  <c r="S2241" i="8"/>
  <c r="S2242" i="8"/>
  <c r="S2243" i="8"/>
  <c r="S2244" i="8"/>
  <c r="S2245" i="8"/>
  <c r="S2246" i="8"/>
  <c r="S2247" i="8"/>
  <c r="S2248" i="8"/>
  <c r="S2249" i="8"/>
  <c r="S2250" i="8"/>
  <c r="S2251" i="8"/>
  <c r="S2252" i="8"/>
  <c r="S2253" i="8"/>
  <c r="S2254" i="8"/>
  <c r="S2255" i="8"/>
  <c r="S2256" i="8"/>
  <c r="S2257" i="8"/>
  <c r="S2258" i="8"/>
  <c r="S2259" i="8"/>
  <c r="S2260" i="8"/>
  <c r="S2261" i="8"/>
  <c r="S2262" i="8"/>
  <c r="S2263" i="8"/>
  <c r="S2264" i="8"/>
  <c r="S2265" i="8"/>
  <c r="S2266" i="8"/>
  <c r="S2267" i="8"/>
  <c r="S2268" i="8"/>
  <c r="S2269" i="8"/>
  <c r="S2270" i="8"/>
  <c r="S2271" i="8"/>
  <c r="S2272" i="8"/>
  <c r="S2273" i="8"/>
  <c r="S2274" i="8"/>
  <c r="S2275" i="8"/>
  <c r="S2276" i="8"/>
  <c r="S2277" i="8"/>
  <c r="S2278" i="8"/>
  <c r="S2279" i="8"/>
  <c r="S2280" i="8"/>
  <c r="S2281" i="8"/>
  <c r="S2282" i="8"/>
  <c r="S2283" i="8"/>
  <c r="S2284" i="8"/>
  <c r="S2285" i="8"/>
  <c r="S2286" i="8"/>
  <c r="S2287" i="8"/>
  <c r="S2288" i="8"/>
  <c r="S2289" i="8"/>
  <c r="S2290" i="8"/>
  <c r="S2291" i="8"/>
  <c r="S2292" i="8"/>
  <c r="S2293" i="8"/>
  <c r="S2294" i="8"/>
  <c r="S2295" i="8"/>
  <c r="S2296" i="8"/>
  <c r="S2297" i="8"/>
  <c r="S2298" i="8"/>
  <c r="S2299" i="8"/>
  <c r="S2300" i="8"/>
  <c r="S2301" i="8"/>
  <c r="S2302" i="8"/>
  <c r="S2303" i="8"/>
  <c r="S2304" i="8"/>
  <c r="S2305" i="8"/>
  <c r="S2306" i="8"/>
  <c r="S2307" i="8"/>
  <c r="S2308" i="8"/>
  <c r="S2309" i="8"/>
  <c r="S2310" i="8"/>
  <c r="S2311" i="8"/>
  <c r="S2312" i="8"/>
  <c r="S2313" i="8"/>
  <c r="S2314" i="8"/>
  <c r="S2315" i="8"/>
  <c r="S2316" i="8"/>
  <c r="S2317" i="8"/>
  <c r="S2318" i="8"/>
  <c r="S2319" i="8"/>
  <c r="S2320" i="8"/>
  <c r="S2321" i="8"/>
  <c r="S2322" i="8"/>
  <c r="S2323" i="8"/>
  <c r="S2324" i="8"/>
  <c r="S2325" i="8"/>
  <c r="S2326" i="8"/>
  <c r="S2327" i="8"/>
  <c r="S2328" i="8"/>
  <c r="S2329" i="8"/>
  <c r="S2330" i="8"/>
  <c r="S2331" i="8"/>
  <c r="S2332" i="8"/>
  <c r="S2333" i="8"/>
  <c r="S2334" i="8"/>
  <c r="S2335" i="8"/>
  <c r="S2336" i="8"/>
  <c r="S2337" i="8"/>
  <c r="S2338" i="8"/>
  <c r="S2339" i="8"/>
  <c r="S2340" i="8"/>
  <c r="S2341" i="8"/>
  <c r="S2342" i="8"/>
  <c r="S2343" i="8"/>
  <c r="S2344" i="8"/>
  <c r="S2345" i="8"/>
  <c r="S2346" i="8"/>
  <c r="S2347" i="8"/>
  <c r="S2348" i="8"/>
  <c r="S2349" i="8"/>
  <c r="S2350" i="8"/>
  <c r="S2351" i="8"/>
  <c r="S2352" i="8"/>
  <c r="S2353" i="8"/>
  <c r="S2354" i="8"/>
  <c r="S2355" i="8"/>
  <c r="S2356" i="8"/>
  <c r="S2357" i="8"/>
  <c r="S2358" i="8"/>
  <c r="S2359" i="8"/>
  <c r="S2360" i="8"/>
  <c r="S2361" i="8"/>
  <c r="S2362" i="8"/>
  <c r="S2363" i="8"/>
  <c r="S2364" i="8"/>
  <c r="S2365" i="8"/>
  <c r="S2366" i="8"/>
  <c r="S2367" i="8"/>
  <c r="S2368" i="8"/>
  <c r="S2369" i="8"/>
  <c r="S2370" i="8"/>
  <c r="S2371" i="8"/>
  <c r="S2372" i="8"/>
  <c r="S2373" i="8"/>
  <c r="S2374" i="8"/>
  <c r="S2375" i="8"/>
  <c r="S2376" i="8"/>
  <c r="S2377" i="8"/>
  <c r="S2378" i="8"/>
  <c r="S2379" i="8"/>
  <c r="S2380" i="8"/>
  <c r="S2381" i="8"/>
  <c r="S2382" i="8"/>
  <c r="S2383" i="8"/>
  <c r="S2384" i="8"/>
  <c r="S2385" i="8"/>
  <c r="S2386" i="8"/>
  <c r="S2387" i="8"/>
  <c r="S2388" i="8"/>
  <c r="S2389" i="8"/>
  <c r="S2390" i="8"/>
  <c r="S2391" i="8"/>
  <c r="S2392" i="8"/>
  <c r="S2393" i="8"/>
  <c r="S2394" i="8"/>
  <c r="S2395" i="8"/>
  <c r="S2396" i="8"/>
  <c r="S2397" i="8"/>
  <c r="S2398" i="8"/>
  <c r="S2399" i="8"/>
  <c r="S2400" i="8"/>
  <c r="S2401" i="8"/>
  <c r="S2402" i="8"/>
  <c r="S2403" i="8"/>
  <c r="S2404" i="8"/>
  <c r="S2405" i="8"/>
  <c r="S2406" i="8"/>
  <c r="S2407" i="8"/>
  <c r="S2408" i="8"/>
  <c r="S2409" i="8"/>
  <c r="S2410" i="8"/>
  <c r="S2411" i="8"/>
  <c r="S2412" i="8"/>
  <c r="S2413" i="8"/>
  <c r="S2414" i="8"/>
  <c r="S2415" i="8"/>
  <c r="S2416" i="8"/>
  <c r="S2417" i="8"/>
  <c r="S2418" i="8"/>
  <c r="S2419" i="8"/>
  <c r="S2420" i="8"/>
  <c r="S2421" i="8"/>
  <c r="S2422" i="8"/>
  <c r="S2423" i="8"/>
  <c r="S2424" i="8"/>
  <c r="S2425" i="8"/>
  <c r="S2426" i="8"/>
  <c r="S2427" i="8"/>
  <c r="S2428" i="8"/>
  <c r="S2429" i="8"/>
  <c r="S2430" i="8"/>
  <c r="S2431" i="8"/>
  <c r="S2432" i="8"/>
  <c r="S2433" i="8"/>
  <c r="S2434" i="8"/>
  <c r="S2435" i="8"/>
  <c r="S2436" i="8"/>
  <c r="S2437" i="8"/>
  <c r="S2438" i="8"/>
  <c r="S2439" i="8"/>
  <c r="S2440" i="8"/>
  <c r="S2441" i="8"/>
  <c r="S2442" i="8"/>
  <c r="S2443" i="8"/>
  <c r="S2444" i="8"/>
  <c r="S2445" i="8"/>
  <c r="S2446" i="8"/>
  <c r="S2447" i="8"/>
  <c r="S2448" i="8"/>
  <c r="S2449" i="8"/>
  <c r="S2450" i="8"/>
  <c r="S2451" i="8"/>
  <c r="S2452" i="8"/>
  <c r="S2453" i="8"/>
  <c r="S2454" i="8"/>
  <c r="I14" i="15"/>
  <c r="I13" i="15"/>
  <c r="M15" i="14"/>
  <c r="K5" i="14"/>
  <c r="I19" i="14"/>
  <c r="G5" i="14"/>
  <c r="E5" i="14"/>
  <c r="M7" i="15"/>
  <c r="M8" i="15"/>
  <c r="M9" i="15"/>
  <c r="K7" i="15"/>
  <c r="K8" i="15"/>
  <c r="K9" i="15"/>
  <c r="J7" i="15"/>
  <c r="J8" i="15"/>
  <c r="J9" i="15"/>
  <c r="I7" i="15"/>
  <c r="I8" i="15"/>
  <c r="I9" i="15"/>
  <c r="G7" i="15"/>
  <c r="G8" i="15"/>
  <c r="G9" i="15"/>
  <c r="E9" i="15"/>
  <c r="N5" i="14"/>
  <c r="J19" i="14"/>
  <c r="F5" i="14"/>
  <c r="F19" i="14"/>
  <c r="K63" i="14"/>
  <c r="E64" i="14"/>
  <c r="N53" i="14"/>
  <c r="M53" i="14"/>
  <c r="I53" i="14"/>
  <c r="L53" i="14"/>
  <c r="K53" i="14"/>
  <c r="J53" i="14"/>
  <c r="H53" i="14"/>
  <c r="D53" i="14"/>
  <c r="O53" i="14"/>
  <c r="G53" i="14"/>
  <c r="F53" i="14"/>
  <c r="E53" i="14"/>
  <c r="N52" i="14"/>
  <c r="M52" i="14"/>
  <c r="L52" i="14"/>
  <c r="K52" i="14"/>
  <c r="J52" i="14"/>
  <c r="I52" i="14"/>
  <c r="H52" i="14"/>
  <c r="G52" i="14"/>
  <c r="F52" i="14"/>
  <c r="E52" i="14"/>
  <c r="D52" i="14"/>
  <c r="P38" i="14"/>
  <c r="N44" i="14"/>
  <c r="N36" i="14"/>
  <c r="O34" i="14"/>
  <c r="N62" i="14"/>
  <c r="L62" i="14"/>
  <c r="K62" i="14"/>
  <c r="J62" i="14"/>
  <c r="I62" i="14"/>
  <c r="G62" i="14"/>
  <c r="F62" i="14"/>
  <c r="E62" i="14"/>
  <c r="I41" i="14"/>
  <c r="F16" i="14"/>
  <c r="N6" i="14"/>
  <c r="M6" i="14"/>
  <c r="L6" i="14"/>
  <c r="K6" i="14"/>
  <c r="J6" i="14"/>
  <c r="J14" i="14"/>
  <c r="I6" i="14"/>
  <c r="H6" i="14"/>
  <c r="O6" i="14"/>
  <c r="G6" i="14"/>
  <c r="F6" i="14"/>
  <c r="E6" i="14"/>
  <c r="L5" i="14"/>
  <c r="H5" i="14"/>
  <c r="G58" i="12"/>
  <c r="M49" i="12"/>
  <c r="L49" i="12"/>
  <c r="K49" i="12"/>
  <c r="J49" i="12"/>
  <c r="I49" i="12"/>
  <c r="H49" i="12"/>
  <c r="G49" i="12"/>
  <c r="F49" i="12"/>
  <c r="E49" i="12"/>
  <c r="D49" i="12"/>
  <c r="M48" i="12"/>
  <c r="D48" i="12"/>
  <c r="L48" i="12"/>
  <c r="K48" i="12"/>
  <c r="J48" i="12"/>
  <c r="I48" i="12"/>
  <c r="H48" i="12"/>
  <c r="G48" i="12"/>
  <c r="F48" i="12"/>
  <c r="E48" i="12"/>
  <c r="M58" i="12"/>
  <c r="L58" i="12"/>
  <c r="K58" i="12"/>
  <c r="J58" i="12"/>
  <c r="I58" i="12"/>
  <c r="H58" i="12"/>
  <c r="N22" i="12"/>
  <c r="J16" i="12"/>
  <c r="K16" i="12"/>
  <c r="G18" i="12"/>
  <c r="N14" i="12"/>
  <c r="L14" i="12"/>
  <c r="K14" i="12"/>
  <c r="J14" i="12"/>
  <c r="I14" i="12"/>
  <c r="H14" i="12"/>
  <c r="G14" i="12"/>
  <c r="F14" i="12"/>
  <c r="E14" i="12"/>
  <c r="L17" i="12"/>
  <c r="J17" i="12"/>
  <c r="F17" i="12"/>
  <c r="I18" i="10"/>
  <c r="H18" i="10"/>
  <c r="G18" i="10"/>
  <c r="F18" i="10"/>
  <c r="L3" i="8"/>
  <c r="J64" i="14"/>
  <c r="H7" i="1"/>
  <c r="C3" i="1"/>
  <c r="L7" i="15"/>
  <c r="L8" i="15"/>
  <c r="L9" i="15"/>
  <c r="E61" i="12"/>
  <c r="M16" i="14"/>
  <c r="O29" i="14"/>
  <c r="G36" i="14"/>
  <c r="K36" i="14"/>
  <c r="F36" i="14"/>
  <c r="O57" i="14"/>
  <c r="O59" i="14"/>
  <c r="I64" i="14"/>
  <c r="M64" i="14"/>
  <c r="O7" i="14"/>
  <c r="P8" i="14"/>
  <c r="O30" i="14"/>
  <c r="P33" i="14"/>
  <c r="P34" i="14"/>
  <c r="O35" i="14"/>
  <c r="H36" i="14"/>
  <c r="O38" i="14"/>
  <c r="P56" i="14"/>
  <c r="L61" i="12"/>
  <c r="P7" i="14"/>
  <c r="P30" i="14"/>
  <c r="P35" i="14"/>
  <c r="L36" i="14"/>
  <c r="P54" i="14"/>
  <c r="P55" i="14"/>
  <c r="H63" i="14"/>
  <c r="L63" i="14"/>
  <c r="H62" i="14"/>
  <c r="F45" i="14"/>
  <c r="G18" i="14"/>
  <c r="O31" i="14"/>
  <c r="D36" i="14"/>
  <c r="O56" i="14"/>
  <c r="G41" i="14"/>
  <c r="P29" i="14"/>
  <c r="P31" i="14"/>
  <c r="E36" i="14"/>
  <c r="I36" i="14"/>
  <c r="M36" i="14"/>
  <c r="O37" i="14"/>
  <c r="D41" i="14"/>
  <c r="M62" i="14"/>
  <c r="J63" i="14"/>
  <c r="N63" i="14"/>
  <c r="J36" i="14"/>
  <c r="P37" i="14"/>
  <c r="E45" i="14"/>
  <c r="L64" i="14"/>
  <c r="E63" i="14"/>
  <c r="I63" i="14"/>
  <c r="M63" i="14"/>
  <c r="F18" i="14"/>
  <c r="P60" i="14"/>
  <c r="K18" i="12"/>
  <c r="I17" i="12"/>
  <c r="H16" i="12"/>
  <c r="L16" i="12"/>
  <c r="N50" i="12"/>
  <c r="E16" i="12"/>
  <c r="I16" i="12"/>
  <c r="M16" i="12"/>
  <c r="F16" i="12"/>
  <c r="N16" i="12"/>
  <c r="G17" i="12"/>
  <c r="K17" i="12"/>
  <c r="O7" i="12"/>
  <c r="F18" i="12"/>
  <c r="J18" i="12"/>
  <c r="G16" i="12"/>
  <c r="N51" i="12"/>
  <c r="H17" i="12"/>
  <c r="M17" i="12"/>
  <c r="H18" i="12"/>
  <c r="L18" i="12"/>
  <c r="M41" i="12"/>
  <c r="L59" i="12"/>
  <c r="K61" i="12"/>
  <c r="J61" i="12"/>
  <c r="I18" i="12"/>
  <c r="M18" i="12"/>
  <c r="H21" i="12"/>
  <c r="H47" i="12"/>
  <c r="F45" i="12"/>
  <c r="N56" i="12"/>
  <c r="M61" i="12"/>
  <c r="N15" i="12"/>
  <c r="N34" i="12"/>
  <c r="E6" i="17"/>
  <c r="E48" i="17"/>
  <c r="G38" i="12"/>
  <c r="M45" i="14"/>
  <c r="M14" i="14"/>
  <c r="N16" i="14"/>
  <c r="N19" i="14"/>
  <c r="G48" i="14"/>
  <c r="E17" i="14"/>
  <c r="E19" i="14"/>
  <c r="F48" i="14"/>
  <c r="G16" i="14"/>
  <c r="G19" i="14"/>
  <c r="M48" i="14"/>
  <c r="E48" i="14"/>
  <c r="G45" i="14"/>
  <c r="K18" i="14"/>
  <c r="K21" i="14"/>
  <c r="E18" i="14"/>
  <c r="I14" i="14"/>
  <c r="J16" i="14"/>
  <c r="K17" i="14"/>
  <c r="K19" i="14"/>
  <c r="K48" i="14"/>
  <c r="M41" i="14"/>
  <c r="M19" i="14"/>
  <c r="J48" i="14"/>
  <c r="K64" i="14"/>
  <c r="O5" i="14"/>
  <c r="H19" i="14"/>
  <c r="J41" i="14"/>
  <c r="I48" i="14"/>
  <c r="L41" i="14"/>
  <c r="L19" i="14"/>
  <c r="H48" i="14"/>
  <c r="D38" i="12"/>
  <c r="O6" i="12"/>
  <c r="F40" i="12"/>
  <c r="K42" i="12"/>
  <c r="G40" i="12"/>
  <c r="M40" i="12"/>
  <c r="E9" i="17"/>
  <c r="H40" i="12"/>
  <c r="L42" i="12"/>
  <c r="O5" i="12"/>
  <c r="G36" i="12"/>
  <c r="G44" i="12"/>
  <c r="N32" i="12"/>
  <c r="K45" i="14"/>
  <c r="I53" i="16"/>
  <c r="I54" i="16"/>
  <c r="H16" i="14"/>
  <c r="L17" i="14"/>
  <c r="I17" i="14"/>
  <c r="G17" i="14"/>
  <c r="K16" i="14"/>
  <c r="D64" i="14"/>
  <c r="P10" i="14"/>
  <c r="M17" i="14"/>
  <c r="K15" i="14"/>
  <c r="P9" i="14"/>
  <c r="I45" i="14"/>
  <c r="K14" i="14"/>
  <c r="H45" i="14"/>
  <c r="K41" i="14"/>
  <c r="N14" i="14"/>
  <c r="G22" i="14"/>
  <c r="M15" i="12"/>
  <c r="J15" i="12"/>
  <c r="F36" i="12"/>
  <c r="F44" i="12"/>
  <c r="E45" i="12"/>
  <c r="N26" i="12"/>
  <c r="K15" i="12"/>
  <c r="G45" i="12"/>
  <c r="J36" i="12"/>
  <c r="J37" i="12"/>
  <c r="N52" i="12"/>
  <c r="E15" i="12"/>
  <c r="I15" i="12"/>
  <c r="D61" i="12"/>
  <c r="I61" i="12"/>
  <c r="D15" i="12"/>
  <c r="N14" i="16"/>
  <c r="L16" i="16"/>
  <c r="O12" i="12"/>
  <c r="L15" i="12"/>
  <c r="E18" i="12"/>
  <c r="F15" i="12"/>
  <c r="I40" i="12"/>
  <c r="J42" i="12"/>
  <c r="N49" i="12"/>
  <c r="N9" i="16"/>
  <c r="H15" i="12"/>
  <c r="G15" i="12"/>
  <c r="E14" i="14"/>
  <c r="E16" i="14"/>
  <c r="O8" i="14"/>
  <c r="D48" i="14"/>
  <c r="O60" i="14"/>
  <c r="E15" i="14"/>
  <c r="G64" i="14"/>
  <c r="F15" i="14"/>
  <c r="E41" i="14"/>
  <c r="D63" i="14"/>
  <c r="L15" i="14"/>
  <c r="L48" i="14"/>
  <c r="K53" i="16"/>
  <c r="P12" i="14"/>
  <c r="G63" i="14"/>
  <c r="J22" i="14"/>
  <c r="O26" i="14"/>
  <c r="J17" i="14"/>
  <c r="E9" i="16"/>
  <c r="N27" i="12"/>
  <c r="N28" i="12"/>
  <c r="G43" i="12"/>
  <c r="H43" i="12"/>
  <c r="F9" i="16"/>
  <c r="F38" i="12"/>
  <c r="N29" i="12"/>
  <c r="E40" i="12"/>
  <c r="K40" i="12"/>
  <c r="F45" i="17"/>
  <c r="D9" i="16"/>
  <c r="I45" i="17"/>
  <c r="O9" i="12"/>
  <c r="L36" i="12"/>
  <c r="L37" i="12"/>
  <c r="L45" i="12"/>
  <c r="M38" i="12"/>
  <c r="I9" i="17"/>
  <c r="M14" i="12"/>
  <c r="I45" i="12"/>
  <c r="N30" i="12"/>
  <c r="N54" i="12"/>
  <c r="O11" i="12"/>
  <c r="G42" i="12"/>
  <c r="E45" i="17"/>
  <c r="N31" i="12"/>
  <c r="E17" i="12"/>
  <c r="I43" i="12"/>
  <c r="H42" i="12"/>
  <c r="L41" i="12"/>
  <c r="M45" i="12"/>
  <c r="M43" i="12"/>
  <c r="N55" i="12"/>
  <c r="J9" i="17"/>
  <c r="G59" i="12"/>
  <c r="N23" i="12"/>
  <c r="H36" i="12"/>
  <c r="H37" i="12"/>
  <c r="I38" i="12"/>
  <c r="J45" i="12"/>
  <c r="I59" i="12"/>
  <c r="D14" i="12"/>
  <c r="K38" i="12"/>
  <c r="H45" i="12"/>
  <c r="D40" i="12"/>
  <c r="J16" i="16"/>
  <c r="D16" i="12"/>
  <c r="M16" i="16"/>
  <c r="K16" i="16"/>
  <c r="F9" i="17"/>
  <c r="L40" i="12"/>
  <c r="D36" i="12"/>
  <c r="D44" i="12"/>
  <c r="G61" i="12"/>
  <c r="H59" i="12"/>
  <c r="N24" i="12"/>
  <c r="D45" i="12"/>
  <c r="O10" i="12"/>
  <c r="K45" i="12"/>
  <c r="E36" i="12"/>
  <c r="E44" i="12"/>
  <c r="N48" i="12"/>
  <c r="N53" i="12"/>
  <c r="H16" i="16"/>
  <c r="G9" i="17"/>
  <c r="K59" i="12"/>
  <c r="N33" i="12"/>
  <c r="I42" i="12"/>
  <c r="J38" i="12"/>
  <c r="O14" i="16"/>
  <c r="L38" i="12"/>
  <c r="E38" i="12"/>
  <c r="K52" i="16"/>
  <c r="N15" i="16"/>
  <c r="J18" i="16"/>
  <c r="L43" i="12"/>
  <c r="N25" i="12"/>
  <c r="J43" i="12"/>
  <c r="K43" i="12"/>
  <c r="F47" i="16"/>
  <c r="J40" i="12"/>
  <c r="G16" i="16"/>
  <c r="O8" i="12"/>
  <c r="K36" i="12"/>
  <c r="K37" i="12"/>
  <c r="M36" i="12"/>
  <c r="M37" i="12"/>
  <c r="K9" i="17"/>
  <c r="M60" i="12"/>
  <c r="J59" i="12"/>
  <c r="M42" i="12"/>
  <c r="H38" i="12"/>
  <c r="I16" i="16"/>
  <c r="J45" i="17"/>
  <c r="I36" i="12"/>
  <c r="I37" i="12"/>
  <c r="H9" i="17"/>
  <c r="H45" i="17"/>
  <c r="G17" i="16"/>
  <c r="O12" i="14"/>
  <c r="P26" i="14"/>
  <c r="N26" i="16"/>
  <c r="L16" i="14"/>
  <c r="P27" i="14"/>
  <c r="O52" i="14"/>
  <c r="H18" i="14"/>
  <c r="P28" i="14"/>
  <c r="G53" i="16"/>
  <c r="G54" i="16"/>
  <c r="P32" i="14"/>
  <c r="M18" i="14"/>
  <c r="F63" i="14"/>
  <c r="H15" i="14"/>
  <c r="F17" i="14"/>
  <c r="I15" i="14"/>
  <c r="P52" i="14"/>
  <c r="P53" i="14"/>
  <c r="O28" i="14"/>
  <c r="F41" i="14"/>
  <c r="O54" i="14"/>
  <c r="N64" i="14"/>
  <c r="H17" i="14"/>
  <c r="O58" i="14"/>
  <c r="J53" i="16"/>
  <c r="L14" i="14"/>
  <c r="L45" i="14"/>
  <c r="F14" i="14"/>
  <c r="F64" i="14"/>
  <c r="O27" i="14"/>
  <c r="N15" i="14"/>
  <c r="H41" i="14"/>
  <c r="L18" i="14"/>
  <c r="I16" i="14"/>
  <c r="D45" i="14"/>
  <c r="G14" i="14"/>
  <c r="N40" i="14"/>
  <c r="N41" i="14"/>
  <c r="N42" i="14"/>
  <c r="G46" i="14"/>
  <c r="G47" i="14"/>
  <c r="N46" i="14"/>
  <c r="N47" i="14"/>
  <c r="O11" i="14"/>
  <c r="D46" i="14"/>
  <c r="D47" i="14"/>
  <c r="F47" i="14"/>
  <c r="F46" i="14"/>
  <c r="M47" i="14"/>
  <c r="M46" i="14"/>
  <c r="E47" i="14"/>
  <c r="E46" i="14"/>
  <c r="P6" i="14"/>
  <c r="L46" i="14"/>
  <c r="L47" i="14"/>
  <c r="K47" i="14"/>
  <c r="K46" i="14"/>
  <c r="J18" i="14"/>
  <c r="P11" i="14"/>
  <c r="E10" i="15"/>
  <c r="F53" i="16"/>
  <c r="J46" i="14"/>
  <c r="J47" i="14"/>
  <c r="H14" i="14"/>
  <c r="G15" i="14"/>
  <c r="I47" i="14"/>
  <c r="I46" i="14"/>
  <c r="I18" i="14"/>
  <c r="G25" i="16"/>
  <c r="H46" i="14"/>
  <c r="H47" i="14"/>
  <c r="J11" i="17"/>
  <c r="H13" i="17"/>
  <c r="O36" i="14"/>
  <c r="P36" i="14"/>
  <c r="H26" i="16"/>
  <c r="I18" i="16"/>
  <c r="H64" i="14"/>
  <c r="F7" i="15"/>
  <c r="F8" i="16"/>
  <c r="D25" i="16"/>
  <c r="D27" i="16"/>
  <c r="D28" i="16"/>
  <c r="H7" i="15"/>
  <c r="E8" i="16"/>
  <c r="F25" i="16"/>
  <c r="F27" i="16"/>
  <c r="F29" i="16"/>
  <c r="M18" i="16"/>
  <c r="F61" i="12"/>
  <c r="H61" i="12"/>
  <c r="I16" i="15"/>
  <c r="I17" i="15"/>
  <c r="G52" i="16"/>
  <c r="F13" i="17"/>
  <c r="K13" i="17"/>
  <c r="M25" i="16"/>
  <c r="J25" i="16"/>
  <c r="O3" i="8"/>
  <c r="O18" i="15"/>
  <c r="J26" i="16"/>
  <c r="J60" i="12"/>
  <c r="H54" i="16"/>
  <c r="H60" i="12"/>
  <c r="N8" i="16"/>
  <c r="N25" i="16"/>
  <c r="L26" i="16"/>
  <c r="L27" i="16"/>
  <c r="L29" i="16"/>
  <c r="G26" i="16"/>
  <c r="K19" i="16"/>
  <c r="I48" i="16"/>
  <c r="K18" i="16"/>
  <c r="L18" i="16"/>
  <c r="L19" i="16"/>
  <c r="J48" i="16"/>
  <c r="H17" i="16"/>
  <c r="H18" i="16"/>
  <c r="H19" i="16"/>
  <c r="L17" i="16"/>
  <c r="M10" i="15"/>
  <c r="M26" i="16"/>
  <c r="L60" i="12"/>
  <c r="E25" i="16"/>
  <c r="K25" i="16"/>
  <c r="K10" i="15"/>
  <c r="H25" i="16"/>
  <c r="J17" i="16"/>
  <c r="D8" i="16"/>
  <c r="J19" i="16"/>
  <c r="I27" i="16"/>
  <c r="I29" i="16"/>
  <c r="G19" i="16"/>
  <c r="E48" i="16"/>
  <c r="K17" i="16"/>
  <c r="I18" i="15"/>
  <c r="O19" i="15"/>
  <c r="I25" i="17"/>
  <c r="H24" i="17"/>
  <c r="H21" i="17"/>
  <c r="H48" i="17"/>
  <c r="H11" i="17"/>
  <c r="H52" i="16"/>
  <c r="F48" i="17"/>
  <c r="I11" i="17"/>
  <c r="I48" i="17"/>
  <c r="I52" i="16"/>
  <c r="J52" i="16"/>
  <c r="G24" i="17"/>
  <c r="G21" i="17"/>
  <c r="G11" i="17"/>
  <c r="G13" i="17"/>
  <c r="I13" i="17"/>
  <c r="E47" i="16"/>
  <c r="F24" i="17"/>
  <c r="F21" i="17"/>
  <c r="K11" i="17"/>
  <c r="K48" i="17"/>
  <c r="J13" i="17"/>
  <c r="E24" i="17"/>
  <c r="E21" i="17"/>
  <c r="F54" i="16"/>
  <c r="I21" i="12"/>
  <c r="I47" i="12"/>
  <c r="I5" i="16"/>
  <c r="G46" i="16"/>
  <c r="G4" i="17"/>
  <c r="I13" i="16"/>
  <c r="G54" i="17"/>
  <c r="D9" i="15"/>
  <c r="D10" i="15"/>
  <c r="F8" i="15"/>
  <c r="F9" i="15"/>
  <c r="H8" i="15"/>
  <c r="G37" i="12"/>
  <c r="F52" i="16"/>
  <c r="F11" i="17"/>
  <c r="M19" i="16"/>
  <c r="G10" i="15"/>
  <c r="K22" i="14"/>
  <c r="J10" i="15"/>
  <c r="L22" i="14"/>
  <c r="M22" i="14"/>
  <c r="I22" i="14"/>
  <c r="I44" i="12"/>
  <c r="F12" i="17"/>
  <c r="J44" i="12"/>
  <c r="N48" i="14"/>
  <c r="K54" i="16"/>
  <c r="M17" i="16"/>
  <c r="O17" i="16"/>
  <c r="O9" i="16"/>
  <c r="I12" i="17"/>
  <c r="I17" i="16"/>
  <c r="H44" i="12"/>
  <c r="M44" i="12"/>
  <c r="N10" i="16"/>
  <c r="N19" i="12"/>
  <c r="L44" i="12"/>
  <c r="K44" i="12"/>
  <c r="G27" i="16"/>
  <c r="G29" i="16"/>
  <c r="E10" i="16"/>
  <c r="E19" i="12"/>
  <c r="D10" i="16"/>
  <c r="D19" i="12"/>
  <c r="N16" i="16"/>
  <c r="J12" i="17"/>
  <c r="F10" i="16"/>
  <c r="F19" i="12"/>
  <c r="K12" i="17"/>
  <c r="G18" i="16"/>
  <c r="O18" i="16"/>
  <c r="G12" i="17"/>
  <c r="O15" i="16"/>
  <c r="H12" i="17"/>
  <c r="O16" i="16"/>
  <c r="J54" i="16"/>
  <c r="L10" i="15"/>
  <c r="I10" i="15"/>
  <c r="J27" i="16"/>
  <c r="J29" i="16"/>
  <c r="I19" i="16"/>
  <c r="G48" i="16"/>
  <c r="E27" i="16"/>
  <c r="E29" i="16"/>
  <c r="N27" i="16"/>
  <c r="O20" i="15"/>
  <c r="M27" i="16"/>
  <c r="M29" i="16"/>
  <c r="D29" i="16"/>
  <c r="H27" i="16"/>
  <c r="H29" i="16"/>
  <c r="K27" i="16"/>
  <c r="K29" i="16"/>
  <c r="H22" i="16"/>
  <c r="F51" i="16"/>
  <c r="F48" i="16"/>
  <c r="F49" i="16"/>
  <c r="E49" i="16"/>
  <c r="G22" i="16"/>
  <c r="H48" i="16"/>
  <c r="G19" i="12"/>
  <c r="E54" i="17"/>
  <c r="J25" i="17"/>
  <c r="I24" i="17"/>
  <c r="I21" i="17"/>
  <c r="H19" i="12"/>
  <c r="F54" i="17"/>
  <c r="F55" i="16"/>
  <c r="G59" i="17"/>
  <c r="G47" i="16"/>
  <c r="G49" i="16"/>
  <c r="J21" i="12"/>
  <c r="J47" i="12"/>
  <c r="J5" i="16"/>
  <c r="H46" i="16"/>
  <c r="H4" i="17"/>
  <c r="J13" i="16"/>
  <c r="H10" i="15"/>
  <c r="H9" i="15"/>
  <c r="H22" i="14"/>
  <c r="F10" i="15"/>
  <c r="F22" i="14"/>
  <c r="N19" i="16"/>
  <c r="O19" i="16"/>
  <c r="K48" i="16"/>
  <c r="N18" i="16"/>
  <c r="N17" i="16"/>
  <c r="I22" i="16"/>
  <c r="G51" i="16"/>
  <c r="G55" i="16"/>
  <c r="E51" i="16"/>
  <c r="F56" i="16"/>
  <c r="G21" i="16"/>
  <c r="G20" i="16"/>
  <c r="E49" i="17"/>
  <c r="E50" i="17"/>
  <c r="E51" i="17"/>
  <c r="H21" i="16"/>
  <c r="H20" i="16"/>
  <c r="F49" i="17"/>
  <c r="F50" i="17"/>
  <c r="F51" i="17"/>
  <c r="F57" i="17"/>
  <c r="K25" i="17"/>
  <c r="K24" i="17"/>
  <c r="K21" i="17"/>
  <c r="J24" i="17"/>
  <c r="J21" i="17"/>
  <c r="K21" i="12"/>
  <c r="K47" i="12"/>
  <c r="I46" i="16"/>
  <c r="I4" i="17"/>
  <c r="K13" i="16"/>
  <c r="K5" i="16"/>
  <c r="H59" i="17"/>
  <c r="H47" i="16"/>
  <c r="H49" i="16"/>
  <c r="J22" i="16"/>
  <c r="H51" i="16"/>
  <c r="I21" i="16"/>
  <c r="I19" i="12"/>
  <c r="I20" i="16"/>
  <c r="G49" i="17"/>
  <c r="G50" i="17"/>
  <c r="G51" i="17"/>
  <c r="G57" i="17"/>
  <c r="G56" i="16"/>
  <c r="E57" i="17"/>
  <c r="F44" i="17"/>
  <c r="F46" i="17"/>
  <c r="H54" i="17"/>
  <c r="I59" i="17"/>
  <c r="I47" i="16"/>
  <c r="I49" i="16"/>
  <c r="K22" i="16"/>
  <c r="I51" i="16"/>
  <c r="H56" i="16"/>
  <c r="H55" i="16"/>
  <c r="L21" i="12"/>
  <c r="L47" i="12"/>
  <c r="L5" i="16"/>
  <c r="J46" i="16"/>
  <c r="J4" i="17"/>
  <c r="L13" i="16"/>
  <c r="J44" i="17"/>
  <c r="J46" i="17"/>
  <c r="J56" i="17"/>
  <c r="J59" i="17"/>
  <c r="J47" i="16"/>
  <c r="J49" i="16"/>
  <c r="L22" i="16"/>
  <c r="J51" i="16"/>
  <c r="I54" i="17"/>
  <c r="N4" i="15"/>
  <c r="M47" i="12"/>
  <c r="M21" i="12"/>
  <c r="M5" i="16"/>
  <c r="K46" i="16"/>
  <c r="K4" i="17"/>
  <c r="M13" i="16"/>
  <c r="J19" i="12"/>
  <c r="J21" i="16"/>
  <c r="J20" i="16"/>
  <c r="H49" i="17"/>
  <c r="H50" i="17"/>
  <c r="H51" i="17"/>
  <c r="H57" i="17"/>
  <c r="I55" i="16"/>
  <c r="I56" i="16"/>
  <c r="I44" i="17"/>
  <c r="I46" i="17"/>
  <c r="I56" i="17"/>
  <c r="G44" i="17"/>
  <c r="G46" i="17"/>
  <c r="G56" i="17"/>
  <c r="F56" i="17"/>
  <c r="F58" i="17"/>
  <c r="K19" i="12"/>
  <c r="K20" i="16"/>
  <c r="I49" i="17"/>
  <c r="I50" i="17"/>
  <c r="I51" i="17"/>
  <c r="I57" i="17"/>
  <c r="K21" i="16"/>
  <c r="J55" i="16"/>
  <c r="J56" i="16"/>
  <c r="K59" i="17"/>
  <c r="K47" i="16"/>
  <c r="K49" i="16"/>
  <c r="O7" i="16"/>
  <c r="M22" i="16"/>
  <c r="N23" i="14"/>
  <c r="N28" i="16"/>
  <c r="N29" i="16"/>
  <c r="N7" i="15"/>
  <c r="N8" i="15"/>
  <c r="J54" i="17"/>
  <c r="G58" i="17"/>
  <c r="K44" i="17"/>
  <c r="K46" i="17"/>
  <c r="K56" i="17"/>
  <c r="E44" i="17"/>
  <c r="E46" i="17"/>
  <c r="E56" i="17"/>
  <c r="N22" i="14"/>
  <c r="N9" i="15"/>
  <c r="N10" i="15"/>
  <c r="K51" i="16"/>
  <c r="N22" i="16"/>
  <c r="O22" i="16"/>
  <c r="I58" i="17"/>
  <c r="L21" i="16"/>
  <c r="L20" i="16"/>
  <c r="J49" i="17"/>
  <c r="J50" i="17"/>
  <c r="J51" i="17"/>
  <c r="L19" i="12"/>
  <c r="O8" i="16"/>
  <c r="K54" i="17"/>
  <c r="E58" i="17"/>
  <c r="H44" i="17"/>
  <c r="H46" i="17"/>
  <c r="O10" i="16"/>
  <c r="M20" i="16"/>
  <c r="M21" i="16"/>
  <c r="M19" i="12"/>
  <c r="K55" i="16"/>
  <c r="K56" i="16"/>
  <c r="J57" i="17"/>
  <c r="J58" i="17"/>
  <c r="H58" i="17"/>
  <c r="H56" i="17"/>
  <c r="N21" i="16"/>
  <c r="O21" i="16"/>
  <c r="K49" i="17"/>
  <c r="K50" i="17"/>
  <c r="K51" i="17"/>
  <c r="N20" i="16"/>
  <c r="O20" i="16"/>
  <c r="K57" i="17"/>
  <c r="K58" i="17"/>
  <c r="H41" i="12"/>
  <c r="G41" i="12"/>
  <c r="I41" i="12"/>
  <c r="K41" i="12"/>
  <c r="J41" i="12"/>
  <c r="H2519" i="8"/>
  <c r="E18" i="15"/>
  <c r="O13" i="15"/>
  <c r="O14" i="15"/>
  <c r="O15" i="15"/>
  <c r="E19" i="15"/>
</calcChain>
</file>

<file path=xl/sharedStrings.xml><?xml version="1.0" encoding="utf-8"?>
<sst xmlns="http://schemas.openxmlformats.org/spreadsheetml/2006/main" count="3117" uniqueCount="597">
  <si>
    <t>Company Name</t>
  </si>
  <si>
    <t>Ticker</t>
  </si>
  <si>
    <t>Sector</t>
  </si>
  <si>
    <t>Industry</t>
  </si>
  <si>
    <t>*</t>
  </si>
  <si>
    <t>Website</t>
  </si>
  <si>
    <t>HQ City &amp; State</t>
  </si>
  <si>
    <t>Year of IPO</t>
  </si>
  <si>
    <t>Income Statement Summary</t>
  </si>
  <si>
    <t>TTM</t>
  </si>
  <si>
    <t>Revenue</t>
  </si>
  <si>
    <t>Operating Expenses</t>
  </si>
  <si>
    <t>Operating Income</t>
  </si>
  <si>
    <t>Net Income</t>
  </si>
  <si>
    <t>EBITDA</t>
  </si>
  <si>
    <t>Gross Margin</t>
  </si>
  <si>
    <t>Operating Margin</t>
  </si>
  <si>
    <t>EBITDA margin</t>
  </si>
  <si>
    <t>Balance Sheet Summary</t>
  </si>
  <si>
    <t>Cash Flow Statement</t>
  </si>
  <si>
    <t>Operating Cash Flow</t>
  </si>
  <si>
    <t>Investing Cash Flow</t>
  </si>
  <si>
    <t>Financing Cash Flow</t>
  </si>
  <si>
    <t>Beginning Cash</t>
  </si>
  <si>
    <t>Ending Cash</t>
  </si>
  <si>
    <t>Free Cash Flow</t>
  </si>
  <si>
    <t>Dividends</t>
  </si>
  <si>
    <t>Assumptions</t>
  </si>
  <si>
    <t>Sell if the price goes up by</t>
  </si>
  <si>
    <t>Number of "buy" trades</t>
  </si>
  <si>
    <t>Buy if the price goes down by</t>
  </si>
  <si>
    <t>Number of "sell" trades</t>
  </si>
  <si>
    <t>Shares held at end of period</t>
  </si>
  <si>
    <t>Cash invested</t>
  </si>
  <si>
    <t>Cash received</t>
  </si>
  <si>
    <t>IRR</t>
  </si>
  <si>
    <t>20 Most Recent Headlines About the Company</t>
  </si>
  <si>
    <t>Date</t>
  </si>
  <si>
    <t>Board of Directors</t>
  </si>
  <si>
    <t>Executives</t>
  </si>
  <si>
    <t>Company's Assessment of Risks</t>
  </si>
  <si>
    <t>Financial</t>
  </si>
  <si>
    <t>Debt</t>
  </si>
  <si>
    <t>Cash</t>
  </si>
  <si>
    <t>Stock price</t>
  </si>
  <si>
    <t>Business Model</t>
  </si>
  <si>
    <t>Product/Service</t>
  </si>
  <si>
    <t>Customers</t>
  </si>
  <si>
    <t>Complexity</t>
  </si>
  <si>
    <t>Suppliers</t>
  </si>
  <si>
    <t>Assets</t>
  </si>
  <si>
    <t>Market</t>
  </si>
  <si>
    <t>Growth</t>
  </si>
  <si>
    <t>Innovation</t>
  </si>
  <si>
    <t>Fragmentation</t>
  </si>
  <si>
    <t>-</t>
  </si>
  <si>
    <t>Receivables</t>
  </si>
  <si>
    <t>Equity and other investments</t>
  </si>
  <si>
    <t>Accounts payable</t>
  </si>
  <si>
    <t>Other current liabilities</t>
  </si>
  <si>
    <t>Valuation</t>
  </si>
  <si>
    <t>EV / EBITDA</t>
  </si>
  <si>
    <t>Undervalued?</t>
  </si>
  <si>
    <t>FULL INCOME STATEMENT (Source: Morningstar.com)</t>
  </si>
  <si>
    <t>Cost of revenue</t>
  </si>
  <si>
    <t>Gross profit</t>
  </si>
  <si>
    <t>Operating expenses</t>
  </si>
  <si>
    <t>Sales, General and administrative</t>
  </si>
  <si>
    <t>Total operating expenses</t>
  </si>
  <si>
    <t>Operating income</t>
  </si>
  <si>
    <t>Interest Expense</t>
  </si>
  <si>
    <t>Other income (expense)</t>
  </si>
  <si>
    <t>Income before taxes</t>
  </si>
  <si>
    <t>Provision for income taxes</t>
  </si>
  <si>
    <t>Net income from continuing operations</t>
  </si>
  <si>
    <t>Net income</t>
  </si>
  <si>
    <t>Net income available to common shareholders</t>
  </si>
  <si>
    <t>Earnings per share</t>
  </si>
  <si>
    <t>Basic</t>
  </si>
  <si>
    <t>Diluted</t>
  </si>
  <si>
    <t>Weighted average shares outstanding</t>
  </si>
  <si>
    <t>BALANCE SHEET</t>
  </si>
  <si>
    <t>Current assets</t>
  </si>
  <si>
    <t>Cash and cash equivalents</t>
  </si>
  <si>
    <t>Total cash</t>
  </si>
  <si>
    <t>Inventories</t>
  </si>
  <si>
    <t>Prepaid expenses</t>
  </si>
  <si>
    <t>Total current assets</t>
  </si>
  <si>
    <t>Non-current assets</t>
  </si>
  <si>
    <t>Property, plant and equipment</t>
  </si>
  <si>
    <t>Gross property, plant and equipment</t>
  </si>
  <si>
    <t>Accumulated Depreciation</t>
  </si>
  <si>
    <t>Net property, plant and equipment</t>
  </si>
  <si>
    <t>Other long-term assets</t>
  </si>
  <si>
    <t>Total non-current assets</t>
  </si>
  <si>
    <t>Total assets</t>
  </si>
  <si>
    <t>Liabilities and stockholders' equity</t>
  </si>
  <si>
    <t>Liabilities</t>
  </si>
  <si>
    <t>Current liabilities</t>
  </si>
  <si>
    <t>Short-term debt</t>
  </si>
  <si>
    <t>Accrued liabilities</t>
  </si>
  <si>
    <t>Deferred revenues</t>
  </si>
  <si>
    <t>Total current liabilities</t>
  </si>
  <si>
    <t>Non-current liabilities</t>
  </si>
  <si>
    <t>Long-term debt</t>
  </si>
  <si>
    <t>Other long-term liabilities</t>
  </si>
  <si>
    <t>Total non-current liabilities</t>
  </si>
  <si>
    <t>Total liabilities</t>
  </si>
  <si>
    <t>Stockholders' equity</t>
  </si>
  <si>
    <t>Common stock</t>
  </si>
  <si>
    <t>Additional paid-in capital</t>
  </si>
  <si>
    <t>Retained earnings</t>
  </si>
  <si>
    <t>Accumulated other comprehensive income</t>
  </si>
  <si>
    <t>Total stockholders' equity</t>
  </si>
  <si>
    <t>Total liabilities and stockholders' equity</t>
  </si>
  <si>
    <t>CASH FLOW</t>
  </si>
  <si>
    <t>Cash Flows From Operating Activities</t>
  </si>
  <si>
    <t>Depreciation &amp; amortization</t>
  </si>
  <si>
    <t>Change in working capital</t>
  </si>
  <si>
    <t>Accounts receivable</t>
  </si>
  <si>
    <t>Inventory</t>
  </si>
  <si>
    <t>Other working capital</t>
  </si>
  <si>
    <t>Other non-cash items</t>
  </si>
  <si>
    <t>Net cash provided by operating activities</t>
  </si>
  <si>
    <t>Cash Flows From Investing Activities</t>
  </si>
  <si>
    <t>Investments in property, plant, and equipment</t>
  </si>
  <si>
    <t>Purchases of investments</t>
  </si>
  <si>
    <t>Sales/Maturities of investments</t>
  </si>
  <si>
    <t>Other investing activities</t>
  </si>
  <si>
    <t>Net cash used for investing activities</t>
  </si>
  <si>
    <t>Cash Flows From Financing Activities</t>
  </si>
  <si>
    <t>Debt issued</t>
  </si>
  <si>
    <t>Debt repayment</t>
  </si>
  <si>
    <t>Dividend paid</t>
  </si>
  <si>
    <t>Other financing activities</t>
  </si>
  <si>
    <t>Net cash provided by (used for) financing activities</t>
  </si>
  <si>
    <t>Net change in cash</t>
  </si>
  <si>
    <t>Cash at beginning of period</t>
  </si>
  <si>
    <t>Cash at end of period</t>
  </si>
  <si>
    <t>Operating cash flow</t>
  </si>
  <si>
    <t>Capital expenditure</t>
  </si>
  <si>
    <t>Free cash flow</t>
  </si>
  <si>
    <t>Stock Price Data (Source: Yahoo Finance)</t>
  </si>
  <si>
    <t>Price at close</t>
  </si>
  <si>
    <t>Sell Target</t>
  </si>
  <si>
    <t>Buy Target</t>
  </si>
  <si>
    <t>Buy</t>
  </si>
  <si>
    <t>Sell</t>
  </si>
  <si>
    <t>Buy &amp; Hold</t>
  </si>
  <si>
    <t>Company Profile</t>
  </si>
  <si>
    <t>Beta</t>
  </si>
  <si>
    <t>Return on assets</t>
  </si>
  <si>
    <t>Market cap, $MM</t>
  </si>
  <si>
    <t>Return on equity</t>
  </si>
  <si>
    <t>HPIS Sector</t>
  </si>
  <si>
    <t>Latest investor presentation</t>
  </si>
  <si>
    <t>% of float shorted</t>
  </si>
  <si>
    <t>Dividend Aristocrat?</t>
  </si>
  <si>
    <t>No</t>
  </si>
  <si>
    <t>Fiscal year ends, month</t>
  </si>
  <si>
    <t>CAGR 09-13</t>
  </si>
  <si>
    <t>CAGR 14-18</t>
  </si>
  <si>
    <t>Cost of Revenue</t>
  </si>
  <si>
    <t>EBITDA Margin</t>
  </si>
  <si>
    <t>Revenue YoY % change</t>
  </si>
  <si>
    <t>EBITDA YoY % change</t>
  </si>
  <si>
    <t>Last Quarter</t>
  </si>
  <si>
    <t>Working capital</t>
  </si>
  <si>
    <t>Working capital, % of revenue</t>
  </si>
  <si>
    <t>Current ratio</t>
  </si>
  <si>
    <t>Debt ratio</t>
  </si>
  <si>
    <t>Debt service coverage</t>
  </si>
  <si>
    <t>Financial leverage</t>
  </si>
  <si>
    <t>Long term asset efficiency</t>
  </si>
  <si>
    <t>Dividend payout ratio</t>
  </si>
  <si>
    <t>Dividend yield</t>
  </si>
  <si>
    <t>Dividend per share</t>
  </si>
  <si>
    <t>Last Available</t>
  </si>
  <si>
    <t>EV / EBITDA multiple</t>
  </si>
  <si>
    <t>EV / Revenue multiple</t>
  </si>
  <si>
    <t>Enter position</t>
  </si>
  <si>
    <t>Exit position</t>
  </si>
  <si>
    <t>Trading days</t>
  </si>
  <si>
    <t>Volatility, last 65 days, daily</t>
  </si>
  <si>
    <t>Volatility, last 65, annualized</t>
  </si>
  <si>
    <t>Cash received, including dividends</t>
  </si>
  <si>
    <t>% days stock went up</t>
  </si>
  <si>
    <t xml:space="preserve">Valuation </t>
  </si>
  <si>
    <t>Quarterly Data</t>
  </si>
  <si>
    <t>10Q CQGR</t>
  </si>
  <si>
    <t>Stock price, $</t>
  </si>
  <si>
    <t xml:space="preserve">   Net Debt, $ millions</t>
  </si>
  <si>
    <t>Valuation Trends - Rolling TTM Data</t>
  </si>
  <si>
    <t>Net change</t>
  </si>
  <si>
    <t>7Q CQGR</t>
  </si>
  <si>
    <t>Revenue, $ millions</t>
  </si>
  <si>
    <t>EBITDA, $ millions</t>
  </si>
  <si>
    <t>Net Income, $ millions</t>
  </si>
  <si>
    <t xml:space="preserve">   Revenue per share</t>
  </si>
  <si>
    <t xml:space="preserve">   EBITDA per share</t>
  </si>
  <si>
    <t xml:space="preserve">   Earnings per share</t>
  </si>
  <si>
    <t>EV / revenue</t>
  </si>
  <si>
    <t>Graham's Number (Annual)</t>
  </si>
  <si>
    <t>Earnings per share, basic</t>
  </si>
  <si>
    <t>Book value of equity per share</t>
  </si>
  <si>
    <t>Graham's Number</t>
  </si>
  <si>
    <t>Price, $ per share</t>
  </si>
  <si>
    <t>TTM EBITDA</t>
  </si>
  <si>
    <t>EV/ Revenue</t>
  </si>
  <si>
    <t>EV/ EBITDA</t>
  </si>
  <si>
    <t>Average</t>
  </si>
  <si>
    <t>Median</t>
  </si>
  <si>
    <t>Peter Lynch Analysis</t>
  </si>
  <si>
    <t>as of:</t>
  </si>
  <si>
    <t>Rolling TTM EPS * 15</t>
  </si>
  <si>
    <t>Price / Earnings</t>
  </si>
  <si>
    <t>EBITDA growth rate</t>
  </si>
  <si>
    <t>EBITDA growth rate, 5 year CAGR</t>
  </si>
  <si>
    <t>EBITDA growth rate plus dividened yield</t>
  </si>
  <si>
    <t>PEG Ratio [&lt;1 = undervalued]</t>
  </si>
  <si>
    <t>PEG Ratio [&lt;1 = undervalued], dividend adjusted</t>
  </si>
  <si>
    <t>7 Period DCF Model</t>
  </si>
  <si>
    <t>TTM Free Cash Flow</t>
  </si>
  <si>
    <t>TTM Operating Cash Flow</t>
  </si>
  <si>
    <t>TTM Dividends</t>
  </si>
  <si>
    <t>TTM EBITDA, % change</t>
  </si>
  <si>
    <t>TTM Free Cash Flow, % change</t>
  </si>
  <si>
    <t>TTM Operating Cash Flow, % change</t>
  </si>
  <si>
    <t>EBITDA, 5 year forecast growth rate</t>
  </si>
  <si>
    <t>Free Cash Flow, 5 year forecast growth rate</t>
  </si>
  <si>
    <t>Terminal Growth Rate</t>
  </si>
  <si>
    <t>Discount Rate</t>
  </si>
  <si>
    <t>Weighted Average Cost of Capital (WACC)</t>
  </si>
  <si>
    <t xml:space="preserve">  Weight of Equity</t>
  </si>
  <si>
    <t xml:space="preserve">  Weight of Debt</t>
  </si>
  <si>
    <t xml:space="preserve">     Beta</t>
  </si>
  <si>
    <t>Company</t>
  </si>
  <si>
    <t xml:space="preserve">     Risk Free Rate</t>
  </si>
  <si>
    <t xml:space="preserve">     Market Premium</t>
  </si>
  <si>
    <t xml:space="preserve">     Tax Rate</t>
  </si>
  <si>
    <t>Year</t>
  </si>
  <si>
    <t>Starting value</t>
  </si>
  <si>
    <t>Cash Flow Forecast</t>
  </si>
  <si>
    <t>CQGR</t>
  </si>
  <si>
    <t>Discounted Cash Flow</t>
  </si>
  <si>
    <t>DCF Terminal Value</t>
  </si>
  <si>
    <t>DCF Enterprise Value</t>
  </si>
  <si>
    <t xml:space="preserve">   minus Net Debt (Long Term Debt - Total Cash)</t>
  </si>
  <si>
    <t>DCF Market Cap</t>
  </si>
  <si>
    <t>EBITDA in 5 years</t>
  </si>
  <si>
    <t>EBITDA Multiple (as of Quarter indicated above)</t>
  </si>
  <si>
    <t>Enterprise Value / actual</t>
  </si>
  <si>
    <t>Estimated share price / DCF approach</t>
  </si>
  <si>
    <t>Estimated share price / Multiple approach</t>
  </si>
  <si>
    <t>Estimated share price / average</t>
  </si>
  <si>
    <t>Actual share price</t>
  </si>
  <si>
    <t>Latest price</t>
  </si>
  <si>
    <t>50 day moving average</t>
  </si>
  <si>
    <t>Morningstar - Fair Value Price</t>
  </si>
  <si>
    <t>200 day moving average</t>
  </si>
  <si>
    <t>Morningstar - 5-Star Price (consider buying)</t>
  </si>
  <si>
    <t>Support below</t>
  </si>
  <si>
    <t>Morningstar - 1-Star Price (consider selling)</t>
  </si>
  <si>
    <t>Resistance above</t>
  </si>
  <si>
    <t>Yahoo Finance - Average Rating, 1 - Buy / 5 - Sell</t>
  </si>
  <si>
    <t>Yahoo Finance - Analyst Price Targets, Average</t>
  </si>
  <si>
    <t>Major Holders</t>
  </si>
  <si>
    <t>Insider</t>
  </si>
  <si>
    <t>Shares</t>
  </si>
  <si>
    <t>Transactions</t>
  </si>
  <si>
    <t>Direct Holders</t>
  </si>
  <si>
    <t>Date Reported</t>
  </si>
  <si>
    <t>% sh outs</t>
  </si>
  <si>
    <t>Value, $</t>
  </si>
  <si>
    <t>% of Shares Held by All Insider</t>
  </si>
  <si>
    <t>Buy last 3 mo</t>
  </si>
  <si>
    <t>% of Shares Held by Institutions</t>
  </si>
  <si>
    <t>Sell last 3 mo</t>
  </si>
  <si>
    <t>% of Float Held by Institutions</t>
  </si>
  <si>
    <t>Buy last 12 mo</t>
  </si>
  <si>
    <t>No. of Institutions Holding Shares</t>
  </si>
  <si>
    <t>Sell last 12 mo</t>
  </si>
  <si>
    <t>Top Mutual Fund Holders</t>
  </si>
  <si>
    <t>Top Institutional Holders</t>
  </si>
  <si>
    <t>RISK TYPE</t>
  </si>
  <si>
    <t>IMPACT</t>
  </si>
  <si>
    <t>Business process</t>
  </si>
  <si>
    <t>Quarterly Income Statement</t>
  </si>
  <si>
    <t>Working capital, % of TTM revenue</t>
  </si>
  <si>
    <t>Long term asset efficiency, TTM</t>
  </si>
  <si>
    <t>Dividend payout ratio, TTM</t>
  </si>
  <si>
    <t>Dividend yield, TTM</t>
  </si>
  <si>
    <t>Dividend per share, quarterly</t>
  </si>
  <si>
    <t>Other operating expenses</t>
  </si>
  <si>
    <t>Goodwill</t>
  </si>
  <si>
    <t>Intangible assets</t>
  </si>
  <si>
    <t>Taxes payable</t>
  </si>
  <si>
    <r>
      <t xml:space="preserve">FULL INCOME STATEMENT (Source: Morningstar.com) </t>
    </r>
    <r>
      <rPr>
        <sz val="10"/>
        <color rgb="FFFF0000"/>
        <rFont val="Arial"/>
        <family val="2"/>
      </rPr>
      <t>QUARTERLY</t>
    </r>
  </si>
  <si>
    <r>
      <t xml:space="preserve">BALANCE SHEET </t>
    </r>
    <r>
      <rPr>
        <sz val="10"/>
        <color rgb="FFFF0000"/>
        <rFont val="Arial"/>
        <family val="2"/>
      </rPr>
      <t>QUARTERLY</t>
    </r>
  </si>
  <si>
    <r>
      <t xml:space="preserve">CASH FLOW </t>
    </r>
    <r>
      <rPr>
        <sz val="10"/>
        <color rgb="FFFF0000"/>
        <rFont val="Arial"/>
        <family val="2"/>
      </rPr>
      <t>QUARTERLY</t>
    </r>
  </si>
  <si>
    <t>Common stock repurchased</t>
  </si>
  <si>
    <t>Volume</t>
  </si>
  <si>
    <t>Trading Cash Flow</t>
  </si>
  <si>
    <t>Shares Held</t>
  </si>
  <si>
    <t>Shares, MM</t>
  </si>
  <si>
    <t>Stock Exchange</t>
  </si>
  <si>
    <t>Year Founded</t>
  </si>
  <si>
    <t>Total Locations</t>
  </si>
  <si>
    <t>Number of Employees</t>
  </si>
  <si>
    <t>Neutral</t>
  </si>
  <si>
    <t>Investment Considerations</t>
  </si>
  <si>
    <t>Shares Outstanding - Common Stock</t>
  </si>
  <si>
    <t>Preferred Stock, if any</t>
  </si>
  <si>
    <t>Shares Outstanding - Diluted</t>
  </si>
  <si>
    <t>Next quarter release date:</t>
  </si>
  <si>
    <t>Adj Close</t>
  </si>
  <si>
    <t>Low</t>
  </si>
  <si>
    <t>Open</t>
  </si>
  <si>
    <t>High</t>
  </si>
  <si>
    <t>Acquisitions, net</t>
  </si>
  <si>
    <t>Latest Stock Price</t>
  </si>
  <si>
    <t>Value, $ mm</t>
  </si>
  <si>
    <t>Shares Information</t>
  </si>
  <si>
    <t>Trading Cost</t>
  </si>
  <si>
    <t>Close price % change</t>
  </si>
  <si>
    <t>IndexDO</t>
  </si>
  <si>
    <t>HPIS IndexDO</t>
  </si>
  <si>
    <t>% weeks stock went up</t>
  </si>
  <si>
    <t>Weekly % change</t>
  </si>
  <si>
    <t>Total Board of Directors Compensation</t>
  </si>
  <si>
    <t>Total Compensation of Key Executives</t>
  </si>
  <si>
    <t>Total Current Assets</t>
  </si>
  <si>
    <t>Net Property, Plant and Equipment</t>
  </si>
  <si>
    <t>Avg volume 60 days, MM shares</t>
  </si>
  <si>
    <t>Avg volume 60 days, $MM</t>
  </si>
  <si>
    <t>Avg volume 60 days / market cap</t>
  </si>
  <si>
    <t>Depreciation and Amortization</t>
  </si>
  <si>
    <t>Accounts Payable</t>
  </si>
  <si>
    <t>Accrued Liabilities</t>
  </si>
  <si>
    <t>Total Assets</t>
  </si>
  <si>
    <t>Total Current Liabilities</t>
  </si>
  <si>
    <t>Long-term Debt</t>
  </si>
  <si>
    <t>Other Long Term Liabilities</t>
  </si>
  <si>
    <t>Total Liabilities</t>
  </si>
  <si>
    <t>Long-Term Debt</t>
  </si>
  <si>
    <t>Depreciation &amp; Amortization</t>
  </si>
  <si>
    <t>Volume Data</t>
  </si>
  <si>
    <t>Stock Data</t>
  </si>
  <si>
    <t>Public Float</t>
  </si>
  <si>
    <t>52 Week Range</t>
  </si>
  <si>
    <t>52 Week Change</t>
  </si>
  <si>
    <t>Total Cash</t>
  </si>
  <si>
    <t>Total Equity</t>
  </si>
  <si>
    <t>Net debt</t>
  </si>
  <si>
    <t>Return on capital</t>
  </si>
  <si>
    <t>Revenue per share</t>
  </si>
  <si>
    <t>EBITDA per share</t>
  </si>
  <si>
    <t>Earnings Yield (EBIT / EV)</t>
  </si>
  <si>
    <t>Price / EPS</t>
  </si>
  <si>
    <t>Enterprise Value (EV), $MM</t>
  </si>
  <si>
    <t>Market Capitalization, $MM</t>
  </si>
  <si>
    <t>Shares Outstanding - Basic, MM</t>
  </si>
  <si>
    <t>Shares Outstanding - Diluted, MM</t>
  </si>
  <si>
    <t>Stock Price at End of Period</t>
  </si>
  <si>
    <t>Stock &amp; Valuation Data</t>
  </si>
  <si>
    <t>Trading Data</t>
  </si>
  <si>
    <t>Trading Assumptions</t>
  </si>
  <si>
    <t>Strategy Performance - Active Trading</t>
  </si>
  <si>
    <t>Strategy Performance - Buy &amp; Hold</t>
  </si>
  <si>
    <t>Enterprise Value, $ millions</t>
  </si>
  <si>
    <t>Market Capitalization, $ millions</t>
  </si>
  <si>
    <t>Stock Price, $</t>
  </si>
  <si>
    <t>Shares Outstanding, MM</t>
  </si>
  <si>
    <t>$¥€ / USD Exchange Rate</t>
  </si>
  <si>
    <t>Stock Price</t>
  </si>
  <si>
    <t>Stock Price Below Rolling TTM EPS * 15 ?</t>
  </si>
  <si>
    <t>Price / Revenue</t>
  </si>
  <si>
    <t>Last 5 Years Revenue CAGR</t>
  </si>
  <si>
    <t>Total insider shares</t>
  </si>
  <si>
    <t>Broker fee per share</t>
  </si>
  <si>
    <t>Description</t>
  </si>
  <si>
    <t>Reverse DCF Implied Growth Rate</t>
  </si>
  <si>
    <t>TTM Revenue, $B</t>
  </si>
  <si>
    <t>TTM EBITDA, $B</t>
  </si>
  <si>
    <t>EV, $B</t>
  </si>
  <si>
    <t>Market cap, $B</t>
  </si>
  <si>
    <t>Trailing P/E Ratio</t>
  </si>
  <si>
    <t>Technical Data</t>
  </si>
  <si>
    <t>TBD</t>
  </si>
  <si>
    <t>Multiple Approach - Enterprise Value</t>
  </si>
  <si>
    <t>Multiple Approach - Market Cap</t>
  </si>
  <si>
    <t>Market Cap / actual</t>
  </si>
  <si>
    <t xml:space="preserve">  Cost of Equity Estimate</t>
  </si>
  <si>
    <t xml:space="preserve">  Cost of Debt Estimate</t>
  </si>
  <si>
    <t>Competition</t>
  </si>
  <si>
    <t>Descriptive Stock Trading Data</t>
  </si>
  <si>
    <t>2009-12</t>
  </si>
  <si>
    <t>2010-12</t>
  </si>
  <si>
    <t>2011-12</t>
  </si>
  <si>
    <t>2012-12</t>
  </si>
  <si>
    <t>2013-12</t>
  </si>
  <si>
    <t>2014-12</t>
  </si>
  <si>
    <t>2015-12</t>
  </si>
  <si>
    <t>2016-12</t>
  </si>
  <si>
    <t>2017-12</t>
  </si>
  <si>
    <t>2018-12</t>
  </si>
  <si>
    <t>Minority interest</t>
  </si>
  <si>
    <t>Income taxes payable</t>
  </si>
  <si>
    <t>2017-03</t>
  </si>
  <si>
    <t>2017-06</t>
  </si>
  <si>
    <t>2017-09</t>
  </si>
  <si>
    <t>2018-03</t>
  </si>
  <si>
    <t>2018-06</t>
  </si>
  <si>
    <t>2018-09</t>
  </si>
  <si>
    <t>2019-03</t>
  </si>
  <si>
    <t>Comparable Companies as of 06/05/2019</t>
  </si>
  <si>
    <t>Country</t>
  </si>
  <si>
    <t>NYSE</t>
  </si>
  <si>
    <t>Negative</t>
  </si>
  <si>
    <t>Positive</t>
  </si>
  <si>
    <t>The company pays off dividends every year from 2009 to 2018, and its dividend payout ratio is overall on the rise.</t>
  </si>
  <si>
    <t>Other</t>
  </si>
  <si>
    <t>Short-term investments</t>
  </si>
  <si>
    <t>Deferred income taxes</t>
  </si>
  <si>
    <t>Other current assets</t>
  </si>
  <si>
    <t>Deferred taxes liabilities</t>
  </si>
  <si>
    <t>Treasury stock</t>
  </si>
  <si>
    <t>Investment/asset impairment charges</t>
  </si>
  <si>
    <t>Purchases of intangibles</t>
  </si>
  <si>
    <t>Insider Monkey</t>
  </si>
  <si>
    <t>TDS</t>
  </si>
  <si>
    <t>Communication Services</t>
  </si>
  <si>
    <t>Atn International Inc</t>
  </si>
  <si>
    <t>ATNI</t>
  </si>
  <si>
    <t>Globalstar Inc</t>
  </si>
  <si>
    <t>GSAT</t>
  </si>
  <si>
    <t>Iridium Communications Inc</t>
  </si>
  <si>
    <t>IRDM</t>
  </si>
  <si>
    <t>PLDT Inc</t>
  </si>
  <si>
    <t>PHI</t>
  </si>
  <si>
    <t>Shenandoah Telecommunication</t>
  </si>
  <si>
    <t>SHEN</t>
  </si>
  <si>
    <t>Telecom Argentina Sa</t>
  </si>
  <si>
    <t>TEO</t>
  </si>
  <si>
    <t>Tim Participacoes Sa</t>
  </si>
  <si>
    <t>TSU</t>
  </si>
  <si>
    <t>Turkcell Iletisim Hizmet As</t>
  </si>
  <si>
    <t>TKC</t>
  </si>
  <si>
    <t>Veon LTD</t>
  </si>
  <si>
    <t>VEON</t>
  </si>
  <si>
    <t>United States Cellular Corp</t>
  </si>
  <si>
    <t>USM</t>
  </si>
  <si>
    <t>Telecom Services</t>
  </si>
  <si>
    <t>The market is expected to keep growing for the next five years with a growth rate at around 2.5% due to expanding demand in internet services.</t>
  </si>
  <si>
    <t>The industry is highly competitive as it is dominated by several major players such as AT&amp;T and Verizon.</t>
  </si>
  <si>
    <t>Fiscal year ends in December. ARS in millions except per share data.</t>
  </si>
  <si>
    <t>Restructuring, merger and acquisition</t>
  </si>
  <si>
    <t>Pensions and other benefits</t>
  </si>
  <si>
    <t>Other Equity</t>
  </si>
  <si>
    <t>Amortization of debt discount/premium and issuance costs</t>
  </si>
  <si>
    <t>Property, plant, and equipment reductions</t>
  </si>
  <si>
    <t>Effect of exchange rate changes</t>
  </si>
  <si>
    <t>ARS in millions, except per share values, %, and ratios</t>
  </si>
  <si>
    <t>Alejandro Alberto Urricelqui</t>
  </si>
  <si>
    <t>Chairman of the Board</t>
  </si>
  <si>
    <t>Mariano Marcelo Ibanez</t>
  </si>
  <si>
    <t>Vice Chairman of the Board</t>
  </si>
  <si>
    <t>Sebastian Bardengo</t>
  </si>
  <si>
    <t>Director</t>
  </si>
  <si>
    <t>Damian F Cassino</t>
  </si>
  <si>
    <t>Martin Hector D'Ambrosio</t>
  </si>
  <si>
    <t>Independent Director</t>
  </si>
  <si>
    <t>Baruki Luis Alberto González</t>
  </si>
  <si>
    <t>Carlos Alejandro Harrison</t>
  </si>
  <si>
    <t>Luca Luciani</t>
  </si>
  <si>
    <t>Alejo Maxit</t>
  </si>
  <si>
    <t>Ignacio Jose Maria Valiente</t>
  </si>
  <si>
    <t>German H Vidal</t>
  </si>
  <si>
    <t>Carlos A. Moltini</t>
  </si>
  <si>
    <t>Chief Executive Officer</t>
  </si>
  <si>
    <t>Gabriel Pablo Blasi</t>
  </si>
  <si>
    <t>Chief Financial Officer</t>
  </si>
  <si>
    <t>Pablo Cesar Casey</t>
  </si>
  <si>
    <t>Director of Legal and Institutional</t>
  </si>
  <si>
    <t>Fernando Cravero</t>
  </si>
  <si>
    <t>Director of International Operations</t>
  </si>
  <si>
    <t>Pablo Esses</t>
  </si>
  <si>
    <t>Chief Information Officer</t>
  </si>
  <si>
    <t>Sergio D. Faraudo</t>
  </si>
  <si>
    <t>Director of Human Capital</t>
  </si>
  <si>
    <t>Miguel A. Fernandez</t>
  </si>
  <si>
    <t>Chief Technology Officer</t>
  </si>
  <si>
    <t>Gonzalo Hita</t>
  </si>
  <si>
    <t>Chief Operating Officer</t>
  </si>
  <si>
    <t>Pedro L Lopez Matheu</t>
  </si>
  <si>
    <t>Director of Government Relations, Communications and Media</t>
  </si>
  <si>
    <t>Gerardo H. Maurer</t>
  </si>
  <si>
    <t>Director of Security</t>
  </si>
  <si>
    <t>Alejandro Miralles</t>
  </si>
  <si>
    <t>Chief Audit and Compliance Officer</t>
  </si>
  <si>
    <t>Roberto D Nobile</t>
  </si>
  <si>
    <t>Deputy Director General</t>
  </si>
  <si>
    <t>Sebastian Palla</t>
  </si>
  <si>
    <t>Director of Procurement</t>
  </si>
  <si>
    <t>Hernán P. Verdaguer</t>
  </si>
  <si>
    <t>Director of Regulatory issues</t>
  </si>
  <si>
    <t>Devaluation of the Argentine peso may adversely affect our results of operations, our capital expenditure program and the ability to service our liabilities and
transfer funds abroad.</t>
  </si>
  <si>
    <t>Inflation could accelerate, causing adverse effects on the economy and negatively impacting Telecom’s margins and/or ratios.</t>
  </si>
  <si>
    <t>As of July 1, 2018, the peso qualifies as a currency of a hyperinflationary economy, and we are required to apply inflationary adjustments to our financial statements, which could adversely affect our financial statements, results of operations and financial condition and those of our Argentine subsidiaries’.</t>
  </si>
  <si>
    <t>Economic and political developments in Argentina, and future policies of the Argentine government may affect the economy as well as the operations of the telecommunications industry, including the operations of Telecom Argentina.</t>
  </si>
  <si>
    <t>The Argentine government may exercise greater intervention in private sector companies, including Telecom Argentina.</t>
  </si>
  <si>
    <t>Argentina’s economy contracted in 2018 and may contract in the future due to international and domestic conditions which may adversely affect our operations.</t>
  </si>
  <si>
    <t>Economic and legal conditions in Argentina remain uncertain which may affect our financial condition, results of operations and cash flows.</t>
  </si>
  <si>
    <t>Argentina’s ability to obtain financing from international markets is limited, which could affect its capacity to implement reforms and sustain economic growth.</t>
  </si>
  <si>
    <t>The Argentine banking system may be subject to instability which may affect our operations.</t>
  </si>
  <si>
    <t>The BCRA has imposed restrictions on the transfer of funds outside of Argentina in the past; some restrictions may be reimposed in the future, which could prevent us from making payments on dividends and liabilities.</t>
  </si>
  <si>
    <t>We are subject to Argentine and international anti-corruption, anti-bribery and anti-money laundering laws. Our failure to comply with these laws could result in penalties, which could harm our reputation and have an adverse effect on our business, financial condition and results of operations.</t>
  </si>
  <si>
    <t>We face substantial and increasing competition in the Argentine fixed and mobile telephony, cable television and broadband businesses.</t>
  </si>
  <si>
    <t>Our revenues are cyclical and depend upon the condition of the Argentine economy.</t>
  </si>
  <si>
    <t>We may become subject to burdensome regulations, ordinances and laws affecting the services we offer which could adversely affect our operations.</t>
  </si>
  <si>
    <t>Technological advances and replacement of our equipment may require us to make significant expenditures to maintain and improve the competitiveness of the services we offer.</t>
  </si>
  <si>
    <t>The media industry is a dynamic and evolving industry, and if it does not develop and expand as we currently expect, our results and operations relating to our cable television and broadband businesses may suffer.</t>
  </si>
  <si>
    <t>We may not be able to renew programming contracts on favorable terms.</t>
  </si>
  <si>
    <t>We may not be able to renew some leases of the facilities for the installation of our fixed and mobile telephony, cable television and broadband systems.</t>
  </si>
  <si>
    <t>Our revenues may be adversely affected by an increase in churn rates, with respect to mobile telephony, cable television and broadband services, or reductions in fixed telephony lines in service, with respect to fixed telephony services.</t>
  </si>
  <si>
    <t>Our revenues relating to our cable television services are subject to uncertainty due to, and may be adversely affected by, the formula set forth in Resolution No. 50/10 to estimate monthly fees paid by cable television subscribers.</t>
  </si>
  <si>
    <t>The Auction Terms and Conditions approved by Resolution SC No. 38/14 established strict coverage and network deployment commitments that will require significant capital expenditures in the near future.</t>
  </si>
  <si>
    <t>Actual or perceived health risks or other problems relating to mobile handsets or transmission masts could lead to litigation or decreased mobile communications usage.</t>
  </si>
  <si>
    <t>Our operations and financial condition could be affected by union negotiations.</t>
  </si>
  <si>
    <t>We are or may be involved in legal and regulatory proceedings which could result in unfavorable decisions and financial penalties for us.</t>
  </si>
  <si>
    <t>The enforcement of the Law for the Promotion of Registered Labor and Prevention of Labor Fraud may have a material adverse effect on us.</t>
  </si>
  <si>
    <t>A cyberattack, could adversely affect our  business, balance sheet, results of operations and cash flow.</t>
  </si>
  <si>
    <t>Operational risks could adversely affect our reputation and our profitability.</t>
  </si>
  <si>
    <t>Any failure by a strategic supplier to comply with its legal and contractual obligations could adversely affect our operations and any action or restriction by a foreign government against a strategic supplier could adversely affect our reputation.</t>
  </si>
  <si>
    <t>The Company and/or its administrators are subject to environmental and safety regulations whose non-compliance could result in increased costs and/or penalties for the Company’s administrators.</t>
  </si>
  <si>
    <t>Restrictive covenants in Telecom’s outstanding indebtedness may restrict its ability to pursue its business strategies.</t>
  </si>
  <si>
    <t>We may be adversely affected by changes in LIBOR reporting practices or the method in which LIBOR is determined or fluctuations in interest rates.</t>
  </si>
  <si>
    <t>The Merger is subject to Argentine antitrust laws and regulations.</t>
  </si>
  <si>
    <t>Cablevisión’s business may fail to successfully integrate with Telecom’s business and, as a result, we may not realize all of the anticipated benefits of the Merger.</t>
  </si>
  <si>
    <t>The future results of the combined company will suffer if the combined company does not effectively manage its expanded operations following the Merger.</t>
  </si>
  <si>
    <t>The Merger could generate risks not evaluated at the time of analysis of the operations.</t>
  </si>
  <si>
    <t>Cablevisión Holding S.A. (“CVH”), and through CVH, GC Dominio S.A. (“GC Dominio”), have the ability to determine the outcome of any shareholder decision relating to significant matters affecting us.</t>
  </si>
  <si>
    <t>The New York Stock Exchange (“NYSE”) and/or the Buenos Aires Stock Exchange (by delegated authority of BYMA) may suspend trading and/or delist Telecom’s ADSs and Class B common shares, respectively, upon occurrence of certain events relating to Telecom’s financial situation.</t>
  </si>
  <si>
    <t>Under Argentine corporate law, shareholder rights may be fewer or less well defined than in other jurisdictions.</t>
  </si>
  <si>
    <t>Changes in Argentine tax laws may adversely affect the tax treatment of our Shares and/or the ADSs.</t>
  </si>
  <si>
    <t>Our shareholders may be subject to liability under Argentine law for certain votes of their securities.</t>
  </si>
  <si>
    <t>The price of our Class B Shares and the ADSs may fluctuate substantially, and your investment may decline in value.</t>
  </si>
  <si>
    <t>Restrictions on transfers of foreign exchange and the repatriation of capital from Argentina may impair your ability to receive dividends and distributions on, and the proceeds of any sale of, the Class B Shares underlying the ADSs.</t>
  </si>
  <si>
    <t>Trading of Telecom Argentina’s Class B Shares in the Argentine securities markets is limited and could experience further illiquidity and price volatility.</t>
  </si>
  <si>
    <t>Holders of ADSs may be adversely affected by currency devaluations and foreign exchange fluctuations.</t>
  </si>
  <si>
    <t>The relative volatility and illiquidity of the Argentine securities markets may substantially limit your ability to sell the Class B Shares underlying the ADSs on the BYMA at the price and time desired by the shareholder.</t>
  </si>
  <si>
    <t>We are traded on more than one market and this may result in price variations; in addition, investors may not be able to easily move shares for trading between such markets.</t>
  </si>
  <si>
    <t>As a foreign private issuer, we will not be subject to U.S. proxy rules and will be exempt from filing certain reports under the Securities Exchange Act of 1934.</t>
  </si>
  <si>
    <t>If we do not file or maintain a registration statement and no exemption from the Securities Act of 1933 (“Securities Act”) registration is available, U.S. holders of ADSs may be unable to exercise preemptive rights granted to our holders of Class B Shares underlying ADSs.</t>
  </si>
  <si>
    <t>Our status as a foreign private issuer allows us to follow alternate standards to the corporate governance standards of the NYSE, which may limit the protections afforded to investors.</t>
  </si>
  <si>
    <t>Changes in Argentine tax laws may adversely affect the tax treatment of our Class B Shares underlying ADSs or ADSs for transactions made until December 31, 2018.</t>
  </si>
  <si>
    <t>We are organized under the laws of Argentina and holders of the ADSs may find it difficult to enforce civil liabilities against us, our directors, officers and certain experts.</t>
  </si>
  <si>
    <t>Dollar-Cost Average on Telecom Argentina</t>
  </si>
  <si>
    <t>GuruFocus.com</t>
  </si>
  <si>
    <t>Hedge Funds Are Still Bearish On Telecom Argentina S.A. (TEO)</t>
  </si>
  <si>
    <t>Telecom Argentina says weak peso has delayed investment plans</t>
  </si>
  <si>
    <t>Reuters</t>
  </si>
  <si>
    <t xml:space="preserve">Telephone And Data Systems </t>
  </si>
  <si>
    <t>N/A</t>
  </si>
  <si>
    <t>+/- 0.299</t>
  </si>
  <si>
    <t>+/- 0.331</t>
  </si>
  <si>
    <t>12.34 - 23.39</t>
  </si>
  <si>
    <t>Morgan Stanley Inst Fd Inc-Frontier Markets Port</t>
  </si>
  <si>
    <t>iShares MSCI Frontier 100 ETF</t>
  </si>
  <si>
    <t>Harding, Loevner Funds, Inc-Frontier Emerging Markets Portfolio</t>
  </si>
  <si>
    <t>Global X Fds-Global X MSCI Argentina ETF</t>
  </si>
  <si>
    <t>Global Macro Capital Opportunities Portfolio</t>
  </si>
  <si>
    <t>Key Square Capital Management LLC</t>
  </si>
  <si>
    <t>Redwood Capital Management, LLC</t>
  </si>
  <si>
    <t>Oaktree Capital Management, LP</t>
  </si>
  <si>
    <t>JP Morgan Chase &amp; Company</t>
  </si>
  <si>
    <t>Millennium Management LLC</t>
  </si>
  <si>
    <t>Telecom Argentina SA</t>
  </si>
  <si>
    <t>Buenos Aires, Argentina</t>
  </si>
  <si>
    <t>https://hogares.telecom.com.ar</t>
  </si>
  <si>
    <t>Telecom Argentina SA engages in the provision of telecommunications services. The company offers fixed-line telecommunications, mobile telecommunications, other telephone-related services such as international long-distance and wholesale services, data transmission, information technology solutions outsourcing, and internet services. It operates through the Argentina and Other Abroad geographical segments. The company was founded on January 5, 1990 is headquartered in Buenos Aires, Argentina.</t>
  </si>
  <si>
    <t>TEO's EBITDA grows alongside revenue and operating expenses, showing yet again consistency for the past 10 years.</t>
  </si>
  <si>
    <t>The company experienced a significant increase in debt since 2015, and this number increased even more in 2018 in response to the merger with Cablevisión SA. However, TEO is still able to payoff its debt within 3 years in general using its cash at hand.</t>
  </si>
  <si>
    <t>Overall, TEO has a favorable revenue growth rate for the past 10 years. In 2018, TEO merged with Cablevisión SA (was acquired by Cablevisión SA), which boosted the company's revenue to a new level, showing positive sign of growth.</t>
  </si>
  <si>
    <t>TEO provides mobile, telephone, and broadband services</t>
  </si>
  <si>
    <t>TEO's customers include all parties from individuals to government and its customers are concentrated in both the North America and South America regions, especially in Argentina, Uruguay and USA.</t>
  </si>
  <si>
    <t>TEO provides various products and services to its customers including wireless devices and internet plans. Customers are able to choose from a variety of choices to best fit their needs.</t>
  </si>
  <si>
    <t xml:space="preserve">The company has a complex operation system with favorable growth. </t>
  </si>
  <si>
    <t>TEO operates based on its tremendous amount of assets including buildings, offices, heavy equipment, land, factories, and others.</t>
  </si>
  <si>
    <t>TEO is currently in a very innovative industry as technology improves year by year. There are threats from disruptions that could change the landscape of the competition.</t>
  </si>
  <si>
    <t>TEO's stock valuation is in a complex stage currently after the merger and is difficult to extract a correct valuation.</t>
  </si>
  <si>
    <t>TEO is in a highly competitive and mature market. Compare to AT&amp;T and Verizon, TEO has a smaller scale in terms of sales and customer base.</t>
  </si>
  <si>
    <t>TEO relies on strategic suppliers to provide equipment and materials in order for the company to expand its operations and businesses. One of its major suppliers is Huawei, and based on current regulations and policies, TEO may face certain risks.</t>
  </si>
  <si>
    <t>TEO's stock price grows for the past 10 years, however, as a result of the merger with Cablevisión SA, the company's stock price took a hit and dropped by more than half.</t>
  </si>
  <si>
    <t>TEO has an extremely well gross margin for the last 10 years of operation. The company's cost of revenue is usually on the lower side compared to its revenue.</t>
  </si>
  <si>
    <t>TEO's operating expenses generally follows its revenue growth pattern, showing great consistency over years. TEO's operating income is always increasing over the past 10 years, which is a good sign for this company.</t>
  </si>
  <si>
    <t xml:space="preserve">The company has cash with no particular changing pattern. Overall TEO's cash is more than its debt until 2016. TEO also has positive operating cash flows for the past 10 years, though its free cash flow is unstable due to multiple investments.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</si>
</sst>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4" formatCode="_(&quot;$&quot;* #,##0.00_);_(&quot;$&quot;* \(#,##0.00\);_(&quot;$&quot;* &quot;-&quot;??_);_(@_)"/>
    <numFmt numFmtId="164" formatCode="0.0%"/>
    <numFmt numFmtId="165" formatCode="0.0"/>
    <numFmt numFmtId="166" formatCode="mmmm&quot; &quot;d&quot;, &quot;yyyy"/>
    <numFmt numFmtId="167" formatCode="&quot;$&quot;#,##0"/>
    <numFmt numFmtId="168" formatCode="#,##0.0"/>
    <numFmt numFmtId="169" formatCode="&quot;$&quot;#,##0.00"/>
    <numFmt numFmtId="170" formatCode="yyyy\-mm"/>
    <numFmt numFmtId="171" formatCode="mmm&quot;-&quot;yy"/>
    <numFmt numFmtId="172" formatCode="d\ \-\ mmm"/>
    <numFmt numFmtId="173" formatCode="yyyy&quot;-&quot;mm"/>
    <numFmt numFmtId="174" formatCode="mm/dd/yyyy"/>
    <numFmt numFmtId="175" formatCode="[$$]#,##0.00"/>
    <numFmt numFmtId="176" formatCode="mmm\ d\,\ yyyy"/>
    <numFmt numFmtId="177" formatCode="[$-409]dd\-mmm\-yy;@"/>
    <numFmt numFmtId="178" formatCode="&quot;$&quot;#,##0.0"/>
    <numFmt numFmtId="179" formatCode="&quot;$&quot;#,##0.00;0;\-"/>
    <numFmt numFmtId="180" formatCode="&quot;$&quot;#,##0.00;0.00;\-"/>
    <numFmt numFmtId="181" formatCode="&quot;$&quot;#,##0.00;\-0.00;\-"/>
    <numFmt numFmtId="182" formatCode="[$-409]mmm\-yy;@"/>
    <numFmt numFmtId="183" formatCode="0;\-0;\-"/>
    <numFmt numFmtId="184" formatCode="yyyy"/>
  </numFmts>
  <fonts count="57">
    <font>
      <sz val="10"/>
      <color rgb="FF000000"/>
      <name val="Arial"/>
    </font>
    <font>
      <sz val="9"/>
      <name val="Verdana"/>
      <family val="2"/>
    </font>
    <font>
      <b/>
      <sz val="9"/>
      <color rgb="FF0000FF"/>
      <name val="Verdana"/>
      <family val="2"/>
    </font>
    <font>
      <b/>
      <sz val="9"/>
      <color rgb="FFFFFFFF"/>
      <name val="Verdana"/>
      <family val="2"/>
    </font>
    <font>
      <b/>
      <sz val="9"/>
      <color rgb="FF000000"/>
      <name val="Verdana"/>
      <family val="2"/>
    </font>
    <font>
      <sz val="9"/>
      <color rgb="FF0000FF"/>
      <name val="Verdana"/>
      <family val="2"/>
    </font>
    <font>
      <i/>
      <sz val="9"/>
      <color rgb="FF0000FF"/>
      <name val="Verdana"/>
      <family val="2"/>
    </font>
    <font>
      <b/>
      <u/>
      <sz val="9"/>
      <color rgb="FF0000FF"/>
      <name val="Verdana"/>
      <family val="2"/>
    </font>
    <font>
      <b/>
      <u/>
      <sz val="9"/>
      <color rgb="FF0000FF"/>
      <name val="Verdana"/>
      <family val="2"/>
    </font>
    <font>
      <sz val="10"/>
      <color rgb="FFFF0000"/>
      <name val="Arial"/>
      <family val="2"/>
    </font>
    <font>
      <b/>
      <sz val="10"/>
      <color rgb="FF000000"/>
      <name val="Arial"/>
      <family val="2"/>
    </font>
    <font>
      <b/>
      <u/>
      <sz val="10"/>
      <color rgb="FF000000"/>
      <name val="Arial"/>
      <family val="2"/>
    </font>
    <font>
      <sz val="10"/>
      <color rgb="FF000000"/>
      <name val="Arial"/>
      <family val="2"/>
    </font>
    <font>
      <b/>
      <sz val="10"/>
      <color rgb="FFFFFFFF"/>
      <name val="Arial"/>
      <family val="2"/>
    </font>
    <font>
      <sz val="10"/>
      <name val="Arial"/>
      <family val="2"/>
    </font>
    <font>
      <b/>
      <sz val="10"/>
      <name val="Arial"/>
      <family val="2"/>
    </font>
    <font>
      <i/>
      <sz val="10"/>
      <color rgb="FF000000"/>
      <name val="Arial"/>
      <family val="2"/>
    </font>
    <font>
      <b/>
      <sz val="10"/>
      <color rgb="FF0000FF"/>
      <name val="Arial"/>
      <family val="2"/>
    </font>
    <font>
      <u/>
      <sz val="10"/>
      <color rgb="FF000000"/>
      <name val="Arial"/>
      <family val="2"/>
    </font>
    <font>
      <b/>
      <u/>
      <sz val="10"/>
      <color rgb="FFFFFFFF"/>
      <name val="Arial"/>
      <family val="2"/>
    </font>
    <font>
      <sz val="10"/>
      <color rgb="FF0000FF"/>
      <name val="Arial"/>
      <family val="2"/>
    </font>
    <font>
      <b/>
      <u/>
      <sz val="10"/>
      <color rgb="FF0000FF"/>
      <name val="Arial"/>
      <family val="2"/>
    </font>
    <font>
      <b/>
      <i/>
      <sz val="10"/>
      <color rgb="FF999999"/>
      <name val="Arial"/>
      <family val="2"/>
    </font>
    <font>
      <i/>
      <sz val="10"/>
      <color rgb="FF999999"/>
      <name val="Arial"/>
      <family val="2"/>
    </font>
    <font>
      <b/>
      <i/>
      <sz val="10"/>
      <color rgb="FF000000"/>
      <name val="Arial"/>
      <family val="2"/>
    </font>
    <font>
      <sz val="10"/>
      <color rgb="FFFF0000"/>
      <name val="Arial"/>
      <family val="2"/>
    </font>
    <font>
      <i/>
      <sz val="10"/>
      <color rgb="FFFFFFFF"/>
      <name val="Arial"/>
      <family val="2"/>
    </font>
    <font>
      <b/>
      <sz val="11"/>
      <color rgb="FF000000"/>
      <name val="Verdana"/>
      <family val="2"/>
    </font>
    <font>
      <b/>
      <sz val="9"/>
      <color rgb="FF0000FF"/>
      <name val="Verdana"/>
      <family val="2"/>
    </font>
    <font>
      <sz val="9"/>
      <color rgb="FF0000FF"/>
      <name val="Verdana"/>
      <family val="2"/>
    </font>
    <font>
      <b/>
      <sz val="9"/>
      <color rgb="FFFFFFFF"/>
      <name val="Arial"/>
      <family val="2"/>
    </font>
    <font>
      <sz val="9"/>
      <color rgb="FF000000"/>
      <name val="Arial"/>
      <family val="2"/>
    </font>
    <font>
      <b/>
      <sz val="9"/>
      <name val="Arial"/>
      <family val="2"/>
    </font>
    <font>
      <b/>
      <i/>
      <sz val="9"/>
      <color rgb="FF000000"/>
      <name val="Arial"/>
      <family val="2"/>
    </font>
    <font>
      <sz val="9"/>
      <name val="Arial"/>
      <family val="2"/>
    </font>
    <font>
      <i/>
      <sz val="10"/>
      <name val="Arial"/>
      <family val="2"/>
    </font>
    <font>
      <i/>
      <sz val="10"/>
      <color rgb="FF0000FF"/>
      <name val="Arial"/>
      <family val="2"/>
    </font>
    <font>
      <sz val="10"/>
      <color rgb="FF000000"/>
      <name val="Verdana"/>
      <family val="2"/>
    </font>
    <font>
      <b/>
      <sz val="10"/>
      <name val="Verdana"/>
      <family val="2"/>
    </font>
    <font>
      <b/>
      <sz val="10"/>
      <color rgb="FF000000"/>
      <name val="Verdana"/>
      <family val="2"/>
    </font>
    <font>
      <b/>
      <u/>
      <sz val="10"/>
      <color rgb="FF0000FF"/>
      <name val="Verdana"/>
      <family val="2"/>
    </font>
    <font>
      <b/>
      <i/>
      <sz val="10"/>
      <name val="Arial"/>
      <family val="2"/>
    </font>
    <font>
      <b/>
      <sz val="10"/>
      <color rgb="FFFF0000"/>
      <name val="Arial"/>
      <family val="2"/>
    </font>
    <font>
      <b/>
      <u/>
      <sz val="10"/>
      <name val="Arial"/>
      <family val="2"/>
    </font>
    <font>
      <i/>
      <u/>
      <sz val="10"/>
      <name val="Arial"/>
      <family val="2"/>
    </font>
    <font>
      <u/>
      <sz val="10"/>
      <name val="Arial"/>
      <family val="2"/>
    </font>
    <font>
      <sz val="10"/>
      <color rgb="FFB7B7B7"/>
      <name val="Arial"/>
      <family val="2"/>
    </font>
    <font>
      <b/>
      <sz val="10"/>
      <color rgb="FFB7B7B7"/>
      <name val="Arial"/>
      <family val="2"/>
    </font>
    <font>
      <sz val="10"/>
      <color rgb="FF000000"/>
      <name val="Arial"/>
      <family val="2"/>
    </font>
    <font>
      <sz val="10"/>
      <color theme="1"/>
      <name val="Arial"/>
      <family val="2"/>
    </font>
    <font>
      <b/>
      <sz val="10"/>
      <color theme="1"/>
      <name val="Arial"/>
      <family val="2"/>
    </font>
    <font>
      <sz val="10"/>
      <color rgb="FF006600"/>
      <name val="Arial"/>
      <family val="2"/>
    </font>
    <font>
      <b/>
      <sz val="10"/>
      <color rgb="FF006600"/>
      <name val="Arial"/>
      <family val="2"/>
    </font>
    <font>
      <b/>
      <sz val="10"/>
      <color rgb="FF006600"/>
      <name val="Arial"/>
      <family val="2"/>
    </font>
    <font>
      <sz val="10"/>
      <color rgb="FF006600"/>
      <name val="Arial"/>
      <family val="2"/>
    </font>
    <font>
      <i/>
      <sz val="10"/>
      <color rgb="FF000000"/>
      <name val="Arial"/>
      <family val="2"/>
    </font>
    <font>
      <u/>
      <sz val="10"/>
      <color theme="10"/>
      <name val="Arial"/>
      <family val="2"/>
    </font>
  </fonts>
  <fills count="8">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980000"/>
        <bgColor rgb="FF980000"/>
      </patternFill>
    </fill>
    <fill>
      <patternFill patternType="solid">
        <fgColor rgb="FF002060"/>
        <bgColor rgb="FF000000"/>
      </patternFill>
    </fill>
    <fill>
      <patternFill patternType="solid">
        <fgColor theme="0"/>
        <bgColor rgb="FF000000"/>
      </patternFill>
    </fill>
    <fill>
      <patternFill patternType="solid">
        <fgColor theme="0" tint="-0.249977111117893"/>
        <bgColor indexed="64"/>
      </patternFill>
    </fill>
  </fills>
  <borders count="12">
    <border>
      <left/>
      <right/>
      <top/>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48" fillId="0" borderId="0" applyFont="0" applyFill="0" applyBorder="0" applyAlignment="0" applyProtection="0"/>
    <xf numFmtId="0" fontId="56" fillId="0" borderId="0" applyNumberFormat="0" applyFill="0" applyBorder="0" applyAlignment="0" applyProtection="0"/>
  </cellStyleXfs>
  <cellXfs count="317">
    <xf numFmtId="0" fontId="0" fillId="0" borderId="0" xfId="0" applyFont="1" applyAlignment="1"/>
    <xf numFmtId="0" fontId="1" fillId="0" borderId="0" xfId="0" applyFont="1"/>
    <xf numFmtId="0" fontId="3" fillId="3" borderId="0" xfId="0" applyFont="1" applyFill="1" applyAlignment="1"/>
    <xf numFmtId="0" fontId="5" fillId="0" borderId="0" xfId="0" applyFont="1"/>
    <xf numFmtId="0" fontId="4" fillId="0" borderId="0" xfId="0" applyFont="1" applyAlignment="1"/>
    <xf numFmtId="0" fontId="6" fillId="0" borderId="0" xfId="0" applyFont="1" applyAlignment="1">
      <alignment horizontal="left"/>
    </xf>
    <xf numFmtId="171" fontId="7" fillId="0" borderId="0" xfId="0" applyNumberFormat="1" applyFont="1" applyAlignment="1">
      <alignment horizontal="center"/>
    </xf>
    <xf numFmtId="171" fontId="8" fillId="0" borderId="0" xfId="0" applyNumberFormat="1" applyFont="1" applyAlignment="1">
      <alignment horizontal="center"/>
    </xf>
    <xf numFmtId="0" fontId="5" fillId="0" borderId="1" xfId="0" applyFont="1" applyBorder="1"/>
    <xf numFmtId="170" fontId="2" fillId="0" borderId="0" xfId="0" applyNumberFormat="1" applyFont="1" applyAlignment="1">
      <alignment horizontal="right"/>
    </xf>
    <xf numFmtId="0" fontId="2" fillId="0" borderId="0" xfId="0" applyFont="1" applyAlignment="1"/>
    <xf numFmtId="0" fontId="14" fillId="0" borderId="0" xfId="0" applyFont="1" applyAlignment="1">
      <alignment vertical="center"/>
    </xf>
    <xf numFmtId="0" fontId="12" fillId="0" borderId="0" xfId="0" applyFont="1" applyAlignment="1">
      <alignment vertical="center"/>
    </xf>
    <xf numFmtId="0" fontId="15" fillId="0" borderId="0" xfId="0" applyFont="1" applyAlignment="1">
      <alignment horizontal="center" vertical="center"/>
    </xf>
    <xf numFmtId="0" fontId="14" fillId="2" borderId="0" xfId="0" applyFont="1" applyFill="1" applyAlignment="1">
      <alignment vertical="center"/>
    </xf>
    <xf numFmtId="166" fontId="16" fillId="2" borderId="0" xfId="0" applyNumberFormat="1" applyFont="1" applyFill="1" applyAlignment="1">
      <alignment horizontal="left" vertical="center"/>
    </xf>
    <xf numFmtId="0" fontId="15" fillId="0" borderId="0" xfId="0" applyFont="1" applyAlignment="1">
      <alignment vertical="center"/>
    </xf>
    <xf numFmtId="167" fontId="17" fillId="0" borderId="0" xfId="0" applyNumberFormat="1" applyFont="1" applyAlignment="1">
      <alignment vertical="center"/>
    </xf>
    <xf numFmtId="0" fontId="18" fillId="2" borderId="0" xfId="0" applyFont="1" applyFill="1" applyAlignment="1">
      <alignment horizontal="left" vertical="center"/>
    </xf>
    <xf numFmtId="0" fontId="16" fillId="2" borderId="0" xfId="0" applyFont="1" applyFill="1" applyAlignment="1">
      <alignment horizontal="right" vertical="center"/>
    </xf>
    <xf numFmtId="0" fontId="19" fillId="2" borderId="0" xfId="0" applyFont="1" applyFill="1" applyAlignment="1">
      <alignment horizontal="right" vertical="center"/>
    </xf>
    <xf numFmtId="0" fontId="10" fillId="0" borderId="0" xfId="0" applyFont="1" applyAlignment="1">
      <alignment vertical="center"/>
    </xf>
    <xf numFmtId="0" fontId="12" fillId="0" borderId="0" xfId="0" applyFont="1" applyAlignment="1">
      <alignment vertical="center" wrapText="1"/>
    </xf>
    <xf numFmtId="0" fontId="15" fillId="2" borderId="0" xfId="0" applyFont="1" applyFill="1" applyAlignment="1">
      <alignment horizontal="center" vertical="center"/>
    </xf>
    <xf numFmtId="0" fontId="14" fillId="0" borderId="0" xfId="0" applyFont="1" applyAlignment="1">
      <alignment vertical="center" wrapText="1"/>
    </xf>
    <xf numFmtId="0" fontId="13" fillId="2" borderId="0" xfId="0" applyFont="1" applyFill="1" applyAlignment="1">
      <alignment horizontal="center" vertical="center"/>
    </xf>
    <xf numFmtId="0" fontId="22" fillId="0" borderId="0" xfId="0" applyFont="1" applyAlignment="1">
      <alignment vertical="center"/>
    </xf>
    <xf numFmtId="0" fontId="23" fillId="0" borderId="0" xfId="0" applyFont="1" applyAlignment="1">
      <alignment vertical="center"/>
    </xf>
    <xf numFmtId="10" fontId="24" fillId="2" borderId="0" xfId="0" applyNumberFormat="1" applyFont="1" applyFill="1" applyAlignment="1">
      <alignment horizontal="right" vertical="center"/>
    </xf>
    <xf numFmtId="0" fontId="11" fillId="0" borderId="0" xfId="0" applyFont="1" applyAlignment="1">
      <alignment vertical="center"/>
    </xf>
    <xf numFmtId="0" fontId="16" fillId="0" borderId="0" xfId="0" applyFont="1" applyAlignment="1">
      <alignment vertical="center"/>
    </xf>
    <xf numFmtId="10" fontId="16" fillId="2" borderId="0" xfId="0" applyNumberFormat="1" applyFont="1" applyFill="1" applyAlignment="1">
      <alignment horizontal="right" vertical="center"/>
    </xf>
    <xf numFmtId="0" fontId="10" fillId="0" borderId="0" xfId="0" applyFont="1" applyAlignment="1">
      <alignment horizontal="right" vertical="center"/>
    </xf>
    <xf numFmtId="0" fontId="25" fillId="2" borderId="0" xfId="0" applyFont="1" applyFill="1" applyAlignment="1">
      <alignment vertical="center"/>
    </xf>
    <xf numFmtId="0" fontId="26" fillId="2" borderId="0" xfId="0" applyFont="1" applyFill="1" applyAlignment="1">
      <alignment horizontal="right" vertical="center"/>
    </xf>
    <xf numFmtId="0" fontId="13" fillId="2" borderId="0" xfId="0" applyFont="1" applyFill="1" applyAlignment="1">
      <alignment vertical="center"/>
    </xf>
    <xf numFmtId="0" fontId="15" fillId="0" borderId="0" xfId="0" applyFont="1" applyAlignment="1">
      <alignment horizontal="left" vertical="center"/>
    </xf>
    <xf numFmtId="3" fontId="14" fillId="0" borderId="0" xfId="0" applyNumberFormat="1" applyFont="1" applyAlignment="1">
      <alignment vertical="center"/>
    </xf>
    <xf numFmtId="4" fontId="14" fillId="0" borderId="0" xfId="0" applyNumberFormat="1" applyFont="1" applyAlignment="1">
      <alignment vertical="center"/>
    </xf>
    <xf numFmtId="0" fontId="15" fillId="2" borderId="0" xfId="0" applyFont="1" applyFill="1" applyAlignment="1">
      <alignment vertical="center"/>
    </xf>
    <xf numFmtId="0" fontId="12" fillId="2" borderId="0" xfId="0" applyFont="1" applyFill="1" applyAlignment="1">
      <alignment vertical="center"/>
    </xf>
    <xf numFmtId="173" fontId="20" fillId="0" borderId="0" xfId="0" applyNumberFormat="1" applyFont="1" applyAlignment="1">
      <alignment horizontal="right" vertical="center"/>
    </xf>
    <xf numFmtId="0" fontId="20" fillId="0" borderId="0" xfId="0" applyFont="1" applyAlignment="1">
      <alignment horizontal="right" vertical="center"/>
    </xf>
    <xf numFmtId="169" fontId="12" fillId="0" borderId="0" xfId="0" applyNumberFormat="1" applyFont="1" applyAlignment="1">
      <alignment horizontal="right" vertical="center"/>
    </xf>
    <xf numFmtId="169" fontId="16" fillId="0" borderId="0" xfId="0" applyNumberFormat="1" applyFont="1" applyAlignment="1">
      <alignment horizontal="right" vertical="center"/>
    </xf>
    <xf numFmtId="0" fontId="10" fillId="0" borderId="0" xfId="0" applyFont="1" applyAlignment="1">
      <alignment horizontal="left" vertical="center"/>
    </xf>
    <xf numFmtId="0" fontId="14" fillId="0" borderId="0" xfId="0" applyFont="1" applyAlignment="1">
      <alignment horizontal="left" vertical="center"/>
    </xf>
    <xf numFmtId="169" fontId="17" fillId="0" borderId="0" xfId="0" applyNumberFormat="1" applyFont="1" applyAlignment="1">
      <alignment horizontal="right" vertical="center"/>
    </xf>
    <xf numFmtId="3" fontId="10" fillId="0" borderId="0" xfId="0" applyNumberFormat="1" applyFont="1" applyAlignment="1">
      <alignment horizontal="right" vertical="center" wrapText="1"/>
    </xf>
    <xf numFmtId="1" fontId="17" fillId="0" borderId="0" xfId="0" applyNumberFormat="1" applyFont="1" applyAlignment="1">
      <alignment vertical="center"/>
    </xf>
    <xf numFmtId="167" fontId="10" fillId="0" borderId="0" xfId="0" applyNumberFormat="1" applyFont="1" applyAlignment="1">
      <alignment vertical="center"/>
    </xf>
    <xf numFmtId="168" fontId="10" fillId="0" borderId="0" xfId="0" applyNumberFormat="1" applyFont="1" applyAlignment="1">
      <alignment vertical="center"/>
    </xf>
    <xf numFmtId="167" fontId="10" fillId="0" borderId="0" xfId="0" applyNumberFormat="1" applyFont="1" applyAlignment="1">
      <alignment vertical="center" wrapText="1"/>
    </xf>
    <xf numFmtId="172" fontId="10" fillId="0" borderId="0" xfId="0" applyNumberFormat="1" applyFont="1" applyAlignment="1">
      <alignment horizontal="right" vertical="center" wrapText="1"/>
    </xf>
    <xf numFmtId="169" fontId="10" fillId="0" borderId="0" xfId="0" applyNumberFormat="1" applyFont="1" applyAlignment="1">
      <alignment vertical="center"/>
    </xf>
    <xf numFmtId="4" fontId="10" fillId="0" borderId="0" xfId="0" applyNumberFormat="1" applyFont="1" applyAlignment="1">
      <alignment horizontal="right" vertical="center" wrapText="1"/>
    </xf>
    <xf numFmtId="10" fontId="15" fillId="0" borderId="0" xfId="0" applyNumberFormat="1" applyFont="1" applyAlignment="1">
      <alignment horizontal="right" vertical="center"/>
    </xf>
    <xf numFmtId="10" fontId="17" fillId="0" borderId="0" xfId="0" applyNumberFormat="1" applyFont="1" applyAlignment="1">
      <alignment horizontal="right" vertical="center"/>
    </xf>
    <xf numFmtId="0" fontId="13" fillId="5" borderId="0" xfId="0" applyFont="1" applyFill="1" applyAlignment="1">
      <alignment vertical="center"/>
    </xf>
    <xf numFmtId="0" fontId="19" fillId="5" borderId="0" xfId="0" applyFont="1" applyFill="1" applyAlignment="1">
      <alignment horizontal="right" vertical="center"/>
    </xf>
    <xf numFmtId="0" fontId="13" fillId="5" borderId="0" xfId="0" applyFont="1" applyFill="1" applyAlignment="1">
      <alignment horizontal="center" vertical="center"/>
    </xf>
    <xf numFmtId="0" fontId="27" fillId="0" borderId="0" xfId="0" applyFont="1" applyAlignment="1">
      <alignment horizontal="left" vertical="center" indent="1"/>
    </xf>
    <xf numFmtId="0" fontId="0" fillId="0" borderId="0" xfId="0" applyFont="1" applyAlignment="1"/>
    <xf numFmtId="0" fontId="12" fillId="0" borderId="0" xfId="0" applyFont="1" applyAlignment="1"/>
    <xf numFmtId="0" fontId="10" fillId="0" borderId="0" xfId="0" applyFont="1" applyAlignment="1"/>
    <xf numFmtId="0" fontId="0" fillId="0" borderId="0" xfId="0"/>
    <xf numFmtId="14" fontId="0" fillId="0" borderId="0" xfId="0" applyNumberFormat="1"/>
    <xf numFmtId="0" fontId="29" fillId="0" borderId="0" xfId="0" applyFont="1"/>
    <xf numFmtId="0" fontId="3" fillId="6" borderId="0" xfId="0" applyFont="1" applyFill="1" applyAlignment="1"/>
    <xf numFmtId="0" fontId="29" fillId="0" borderId="0" xfId="0" applyFont="1" applyAlignment="1"/>
    <xf numFmtId="171" fontId="29" fillId="0" borderId="0" xfId="0" applyNumberFormat="1" applyFont="1" applyAlignment="1"/>
    <xf numFmtId="0" fontId="17" fillId="0" borderId="0" xfId="0" applyFont="1"/>
    <xf numFmtId="0" fontId="10" fillId="0" borderId="0" xfId="0" applyFont="1" applyAlignment="1">
      <alignment vertical="center"/>
    </xf>
    <xf numFmtId="0" fontId="15"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vertical="center"/>
    </xf>
    <xf numFmtId="0" fontId="10" fillId="0" borderId="0" xfId="0" applyFont="1" applyAlignment="1">
      <alignment vertical="center"/>
    </xf>
    <xf numFmtId="0" fontId="15" fillId="0" borderId="0" xfId="0" applyFont="1" applyAlignment="1">
      <alignment horizontal="center" vertical="center"/>
    </xf>
    <xf numFmtId="0" fontId="30" fillId="3" borderId="0" xfId="0" applyFont="1" applyFill="1" applyAlignment="1">
      <alignment vertical="center"/>
    </xf>
    <xf numFmtId="0" fontId="30" fillId="3" borderId="0" xfId="0" applyFont="1" applyFill="1" applyAlignment="1">
      <alignment horizontal="center" vertical="center"/>
    </xf>
    <xf numFmtId="0" fontId="32" fillId="0" borderId="0" xfId="0" applyFont="1" applyAlignment="1">
      <alignment horizontal="center" vertical="center"/>
    </xf>
    <xf numFmtId="0" fontId="34" fillId="0" borderId="0" xfId="0" applyFont="1" applyAlignment="1">
      <alignment vertical="center"/>
    </xf>
    <xf numFmtId="0" fontId="34" fillId="0" borderId="0" xfId="0" applyFont="1" applyAlignment="1">
      <alignment vertical="center" wrapText="1"/>
    </xf>
    <xf numFmtId="0" fontId="16" fillId="0" borderId="0" xfId="0" applyFont="1" applyAlignment="1">
      <alignment horizontal="right" vertical="center"/>
    </xf>
    <xf numFmtId="0" fontId="13" fillId="3" borderId="0" xfId="0" applyFont="1" applyFill="1" applyAlignment="1">
      <alignment vertical="center"/>
    </xf>
    <xf numFmtId="0" fontId="13" fillId="3" borderId="0" xfId="0" applyFont="1" applyFill="1" applyAlignment="1">
      <alignment horizontal="center" vertical="center"/>
    </xf>
    <xf numFmtId="10" fontId="24" fillId="0" borderId="0" xfId="0" applyNumberFormat="1" applyFont="1" applyAlignment="1">
      <alignment horizontal="right" vertical="center"/>
    </xf>
    <xf numFmtId="3" fontId="12" fillId="0" borderId="0" xfId="0" applyNumberFormat="1" applyFont="1" applyAlignment="1">
      <alignment horizontal="right" vertical="center"/>
    </xf>
    <xf numFmtId="10" fontId="16" fillId="0" borderId="0" xfId="0" applyNumberFormat="1" applyFont="1" applyAlignment="1">
      <alignment horizontal="right" vertical="center"/>
    </xf>
    <xf numFmtId="0" fontId="35" fillId="0" borderId="0" xfId="0" applyFont="1" applyAlignment="1">
      <alignment vertical="center"/>
    </xf>
    <xf numFmtId="164" fontId="36" fillId="0" borderId="0" xfId="0" applyNumberFormat="1" applyFont="1" applyAlignment="1">
      <alignment vertical="center"/>
    </xf>
    <xf numFmtId="0" fontId="20" fillId="0" borderId="0" xfId="0" applyFont="1" applyAlignment="1">
      <alignment vertical="center"/>
    </xf>
    <xf numFmtId="164" fontId="16" fillId="0" borderId="0" xfId="0" applyNumberFormat="1" applyFont="1" applyAlignment="1">
      <alignment vertical="center"/>
    </xf>
    <xf numFmtId="0" fontId="25" fillId="0" borderId="0" xfId="0" applyFont="1" applyAlignment="1">
      <alignment vertical="center"/>
    </xf>
    <xf numFmtId="0" fontId="35" fillId="0" borderId="0" xfId="0" applyFont="1" applyAlignment="1">
      <alignment horizontal="right" vertical="center"/>
    </xf>
    <xf numFmtId="3" fontId="15" fillId="0" borderId="0" xfId="0" applyNumberFormat="1" applyFont="1" applyAlignment="1">
      <alignment vertical="center"/>
    </xf>
    <xf numFmtId="3" fontId="16" fillId="0" borderId="0" xfId="0" applyNumberFormat="1" applyFont="1" applyAlignment="1">
      <alignment vertical="center"/>
    </xf>
    <xf numFmtId="164" fontId="35" fillId="0" borderId="0" xfId="0" applyNumberFormat="1" applyFont="1" applyAlignment="1">
      <alignment vertical="center"/>
    </xf>
    <xf numFmtId="2" fontId="35" fillId="0" borderId="0" xfId="0" applyNumberFormat="1" applyFont="1" applyAlignment="1">
      <alignment horizontal="right" vertical="center"/>
    </xf>
    <xf numFmtId="164" fontId="35" fillId="0" borderId="0" xfId="0" applyNumberFormat="1" applyFont="1" applyAlignment="1">
      <alignment horizontal="right" vertical="center"/>
    </xf>
    <xf numFmtId="0" fontId="37" fillId="2" borderId="0" xfId="0" applyFont="1" applyFill="1" applyAlignment="1">
      <alignment vertical="center"/>
    </xf>
    <xf numFmtId="0" fontId="38" fillId="0" borderId="0" xfId="0" applyFont="1" applyAlignment="1">
      <alignment horizontal="center" vertical="center"/>
    </xf>
    <xf numFmtId="0" fontId="39" fillId="0" borderId="0" xfId="0" applyFont="1" applyAlignment="1">
      <alignment vertical="center"/>
    </xf>
    <xf numFmtId="171" fontId="40" fillId="0" borderId="0" xfId="0" applyNumberFormat="1" applyFont="1" applyAlignment="1">
      <alignment horizontal="center" vertical="center"/>
    </xf>
    <xf numFmtId="0" fontId="14" fillId="0" borderId="0" xfId="0" applyFont="1" applyAlignment="1"/>
    <xf numFmtId="0" fontId="15" fillId="0" borderId="0" xfId="0" applyFont="1" applyAlignment="1">
      <alignment horizontal="center"/>
    </xf>
    <xf numFmtId="0" fontId="13" fillId="3" borderId="0" xfId="0" applyFont="1" applyFill="1" applyAlignment="1"/>
    <xf numFmtId="0" fontId="13" fillId="3" borderId="0" xfId="0" applyFont="1" applyFill="1" applyAlignment="1">
      <alignment horizontal="center"/>
    </xf>
    <xf numFmtId="173" fontId="13" fillId="3" borderId="0" xfId="0" applyNumberFormat="1" applyFont="1" applyFill="1" applyAlignment="1">
      <alignment horizontal="center" vertical="center"/>
    </xf>
    <xf numFmtId="3" fontId="15" fillId="0" borderId="0" xfId="0" applyNumberFormat="1" applyFont="1" applyAlignment="1">
      <alignment horizontal="right" vertical="center"/>
    </xf>
    <xf numFmtId="10" fontId="41" fillId="0" borderId="0" xfId="0" applyNumberFormat="1" applyFont="1" applyAlignment="1">
      <alignment horizontal="right" vertical="center"/>
    </xf>
    <xf numFmtId="3" fontId="14" fillId="0" borderId="0" xfId="0" applyNumberFormat="1" applyFont="1" applyAlignment="1">
      <alignment horizontal="right" vertical="center"/>
    </xf>
    <xf numFmtId="10" fontId="14" fillId="0" borderId="0" xfId="0" applyNumberFormat="1" applyFont="1" applyAlignment="1">
      <alignment horizontal="right" vertical="center"/>
    </xf>
    <xf numFmtId="164" fontId="16" fillId="0" borderId="0" xfId="0" applyNumberFormat="1" applyFont="1" applyAlignment="1">
      <alignment horizontal="right" vertical="center"/>
    </xf>
    <xf numFmtId="0" fontId="42" fillId="0" borderId="0" xfId="0" applyFont="1" applyAlignment="1">
      <alignment vertical="center"/>
    </xf>
    <xf numFmtId="3" fontId="16" fillId="0" borderId="0" xfId="0" applyNumberFormat="1" applyFont="1" applyAlignment="1">
      <alignment horizontal="right" vertical="center"/>
    </xf>
    <xf numFmtId="171" fontId="21" fillId="0" borderId="0" xfId="0" applyNumberFormat="1" applyFont="1" applyAlignment="1">
      <alignment horizontal="center" vertical="center"/>
    </xf>
    <xf numFmtId="0" fontId="14" fillId="0" borderId="0" xfId="0" applyFont="1"/>
    <xf numFmtId="0" fontId="43" fillId="0" borderId="0" xfId="0" applyFont="1" applyAlignment="1">
      <alignment horizontal="center" vertical="center" wrapText="1"/>
    </xf>
    <xf numFmtId="0" fontId="43" fillId="0" borderId="0" xfId="0" applyFont="1" applyAlignment="1">
      <alignment vertical="center"/>
    </xf>
    <xf numFmtId="173" fontId="43" fillId="0" borderId="0" xfId="0" applyNumberFormat="1" applyFont="1" applyAlignment="1">
      <alignment horizontal="center" vertical="center"/>
    </xf>
    <xf numFmtId="0" fontId="43" fillId="0" borderId="0" xfId="0" applyFont="1" applyAlignment="1">
      <alignment horizontal="center" vertical="center"/>
    </xf>
    <xf numFmtId="169" fontId="20" fillId="0" borderId="0" xfId="0" applyNumberFormat="1" applyFont="1" applyAlignment="1">
      <alignment horizontal="right" vertical="center"/>
    </xf>
    <xf numFmtId="2" fontId="20" fillId="0" borderId="0" xfId="0" applyNumberFormat="1" applyFont="1" applyAlignment="1">
      <alignment horizontal="right" vertical="center"/>
    </xf>
    <xf numFmtId="10" fontId="35" fillId="0" borderId="0" xfId="0" applyNumberFormat="1" applyFont="1" applyAlignment="1">
      <alignment horizontal="right" vertical="center"/>
    </xf>
    <xf numFmtId="0" fontId="24" fillId="0" borderId="0" xfId="0" applyFont="1" applyAlignment="1">
      <alignment vertical="center"/>
    </xf>
    <xf numFmtId="169" fontId="24" fillId="0" borderId="0" xfId="0" applyNumberFormat="1" applyFont="1" applyAlignment="1">
      <alignment horizontal="right" vertical="center"/>
    </xf>
    <xf numFmtId="164" fontId="41" fillId="0" borderId="0" xfId="0" applyNumberFormat="1" applyFont="1" applyAlignment="1">
      <alignment horizontal="right" vertical="center"/>
    </xf>
    <xf numFmtId="2" fontId="14" fillId="0" borderId="0" xfId="0" applyNumberFormat="1" applyFont="1" applyAlignment="1">
      <alignment horizontal="right" vertical="center"/>
    </xf>
    <xf numFmtId="0" fontId="41" fillId="0" borderId="0" xfId="0" applyFont="1" applyAlignment="1">
      <alignment vertical="center"/>
    </xf>
    <xf numFmtId="165" fontId="10" fillId="0" borderId="0" xfId="0" applyNumberFormat="1" applyFont="1" applyAlignment="1">
      <alignment horizontal="right" vertical="center"/>
    </xf>
    <xf numFmtId="9" fontId="12" fillId="0" borderId="0" xfId="0" applyNumberFormat="1" applyFont="1" applyAlignment="1">
      <alignment horizontal="right" vertical="center"/>
    </xf>
    <xf numFmtId="3" fontId="14" fillId="0" borderId="2" xfId="0" applyNumberFormat="1" applyFont="1" applyBorder="1" applyAlignment="1">
      <alignment horizontal="center" vertical="center"/>
    </xf>
    <xf numFmtId="4" fontId="20" fillId="0" borderId="2" xfId="0" applyNumberFormat="1" applyFont="1" applyBorder="1" applyAlignment="1">
      <alignment horizontal="center" vertical="center"/>
    </xf>
    <xf numFmtId="4" fontId="20" fillId="0" borderId="0" xfId="0" applyNumberFormat="1" applyFont="1" applyAlignment="1">
      <alignment horizontal="center" vertical="center"/>
    </xf>
    <xf numFmtId="4" fontId="12" fillId="0" borderId="0" xfId="0" applyNumberFormat="1" applyFont="1" applyAlignment="1">
      <alignment horizontal="center" vertical="center"/>
    </xf>
    <xf numFmtId="4" fontId="15" fillId="0" borderId="0" xfId="0" applyNumberFormat="1" applyFont="1" applyAlignment="1">
      <alignment horizontal="center" vertical="center"/>
    </xf>
    <xf numFmtId="4" fontId="15" fillId="0" borderId="3" xfId="0" applyNumberFormat="1" applyFont="1" applyBorder="1" applyAlignment="1">
      <alignment horizontal="center" vertical="center"/>
    </xf>
    <xf numFmtId="4" fontId="15" fillId="0" borderId="4" xfId="0" applyNumberFormat="1" applyFont="1" applyBorder="1" applyAlignment="1">
      <alignment horizontal="center" vertical="center"/>
    </xf>
    <xf numFmtId="4" fontId="15" fillId="0" borderId="5" xfId="0" applyNumberFormat="1" applyFont="1" applyBorder="1" applyAlignment="1">
      <alignment horizontal="center" vertical="center"/>
    </xf>
    <xf numFmtId="4" fontId="15" fillId="0" borderId="6" xfId="0" applyNumberFormat="1" applyFont="1" applyBorder="1" applyAlignment="1">
      <alignment horizontal="center" vertical="center"/>
    </xf>
    <xf numFmtId="3" fontId="44" fillId="0" borderId="0" xfId="0" applyNumberFormat="1" applyFont="1" applyAlignment="1">
      <alignment horizontal="right" vertical="center"/>
    </xf>
    <xf numFmtId="0" fontId="15" fillId="0" borderId="0" xfId="0" applyFont="1" applyAlignment="1">
      <alignment horizontal="right" vertical="center"/>
    </xf>
    <xf numFmtId="169" fontId="14" fillId="0" borderId="0" xfId="0" applyNumberFormat="1" applyFont="1" applyAlignment="1">
      <alignment vertical="center"/>
    </xf>
    <xf numFmtId="2" fontId="14" fillId="0" borderId="0" xfId="0" applyNumberFormat="1" applyFont="1" applyAlignment="1">
      <alignment vertical="center"/>
    </xf>
    <xf numFmtId="0" fontId="12" fillId="0" borderId="0" xfId="0" applyFont="1" applyAlignment="1">
      <alignment vertical="center" wrapText="1"/>
    </xf>
    <xf numFmtId="173" fontId="13" fillId="4" borderId="0" xfId="0" applyNumberFormat="1" applyFont="1" applyFill="1" applyAlignment="1">
      <alignment horizontal="center" vertical="center"/>
    </xf>
    <xf numFmtId="3" fontId="25" fillId="0" borderId="0" xfId="0" applyNumberFormat="1" applyFont="1" applyAlignment="1">
      <alignment vertical="center"/>
    </xf>
    <xf numFmtId="10" fontId="20" fillId="0" borderId="0" xfId="0" applyNumberFormat="1" applyFont="1" applyAlignment="1">
      <alignment horizontal="right" vertical="center"/>
    </xf>
    <xf numFmtId="10" fontId="10" fillId="0" borderId="0" xfId="0" applyNumberFormat="1" applyFont="1" applyAlignment="1">
      <alignment horizontal="right" vertical="center"/>
    </xf>
    <xf numFmtId="4" fontId="12" fillId="0" borderId="0" xfId="0" applyNumberFormat="1" applyFont="1" applyAlignment="1">
      <alignment horizontal="right" vertical="center"/>
    </xf>
    <xf numFmtId="0" fontId="45"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4" fontId="14" fillId="0" borderId="0" xfId="0" applyNumberFormat="1" applyFont="1" applyAlignment="1">
      <alignment horizontal="right" vertical="center"/>
    </xf>
    <xf numFmtId="169" fontId="14" fillId="0" borderId="0" xfId="0" applyNumberFormat="1" applyFont="1" applyAlignment="1">
      <alignment horizontal="right" vertical="center"/>
    </xf>
    <xf numFmtId="175" fontId="14" fillId="0" borderId="0" xfId="0" applyNumberFormat="1" applyFont="1" applyAlignment="1">
      <alignment vertical="center"/>
    </xf>
    <xf numFmtId="2" fontId="17" fillId="0" borderId="0" xfId="0" applyNumberFormat="1" applyFont="1" applyAlignment="1">
      <alignment horizontal="right" vertical="center"/>
    </xf>
    <xf numFmtId="0" fontId="14" fillId="0" borderId="2" xfId="0" applyFont="1" applyBorder="1" applyAlignment="1">
      <alignment vertical="center"/>
    </xf>
    <xf numFmtId="0" fontId="14" fillId="0" borderId="0" xfId="0" quotePrefix="1" applyFont="1" applyAlignment="1">
      <alignment vertical="center"/>
    </xf>
    <xf numFmtId="165" fontId="20" fillId="0" borderId="0" xfId="0" applyNumberFormat="1" applyFont="1" applyAlignment="1">
      <alignment horizontal="right" vertical="center"/>
    </xf>
    <xf numFmtId="0" fontId="11" fillId="0" borderId="0" xfId="0" applyFont="1" applyAlignment="1"/>
    <xf numFmtId="1" fontId="20" fillId="0" borderId="0" xfId="0" applyNumberFormat="1" applyFont="1" applyAlignment="1">
      <alignment vertical="center"/>
    </xf>
    <xf numFmtId="168" fontId="12" fillId="0" borderId="0" xfId="0" applyNumberFormat="1" applyFont="1" applyAlignment="1">
      <alignment horizontal="right" vertical="center"/>
    </xf>
    <xf numFmtId="2" fontId="12" fillId="0" borderId="0" xfId="0" applyNumberFormat="1" applyFont="1" applyAlignment="1">
      <alignment horizontal="right" vertical="center"/>
    </xf>
    <xf numFmtId="0" fontId="12" fillId="0" borderId="0" xfId="0" applyFont="1" applyAlignment="1">
      <alignment horizontal="center" vertical="center"/>
    </xf>
    <xf numFmtId="14" fontId="12" fillId="0" borderId="0" xfId="0" applyNumberFormat="1" applyFont="1" applyAlignment="1">
      <alignment horizontal="right" vertical="center"/>
    </xf>
    <xf numFmtId="1" fontId="12" fillId="0" borderId="0" xfId="0" applyNumberFormat="1" applyFont="1" applyAlignment="1">
      <alignment vertical="center"/>
    </xf>
    <xf numFmtId="169" fontId="20" fillId="0" borderId="0" xfId="0" applyNumberFormat="1" applyFont="1" applyAlignment="1">
      <alignment vertical="center"/>
    </xf>
    <xf numFmtId="169" fontId="12" fillId="0" borderId="0" xfId="0" applyNumberFormat="1" applyFont="1" applyAlignment="1">
      <alignment vertical="center"/>
    </xf>
    <xf numFmtId="164" fontId="14" fillId="0" borderId="0" xfId="0" applyNumberFormat="1" applyFont="1" applyAlignment="1">
      <alignment vertical="center"/>
    </xf>
    <xf numFmtId="167" fontId="14" fillId="0" borderId="0" xfId="0" applyNumberFormat="1" applyFont="1" applyAlignment="1">
      <alignment vertical="center"/>
    </xf>
    <xf numFmtId="10" fontId="10" fillId="0" borderId="0" xfId="0" applyNumberFormat="1" applyFont="1" applyAlignment="1">
      <alignment vertical="center"/>
    </xf>
    <xf numFmtId="0" fontId="46" fillId="0" borderId="0" xfId="0" applyFont="1" applyAlignment="1"/>
    <xf numFmtId="165" fontId="14" fillId="0" borderId="0" xfId="0" applyNumberFormat="1" applyFont="1" applyAlignment="1">
      <alignment wrapText="1"/>
    </xf>
    <xf numFmtId="0" fontId="21" fillId="0" borderId="0" xfId="0" applyFont="1" applyAlignment="1">
      <alignment horizontal="center"/>
    </xf>
    <xf numFmtId="165" fontId="12" fillId="0" borderId="0" xfId="0" applyNumberFormat="1" applyFont="1" applyAlignment="1">
      <alignment horizontal="left" wrapText="1"/>
    </xf>
    <xf numFmtId="176" fontId="16" fillId="0" borderId="0" xfId="0" applyNumberFormat="1" applyFont="1" applyAlignment="1">
      <alignment horizontal="left"/>
    </xf>
    <xf numFmtId="0" fontId="16" fillId="0" borderId="0" xfId="0" applyFont="1" applyAlignment="1"/>
    <xf numFmtId="165" fontId="14" fillId="0" borderId="0" xfId="0" applyNumberFormat="1" applyFont="1" applyAlignment="1"/>
    <xf numFmtId="0" fontId="47" fillId="0" borderId="0" xfId="0" applyFont="1" applyAlignment="1"/>
    <xf numFmtId="167" fontId="15" fillId="0" borderId="0" xfId="0" applyNumberFormat="1" applyFont="1" applyAlignment="1"/>
    <xf numFmtId="167" fontId="15" fillId="0" borderId="0" xfId="0" applyNumberFormat="1" applyFont="1" applyAlignment="1">
      <alignment horizontal="right"/>
    </xf>
    <xf numFmtId="165" fontId="10" fillId="0" borderId="0" xfId="0" applyNumberFormat="1" applyFont="1" applyAlignment="1"/>
    <xf numFmtId="0" fontId="31" fillId="0" borderId="0" xfId="0" applyFont="1" applyAlignment="1">
      <alignment horizontal="left" vertical="top" wrapText="1"/>
    </xf>
    <xf numFmtId="0" fontId="31" fillId="0" borderId="0" xfId="0" applyFont="1" applyAlignment="1">
      <alignment vertical="top"/>
    </xf>
    <xf numFmtId="0" fontId="32" fillId="0" borderId="0" xfId="0" applyFont="1" applyAlignment="1">
      <alignment horizontal="center" vertical="center" wrapText="1"/>
    </xf>
    <xf numFmtId="0" fontId="33" fillId="0" borderId="0" xfId="0" applyFont="1" applyAlignment="1">
      <alignment horizontal="center" vertical="center" wrapText="1"/>
    </xf>
    <xf numFmtId="0" fontId="31" fillId="0" borderId="0" xfId="0" applyFont="1" applyAlignment="1">
      <alignment vertical="center" wrapText="1"/>
    </xf>
    <xf numFmtId="0" fontId="10" fillId="0" borderId="0" xfId="0" applyFont="1" applyAlignment="1">
      <alignment vertical="top"/>
    </xf>
    <xf numFmtId="0" fontId="15" fillId="0" borderId="0" xfId="0" applyFont="1" applyAlignment="1">
      <alignment horizontal="center" vertical="center"/>
    </xf>
    <xf numFmtId="0" fontId="12" fillId="0" borderId="0" xfId="0" applyFont="1" applyAlignment="1">
      <alignment vertical="center"/>
    </xf>
    <xf numFmtId="0" fontId="14" fillId="0" borderId="0" xfId="0" applyFont="1" applyAlignment="1">
      <alignment vertical="center"/>
    </xf>
    <xf numFmtId="0" fontId="50" fillId="7" borderId="0" xfId="0" applyFont="1" applyFill="1" applyAlignment="1">
      <alignment horizontal="center" vertical="center"/>
    </xf>
    <xf numFmtId="0" fontId="50" fillId="7" borderId="0" xfId="0" applyFont="1" applyFill="1" applyAlignment="1">
      <alignment horizontal="center" vertical="center" wrapText="1"/>
    </xf>
    <xf numFmtId="0" fontId="10" fillId="7" borderId="0" xfId="0" applyFont="1" applyFill="1" applyAlignment="1">
      <alignment horizontal="center" vertical="center" wrapText="1"/>
    </xf>
    <xf numFmtId="14" fontId="20" fillId="0" borderId="0" xfId="0" applyNumberFormat="1" applyFont="1" applyAlignment="1">
      <alignment horizontal="center" vertical="center"/>
    </xf>
    <xf numFmtId="3" fontId="20" fillId="0" borderId="0" xfId="0" applyNumberFormat="1" applyFont="1" applyAlignment="1">
      <alignment vertical="center"/>
    </xf>
    <xf numFmtId="181" fontId="12" fillId="0" borderId="0" xfId="0" applyNumberFormat="1" applyFont="1" applyAlignment="1">
      <alignment horizontal="right" vertical="center"/>
    </xf>
    <xf numFmtId="179" fontId="51" fillId="0" borderId="0" xfId="0" applyNumberFormat="1" applyFont="1" applyAlignment="1">
      <alignment horizontal="right" vertical="center"/>
    </xf>
    <xf numFmtId="0" fontId="14" fillId="0" borderId="0" xfId="0" applyFont="1" applyAlignment="1">
      <alignment horizontal="right" vertical="center"/>
    </xf>
    <xf numFmtId="10" fontId="14" fillId="0" borderId="0" xfId="0" applyNumberFormat="1" applyFont="1" applyAlignment="1">
      <alignment vertical="center"/>
    </xf>
    <xf numFmtId="180" fontId="12" fillId="0" borderId="0" xfId="0" applyNumberFormat="1" applyFont="1" applyAlignment="1">
      <alignment horizontal="right" vertical="center"/>
    </xf>
    <xf numFmtId="165" fontId="49" fillId="0" borderId="0" xfId="0" applyNumberFormat="1" applyFont="1" applyAlignment="1">
      <alignment horizontal="right" vertical="center"/>
    </xf>
    <xf numFmtId="164" fontId="20" fillId="0" borderId="0" xfId="0" applyNumberFormat="1" applyFont="1" applyAlignment="1">
      <alignment vertical="center"/>
    </xf>
    <xf numFmtId="0" fontId="51" fillId="0" borderId="0" xfId="0" applyFont="1" applyAlignment="1">
      <alignment vertical="center"/>
    </xf>
    <xf numFmtId="169" fontId="51" fillId="0" borderId="0" xfId="0" applyNumberFormat="1" applyFont="1" applyAlignment="1">
      <alignment vertical="center"/>
    </xf>
    <xf numFmtId="0" fontId="0" fillId="0" borderId="0" xfId="0" applyFont="1" applyAlignment="1">
      <alignment vertical="center"/>
    </xf>
    <xf numFmtId="182" fontId="13" fillId="5" borderId="0" xfId="0" applyNumberFormat="1" applyFont="1" applyFill="1" applyAlignment="1">
      <alignment horizontal="center" vertical="center"/>
    </xf>
    <xf numFmtId="0" fontId="12" fillId="0" borderId="0" xfId="0" applyFont="1" applyAlignment="1">
      <alignment vertical="top"/>
    </xf>
    <xf numFmtId="165" fontId="12" fillId="0" borderId="0" xfId="0" applyNumberFormat="1" applyFont="1" applyAlignment="1"/>
    <xf numFmtId="167" fontId="12" fillId="0" borderId="0" xfId="0" applyNumberFormat="1" applyFont="1" applyAlignment="1">
      <alignment vertical="center"/>
    </xf>
    <xf numFmtId="0" fontId="28" fillId="0" borderId="0" xfId="0" applyFont="1" applyAlignment="1"/>
    <xf numFmtId="167" fontId="10" fillId="0" borderId="0" xfId="1" applyNumberFormat="1" applyFont="1" applyAlignment="1"/>
    <xf numFmtId="3" fontId="17" fillId="0" borderId="0" xfId="0" applyNumberFormat="1" applyFont="1" applyAlignment="1">
      <alignment horizontal="right" vertical="center" wrapText="1"/>
    </xf>
    <xf numFmtId="0" fontId="13" fillId="5" borderId="0" xfId="0" applyFont="1" applyFill="1" applyAlignment="1">
      <alignment horizontal="left" vertical="center"/>
    </xf>
    <xf numFmtId="0" fontId="12" fillId="0" borderId="0" xfId="0" applyFont="1" applyAlignment="1">
      <alignment horizontal="left" vertical="center"/>
    </xf>
    <xf numFmtId="3" fontId="20" fillId="0" borderId="0" xfId="0" applyNumberFormat="1" applyFont="1" applyAlignment="1">
      <alignment horizontal="right" vertical="center"/>
    </xf>
    <xf numFmtId="164" fontId="20" fillId="0" borderId="0" xfId="0" applyNumberFormat="1" applyFont="1" applyAlignment="1">
      <alignment horizontal="center" vertical="center"/>
    </xf>
    <xf numFmtId="169" fontId="52" fillId="0" borderId="0" xfId="0" applyNumberFormat="1" applyFont="1" applyAlignment="1">
      <alignment vertical="center"/>
    </xf>
    <xf numFmtId="3" fontId="20" fillId="0" borderId="0" xfId="0" applyNumberFormat="1" applyFont="1" applyAlignment="1">
      <alignment horizontal="center" vertical="center"/>
    </xf>
    <xf numFmtId="164" fontId="12" fillId="0" borderId="0" xfId="0" applyNumberFormat="1" applyFont="1" applyAlignment="1">
      <alignment horizontal="center" vertical="center"/>
    </xf>
    <xf numFmtId="178" fontId="12" fillId="0" borderId="0" xfId="0" applyNumberFormat="1" applyFont="1" applyAlignment="1">
      <alignment vertical="center"/>
    </xf>
    <xf numFmtId="3" fontId="17" fillId="0" borderId="0" xfId="0" applyNumberFormat="1" applyFont="1" applyAlignment="1">
      <alignment horizontal="right" vertical="center"/>
    </xf>
    <xf numFmtId="177" fontId="20" fillId="0" borderId="0" xfId="0" applyNumberFormat="1" applyFont="1" applyAlignment="1">
      <alignment horizontal="center" vertical="center"/>
    </xf>
    <xf numFmtId="177" fontId="12" fillId="0" borderId="0" xfId="0" applyNumberFormat="1" applyFont="1" applyAlignment="1">
      <alignment horizontal="center" vertical="center"/>
    </xf>
    <xf numFmtId="164" fontId="49" fillId="0" borderId="0" xfId="0" applyNumberFormat="1" applyFont="1" applyAlignment="1">
      <alignment horizontal="center" vertical="center"/>
    </xf>
    <xf numFmtId="2" fontId="52" fillId="0" borderId="0" xfId="0" applyNumberFormat="1" applyFont="1" applyAlignment="1">
      <alignment vertical="center"/>
    </xf>
    <xf numFmtId="3" fontId="17" fillId="0" borderId="0" xfId="0" applyNumberFormat="1" applyFont="1" applyAlignment="1">
      <alignment horizontal="center" vertical="center"/>
    </xf>
    <xf numFmtId="167" fontId="53" fillId="0" borderId="0" xfId="0" applyNumberFormat="1" applyFont="1" applyAlignment="1">
      <alignment vertical="center"/>
    </xf>
    <xf numFmtId="3" fontId="53" fillId="0" borderId="0" xfId="0" applyNumberFormat="1" applyFont="1" applyAlignment="1">
      <alignment horizontal="right" vertical="center"/>
    </xf>
    <xf numFmtId="167" fontId="52" fillId="0" borderId="0" xfId="0" applyNumberFormat="1" applyFont="1" applyAlignment="1">
      <alignment vertical="center"/>
    </xf>
    <xf numFmtId="3" fontId="51" fillId="0" borderId="0" xfId="0" applyNumberFormat="1" applyFont="1" applyAlignment="1">
      <alignment horizontal="right" vertical="center"/>
    </xf>
    <xf numFmtId="3" fontId="51" fillId="0" borderId="0" xfId="0" applyNumberFormat="1" applyFont="1" applyAlignment="1">
      <alignment vertical="center"/>
    </xf>
    <xf numFmtId="3" fontId="49" fillId="0" borderId="0" xfId="0" applyNumberFormat="1" applyFont="1" applyAlignment="1">
      <alignment horizontal="right" vertical="center"/>
    </xf>
    <xf numFmtId="3" fontId="49" fillId="0" borderId="0" xfId="0" applyNumberFormat="1" applyFont="1" applyAlignment="1">
      <alignment vertical="center"/>
    </xf>
    <xf numFmtId="3" fontId="52" fillId="0" borderId="8" xfId="0" applyNumberFormat="1" applyFont="1" applyBorder="1" applyAlignment="1">
      <alignment horizontal="right" vertical="center"/>
    </xf>
    <xf numFmtId="3" fontId="52" fillId="0" borderId="2" xfId="0" applyNumberFormat="1" applyFont="1" applyBorder="1" applyAlignment="1">
      <alignment horizontal="right" vertical="center"/>
    </xf>
    <xf numFmtId="3" fontId="52" fillId="0" borderId="9" xfId="0" applyNumberFormat="1" applyFont="1" applyBorder="1" applyAlignment="1">
      <alignment horizontal="right" vertical="center"/>
    </xf>
    <xf numFmtId="167" fontId="52" fillId="0" borderId="8" xfId="0" applyNumberFormat="1" applyFont="1" applyBorder="1" applyAlignment="1">
      <alignment vertical="center"/>
    </xf>
    <xf numFmtId="167" fontId="51" fillId="0" borderId="8" xfId="0" applyNumberFormat="1" applyFont="1" applyBorder="1" applyAlignment="1">
      <alignment vertical="center"/>
    </xf>
    <xf numFmtId="3" fontId="52" fillId="0" borderId="7" xfId="0" applyNumberFormat="1" applyFont="1" applyBorder="1" applyAlignment="1">
      <alignment horizontal="right" vertical="center"/>
    </xf>
    <xf numFmtId="3" fontId="52" fillId="0" borderId="7" xfId="0" applyNumberFormat="1" applyFont="1" applyBorder="1" applyAlignment="1">
      <alignment vertical="center"/>
    </xf>
    <xf numFmtId="3" fontId="54" fillId="0" borderId="8" xfId="0" applyNumberFormat="1" applyFont="1" applyBorder="1" applyAlignment="1">
      <alignment horizontal="right" vertical="center"/>
    </xf>
    <xf numFmtId="3" fontId="54" fillId="0" borderId="9" xfId="0" applyNumberFormat="1" applyFont="1" applyBorder="1" applyAlignment="1">
      <alignment horizontal="right" vertical="center"/>
    </xf>
    <xf numFmtId="3" fontId="54" fillId="0" borderId="2" xfId="0" applyNumberFormat="1" applyFont="1" applyBorder="1" applyAlignment="1">
      <alignment horizontal="right" vertical="center"/>
    </xf>
    <xf numFmtId="169" fontId="51" fillId="0" borderId="0" xfId="0" applyNumberFormat="1" applyFont="1" applyAlignment="1">
      <alignment horizontal="right" vertical="center"/>
    </xf>
    <xf numFmtId="0" fontId="55" fillId="0" borderId="0" xfId="0" applyFont="1" applyAlignment="1">
      <alignment vertical="center"/>
    </xf>
    <xf numFmtId="169" fontId="52" fillId="0" borderId="0" xfId="0" applyNumberFormat="1" applyFont="1" applyAlignment="1">
      <alignment horizontal="right" vertical="center"/>
    </xf>
    <xf numFmtId="3" fontId="0" fillId="0" borderId="0" xfId="0" applyNumberFormat="1" applyFont="1" applyAlignment="1">
      <alignment horizontal="right" vertical="center"/>
    </xf>
    <xf numFmtId="183" fontId="35" fillId="0" borderId="0" xfId="0" applyNumberFormat="1" applyFont="1" applyAlignment="1">
      <alignment horizontal="right" vertical="center"/>
    </xf>
    <xf numFmtId="14" fontId="12" fillId="0" borderId="0" xfId="0" applyNumberFormat="1" applyFont="1" applyAlignment="1">
      <alignment vertical="center"/>
    </xf>
    <xf numFmtId="184" fontId="13" fillId="5" borderId="0" xfId="0" applyNumberFormat="1" applyFont="1" applyFill="1" applyAlignment="1">
      <alignment horizontal="center" vertical="center"/>
    </xf>
    <xf numFmtId="168" fontId="0" fillId="0" borderId="0" xfId="0" applyNumberFormat="1" applyFont="1" applyAlignment="1">
      <alignment horizontal="right" vertical="center"/>
    </xf>
    <xf numFmtId="164" fontId="14" fillId="0" borderId="0" xfId="0" applyNumberFormat="1" applyFont="1" applyAlignment="1">
      <alignment horizontal="right" vertical="center"/>
    </xf>
    <xf numFmtId="4" fontId="12" fillId="0" borderId="10" xfId="0" applyNumberFormat="1" applyFont="1" applyBorder="1" applyAlignment="1">
      <alignment horizontal="center" vertical="center"/>
    </xf>
    <xf numFmtId="4" fontId="12" fillId="0" borderId="11" xfId="0" applyNumberFormat="1" applyFont="1" applyBorder="1" applyAlignment="1">
      <alignment horizontal="center" vertical="center"/>
    </xf>
    <xf numFmtId="181" fontId="0" fillId="0" borderId="0" xfId="0" applyNumberFormat="1" applyFont="1" applyAlignment="1">
      <alignment horizontal="right" vertical="center"/>
    </xf>
    <xf numFmtId="168" fontId="20" fillId="0" borderId="2" xfId="0" applyNumberFormat="1" applyFont="1" applyBorder="1" applyAlignment="1">
      <alignment horizontal="center" vertical="center"/>
    </xf>
    <xf numFmtId="168" fontId="20" fillId="0" borderId="0" xfId="0" applyNumberFormat="1" applyFont="1" applyAlignment="1">
      <alignment horizontal="center" vertical="center"/>
    </xf>
    <xf numFmtId="0" fontId="12" fillId="0" borderId="0" xfId="0" applyFont="1" applyAlignment="1">
      <alignment vertical="center"/>
    </xf>
    <xf numFmtId="4" fontId="0" fillId="0" borderId="0" xfId="0" applyNumberFormat="1" applyFont="1" applyAlignment="1">
      <alignment horizontal="center" vertical="center"/>
    </xf>
    <xf numFmtId="167" fontId="25" fillId="0" borderId="0" xfId="0" applyNumberFormat="1" applyFont="1" applyAlignment="1">
      <alignment vertical="center"/>
    </xf>
    <xf numFmtId="1" fontId="17" fillId="0" borderId="0" xfId="0" applyNumberFormat="1" applyFont="1" applyAlignment="1">
      <alignment horizontal="left" vertical="center" wrapText="1"/>
    </xf>
    <xf numFmtId="168" fontId="51" fillId="0" borderId="0" xfId="0" applyNumberFormat="1" applyFont="1" applyAlignment="1">
      <alignment horizontal="right" vertical="center"/>
    </xf>
    <xf numFmtId="169" fontId="14" fillId="0" borderId="7" xfId="0" applyNumberFormat="1" applyFont="1" applyBorder="1" applyAlignment="1">
      <alignment horizontal="right" vertical="center"/>
    </xf>
    <xf numFmtId="164" fontId="10" fillId="0" borderId="0" xfId="0" applyNumberFormat="1" applyFont="1" applyAlignment="1">
      <alignment horizontal="right" vertical="center"/>
    </xf>
    <xf numFmtId="164" fontId="20" fillId="0" borderId="0" xfId="0" applyNumberFormat="1" applyFont="1" applyAlignment="1">
      <alignment horizontal="right" vertical="center"/>
    </xf>
    <xf numFmtId="167" fontId="20" fillId="0" borderId="0" xfId="0" applyNumberFormat="1" applyFont="1" applyAlignment="1"/>
    <xf numFmtId="0" fontId="51" fillId="0" borderId="0" xfId="0" applyFont="1" applyAlignment="1">
      <alignment horizontal="right" vertical="center"/>
    </xf>
    <xf numFmtId="0" fontId="12" fillId="0" borderId="0" xfId="0" applyFont="1" applyAlignment="1">
      <alignment vertical="center" wrapText="1"/>
    </xf>
    <xf numFmtId="3" fontId="5" fillId="0" borderId="0" xfId="0" applyNumberFormat="1" applyFont="1" applyAlignment="1"/>
    <xf numFmtId="0" fontId="5" fillId="0" borderId="0" xfId="0" applyFont="1" applyAlignment="1"/>
    <xf numFmtId="0" fontId="2" fillId="0" borderId="0" xfId="0" applyFont="1"/>
    <xf numFmtId="167" fontId="20" fillId="0" borderId="0" xfId="0" applyNumberFormat="1" applyFont="1" applyAlignment="1">
      <alignment vertical="center"/>
    </xf>
    <xf numFmtId="167" fontId="20" fillId="0" borderId="0" xfId="0" applyNumberFormat="1" applyFont="1" applyAlignment="1">
      <alignment horizontal="center"/>
    </xf>
    <xf numFmtId="0" fontId="14" fillId="0" borderId="0" xfId="0" applyFont="1" applyAlignment="1">
      <alignment vertical="center"/>
    </xf>
    <xf numFmtId="0" fontId="20" fillId="0" borderId="0" xfId="0" applyFont="1" applyAlignment="1">
      <alignment horizontal="center"/>
    </xf>
    <xf numFmtId="10" fontId="17" fillId="0" borderId="0" xfId="0" applyNumberFormat="1" applyFont="1" applyFill="1" applyAlignment="1">
      <alignment vertical="center" wrapText="1"/>
    </xf>
    <xf numFmtId="0" fontId="56" fillId="0" borderId="0" xfId="2" applyAlignment="1">
      <alignment horizontal="center"/>
    </xf>
    <xf numFmtId="0" fontId="11" fillId="0" borderId="2" xfId="0" applyFont="1" applyBorder="1" applyAlignment="1"/>
    <xf numFmtId="176" fontId="16" fillId="0" borderId="2" xfId="0" applyNumberFormat="1" applyFont="1" applyBorder="1" applyAlignment="1">
      <alignment horizontal="left"/>
    </xf>
    <xf numFmtId="0" fontId="12" fillId="0" borderId="2" xfId="0" applyFont="1" applyBorder="1" applyAlignment="1"/>
    <xf numFmtId="0" fontId="56" fillId="0" borderId="2" xfId="2" applyBorder="1" applyAlignment="1">
      <alignment horizontal="center"/>
    </xf>
    <xf numFmtId="165" fontId="12" fillId="0" borderId="2" xfId="0" applyNumberFormat="1" applyFont="1" applyBorder="1" applyAlignment="1">
      <alignment horizontal="left" wrapText="1"/>
    </xf>
    <xf numFmtId="165" fontId="14" fillId="0" borderId="2" xfId="0" applyNumberFormat="1" applyFont="1" applyBorder="1" applyAlignment="1">
      <alignment wrapText="1"/>
    </xf>
    <xf numFmtId="0" fontId="21" fillId="0" borderId="2" xfId="0" applyFont="1" applyBorder="1" applyAlignment="1">
      <alignment horizontal="center"/>
    </xf>
    <xf numFmtId="0" fontId="12" fillId="0" borderId="0" xfId="0" applyFont="1" applyAlignment="1"/>
    <xf numFmtId="0" fontId="56" fillId="0" borderId="0" xfId="2" applyAlignment="1">
      <alignment horizontal="right" vertical="center" wrapText="1"/>
    </xf>
    <xf numFmtId="0" fontId="12" fillId="0" borderId="0" xfId="0" applyFont="1" applyAlignment="1">
      <alignment vertical="center" wrapText="1"/>
    </xf>
    <xf numFmtId="0" fontId="12" fillId="0" borderId="0" xfId="0" applyFont="1" applyAlignment="1"/>
    <xf numFmtId="0" fontId="56" fillId="0" borderId="0" xfId="2" applyAlignment="1">
      <alignment vertical="center"/>
    </xf>
    <xf numFmtId="2" fontId="12" fillId="0" borderId="0" xfId="0" applyNumberFormat="1" applyFont="1" applyAlignment="1">
      <alignment vertical="center"/>
    </xf>
    <xf numFmtId="167" fontId="52" fillId="0" borderId="0" xfId="0" applyNumberFormat="1" applyFont="1" applyFill="1" applyAlignment="1">
      <alignment vertical="center"/>
    </xf>
    <xf numFmtId="4" fontId="20" fillId="0" borderId="2" xfId="0" applyNumberFormat="1" applyFont="1" applyFill="1" applyBorder="1" applyAlignment="1">
      <alignment horizontal="center" vertical="center"/>
    </xf>
    <xf numFmtId="10" fontId="20" fillId="0" borderId="0" xfId="0" applyNumberFormat="1" applyFont="1" applyAlignment="1">
      <alignment horizontal="right" vertical="center" wrapText="1"/>
    </xf>
    <xf numFmtId="2" fontId="17" fillId="0" borderId="0" xfId="0" applyNumberFormat="1" applyFont="1" applyFill="1" applyAlignment="1">
      <alignment vertical="center"/>
    </xf>
    <xf numFmtId="0" fontId="15" fillId="0" borderId="0" xfId="0" applyFont="1" applyAlignment="1">
      <alignment horizontal="center" vertical="center"/>
    </xf>
    <xf numFmtId="0" fontId="12" fillId="0" borderId="0" xfId="0" applyFont="1" applyAlignment="1">
      <alignment vertical="center"/>
    </xf>
    <xf numFmtId="0" fontId="12" fillId="0" borderId="2" xfId="0" applyFont="1" applyBorder="1" applyAlignment="1">
      <alignment horizontal="left" vertical="top" wrapText="1"/>
    </xf>
    <xf numFmtId="0" fontId="0" fillId="0" borderId="0" xfId="0" applyFont="1" applyAlignment="1">
      <alignment vertical="center"/>
    </xf>
    <xf numFmtId="0" fontId="14" fillId="0" borderId="2" xfId="0" applyFont="1" applyBorder="1" applyAlignment="1">
      <alignment horizontal="center" vertical="center"/>
    </xf>
    <xf numFmtId="0" fontId="12" fillId="0" borderId="2" xfId="0" applyFont="1" applyBorder="1" applyAlignment="1">
      <alignment vertical="center"/>
    </xf>
    <xf numFmtId="0" fontId="43" fillId="0" borderId="0" xfId="0" applyFont="1" applyAlignment="1">
      <alignment horizontal="center" vertical="center" wrapText="1"/>
    </xf>
    <xf numFmtId="0" fontId="35" fillId="0" borderId="0" xfId="0" applyFont="1" applyAlignment="1">
      <alignment horizontal="center" vertical="center" wrapText="1"/>
    </xf>
    <xf numFmtId="0" fontId="12" fillId="0" borderId="0" xfId="0" applyFont="1" applyAlignment="1">
      <alignment vertical="center" wrapText="1"/>
    </xf>
    <xf numFmtId="0" fontId="14" fillId="0" borderId="0" xfId="0" applyFont="1" applyAlignment="1">
      <alignment vertical="center"/>
    </xf>
    <xf numFmtId="0" fontId="45" fillId="0" borderId="0" xfId="0" applyFont="1" applyAlignment="1">
      <alignment horizontal="center" vertical="center"/>
    </xf>
    <xf numFmtId="174" fontId="36" fillId="0" borderId="2" xfId="0" applyNumberFormat="1" applyFont="1" applyBorder="1" applyAlignment="1">
      <alignment horizontal="center" vertical="center"/>
    </xf>
    <xf numFmtId="0" fontId="43" fillId="0" borderId="2" xfId="0" applyFont="1" applyBorder="1" applyAlignment="1">
      <alignment horizontal="center" vertical="center"/>
    </xf>
    <xf numFmtId="0" fontId="12" fillId="0" borderId="0" xfId="0" applyFont="1" applyAlignment="1">
      <alignment horizontal="left" wrapText="1"/>
    </xf>
    <xf numFmtId="0" fontId="12" fillId="0" borderId="0" xfId="0" applyFont="1" applyAlignment="1"/>
    <xf numFmtId="0" fontId="31" fillId="0" borderId="0" xfId="0" applyFont="1" applyAlignment="1">
      <alignment horizontal="center" vertical="top" wrapText="1"/>
    </xf>
    <xf numFmtId="164" fontId="12" fillId="0" borderId="0" xfId="0" applyNumberFormat="1" applyFont="1" applyFill="1" applyAlignment="1">
      <alignment horizontal="right" vertical="center"/>
    </xf>
    <xf numFmtId="164" fontId="51" fillId="0" borderId="0" xfId="0" applyNumberFormat="1" applyFont="1" applyFill="1" applyAlignment="1">
      <alignment horizontal="right" vertical="center"/>
    </xf>
    <xf numFmtId="3" fontId="51" fillId="0" borderId="0" xfId="0" applyNumberFormat="1" applyFont="1" applyFill="1" applyAlignment="1">
      <alignment vertical="center"/>
    </xf>
    <xf numFmtId="3" fontId="52" fillId="0" borderId="0" xfId="0" applyNumberFormat="1" applyFont="1" applyFill="1" applyAlignment="1">
      <alignment vertic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0000FF"/>
      <color rgb="FF0066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Stock Price</a:t>
            </a:r>
          </a:p>
        </c:rich>
      </c:tx>
      <c:overlay val="0"/>
    </c:title>
    <c:autoTitleDeleted val="0"/>
    <c:plotArea>
      <c:layout>
        <c:manualLayout>
          <c:layoutTarget val="inner"/>
          <c:xMode val="edge"/>
          <c:yMode val="edge"/>
          <c:x val="5.8889841650212896E-2"/>
          <c:y val="0.11310249022844553"/>
          <c:w val="0.91368011540253657"/>
          <c:h val="0.69421840241589916"/>
        </c:manualLayout>
      </c:layout>
      <c:lineChart>
        <c:grouping val="standard"/>
        <c:varyColors val="1"/>
        <c:ser>
          <c:idx val="0"/>
          <c:order val="0"/>
          <c:tx>
            <c:strRef>
              <c:f>'Stock Price Data'!$F$2</c:f>
              <c:strCache>
                <c:ptCount val="1"/>
                <c:pt idx="0">
                  <c:v>Adj Close</c:v>
                </c:pt>
              </c:strCache>
            </c:strRef>
          </c:tx>
          <c:spPr>
            <a:ln w="19050" cmpd="sng">
              <a:solidFill>
                <a:srgbClr val="002060"/>
              </a:solidFill>
              <a:prstDash val="sysDot"/>
            </a:ln>
          </c:spPr>
          <c:marker>
            <c:symbol val="none"/>
          </c:marker>
          <c:cat>
            <c:numRef>
              <c:f>'Stock Price Data'!$A$3:$A$2519</c:f>
              <c:numCache>
                <c:formatCode>m/d/yy</c:formatCode>
                <c:ptCount val="2517"/>
                <c:pt idx="0">
                  <c:v>39973</c:v>
                </c:pt>
                <c:pt idx="1">
                  <c:v>39974</c:v>
                </c:pt>
                <c:pt idx="2">
                  <c:v>39975</c:v>
                </c:pt>
                <c:pt idx="3">
                  <c:v>39976</c:v>
                </c:pt>
                <c:pt idx="4">
                  <c:v>39979</c:v>
                </c:pt>
                <c:pt idx="5">
                  <c:v>39980</c:v>
                </c:pt>
                <c:pt idx="6">
                  <c:v>39981</c:v>
                </c:pt>
                <c:pt idx="7">
                  <c:v>39982</c:v>
                </c:pt>
                <c:pt idx="8">
                  <c:v>39983</c:v>
                </c:pt>
                <c:pt idx="9">
                  <c:v>39986</c:v>
                </c:pt>
                <c:pt idx="10">
                  <c:v>39987</c:v>
                </c:pt>
                <c:pt idx="11">
                  <c:v>39988</c:v>
                </c:pt>
                <c:pt idx="12">
                  <c:v>39989</c:v>
                </c:pt>
                <c:pt idx="13">
                  <c:v>39990</c:v>
                </c:pt>
                <c:pt idx="14">
                  <c:v>39993</c:v>
                </c:pt>
                <c:pt idx="15">
                  <c:v>39994</c:v>
                </c:pt>
                <c:pt idx="16">
                  <c:v>39995</c:v>
                </c:pt>
                <c:pt idx="17">
                  <c:v>39996</c:v>
                </c:pt>
                <c:pt idx="18">
                  <c:v>40000</c:v>
                </c:pt>
                <c:pt idx="19">
                  <c:v>40001</c:v>
                </c:pt>
                <c:pt idx="20">
                  <c:v>40002</c:v>
                </c:pt>
                <c:pt idx="21">
                  <c:v>40003</c:v>
                </c:pt>
                <c:pt idx="22">
                  <c:v>40004</c:v>
                </c:pt>
                <c:pt idx="23">
                  <c:v>40007</c:v>
                </c:pt>
                <c:pt idx="24">
                  <c:v>40008</c:v>
                </c:pt>
                <c:pt idx="25">
                  <c:v>40009</c:v>
                </c:pt>
                <c:pt idx="26">
                  <c:v>40010</c:v>
                </c:pt>
                <c:pt idx="27">
                  <c:v>40011</c:v>
                </c:pt>
                <c:pt idx="28">
                  <c:v>40014</c:v>
                </c:pt>
                <c:pt idx="29">
                  <c:v>40015</c:v>
                </c:pt>
                <c:pt idx="30">
                  <c:v>40016</c:v>
                </c:pt>
                <c:pt idx="31">
                  <c:v>40017</c:v>
                </c:pt>
                <c:pt idx="32">
                  <c:v>40018</c:v>
                </c:pt>
                <c:pt idx="33">
                  <c:v>40021</c:v>
                </c:pt>
                <c:pt idx="34">
                  <c:v>40022</c:v>
                </c:pt>
                <c:pt idx="35">
                  <c:v>40023</c:v>
                </c:pt>
                <c:pt idx="36">
                  <c:v>40024</c:v>
                </c:pt>
                <c:pt idx="37">
                  <c:v>40025</c:v>
                </c:pt>
                <c:pt idx="38">
                  <c:v>40028</c:v>
                </c:pt>
                <c:pt idx="39">
                  <c:v>40029</c:v>
                </c:pt>
                <c:pt idx="40">
                  <c:v>40030</c:v>
                </c:pt>
                <c:pt idx="41">
                  <c:v>40031</c:v>
                </c:pt>
                <c:pt idx="42">
                  <c:v>40032</c:v>
                </c:pt>
                <c:pt idx="43">
                  <c:v>40035</c:v>
                </c:pt>
                <c:pt idx="44">
                  <c:v>40036</c:v>
                </c:pt>
                <c:pt idx="45">
                  <c:v>40037</c:v>
                </c:pt>
                <c:pt idx="46">
                  <c:v>40038</c:v>
                </c:pt>
                <c:pt idx="47">
                  <c:v>40039</c:v>
                </c:pt>
                <c:pt idx="48">
                  <c:v>40042</c:v>
                </c:pt>
                <c:pt idx="49">
                  <c:v>40043</c:v>
                </c:pt>
                <c:pt idx="50">
                  <c:v>40044</c:v>
                </c:pt>
                <c:pt idx="51">
                  <c:v>40045</c:v>
                </c:pt>
                <c:pt idx="52">
                  <c:v>40046</c:v>
                </c:pt>
                <c:pt idx="53">
                  <c:v>40049</c:v>
                </c:pt>
                <c:pt idx="54">
                  <c:v>40050</c:v>
                </c:pt>
                <c:pt idx="55">
                  <c:v>40051</c:v>
                </c:pt>
                <c:pt idx="56">
                  <c:v>40052</c:v>
                </c:pt>
                <c:pt idx="57">
                  <c:v>40053</c:v>
                </c:pt>
                <c:pt idx="58">
                  <c:v>40056</c:v>
                </c:pt>
                <c:pt idx="59">
                  <c:v>40057</c:v>
                </c:pt>
                <c:pt idx="60">
                  <c:v>40058</c:v>
                </c:pt>
                <c:pt idx="61">
                  <c:v>40059</c:v>
                </c:pt>
                <c:pt idx="62">
                  <c:v>40060</c:v>
                </c:pt>
                <c:pt idx="63">
                  <c:v>40064</c:v>
                </c:pt>
                <c:pt idx="64">
                  <c:v>40065</c:v>
                </c:pt>
                <c:pt idx="65">
                  <c:v>40066</c:v>
                </c:pt>
                <c:pt idx="66">
                  <c:v>40067</c:v>
                </c:pt>
                <c:pt idx="67">
                  <c:v>40070</c:v>
                </c:pt>
                <c:pt idx="68">
                  <c:v>40071</c:v>
                </c:pt>
                <c:pt idx="69">
                  <c:v>40072</c:v>
                </c:pt>
                <c:pt idx="70">
                  <c:v>40073</c:v>
                </c:pt>
                <c:pt idx="71">
                  <c:v>40074</c:v>
                </c:pt>
                <c:pt idx="72">
                  <c:v>40077</c:v>
                </c:pt>
                <c:pt idx="73">
                  <c:v>40078</c:v>
                </c:pt>
                <c:pt idx="74">
                  <c:v>40079</c:v>
                </c:pt>
                <c:pt idx="75">
                  <c:v>40080</c:v>
                </c:pt>
                <c:pt idx="76">
                  <c:v>40081</c:v>
                </c:pt>
                <c:pt idx="77">
                  <c:v>40084</c:v>
                </c:pt>
                <c:pt idx="78">
                  <c:v>40085</c:v>
                </c:pt>
                <c:pt idx="79">
                  <c:v>40086</c:v>
                </c:pt>
                <c:pt idx="80">
                  <c:v>40087</c:v>
                </c:pt>
                <c:pt idx="81">
                  <c:v>40088</c:v>
                </c:pt>
                <c:pt idx="82">
                  <c:v>40091</c:v>
                </c:pt>
                <c:pt idx="83">
                  <c:v>40092</c:v>
                </c:pt>
                <c:pt idx="84">
                  <c:v>40093</c:v>
                </c:pt>
                <c:pt idx="85">
                  <c:v>40094</c:v>
                </c:pt>
                <c:pt idx="86">
                  <c:v>40095</c:v>
                </c:pt>
                <c:pt idx="87">
                  <c:v>40098</c:v>
                </c:pt>
                <c:pt idx="88">
                  <c:v>40099</c:v>
                </c:pt>
                <c:pt idx="89">
                  <c:v>40100</c:v>
                </c:pt>
                <c:pt idx="90">
                  <c:v>40101</c:v>
                </c:pt>
                <c:pt idx="91">
                  <c:v>40102</c:v>
                </c:pt>
                <c:pt idx="92">
                  <c:v>40105</c:v>
                </c:pt>
                <c:pt idx="93">
                  <c:v>40106</c:v>
                </c:pt>
                <c:pt idx="94">
                  <c:v>40107</c:v>
                </c:pt>
                <c:pt idx="95">
                  <c:v>40108</c:v>
                </c:pt>
                <c:pt idx="96">
                  <c:v>40109</c:v>
                </c:pt>
                <c:pt idx="97">
                  <c:v>40112</c:v>
                </c:pt>
                <c:pt idx="98">
                  <c:v>40113</c:v>
                </c:pt>
                <c:pt idx="99">
                  <c:v>40114</c:v>
                </c:pt>
                <c:pt idx="100">
                  <c:v>40115</c:v>
                </c:pt>
                <c:pt idx="101">
                  <c:v>40116</c:v>
                </c:pt>
                <c:pt idx="102">
                  <c:v>40119</c:v>
                </c:pt>
                <c:pt idx="103">
                  <c:v>40120</c:v>
                </c:pt>
                <c:pt idx="104">
                  <c:v>40121</c:v>
                </c:pt>
                <c:pt idx="105">
                  <c:v>40122</c:v>
                </c:pt>
                <c:pt idx="106">
                  <c:v>40123</c:v>
                </c:pt>
                <c:pt idx="107">
                  <c:v>40126</c:v>
                </c:pt>
                <c:pt idx="108">
                  <c:v>40127</c:v>
                </c:pt>
                <c:pt idx="109">
                  <c:v>40128</c:v>
                </c:pt>
                <c:pt idx="110">
                  <c:v>40129</c:v>
                </c:pt>
                <c:pt idx="111">
                  <c:v>40130</c:v>
                </c:pt>
                <c:pt idx="112">
                  <c:v>40133</c:v>
                </c:pt>
                <c:pt idx="113">
                  <c:v>40134</c:v>
                </c:pt>
                <c:pt idx="114">
                  <c:v>40135</c:v>
                </c:pt>
                <c:pt idx="115">
                  <c:v>40136</c:v>
                </c:pt>
                <c:pt idx="116">
                  <c:v>40137</c:v>
                </c:pt>
                <c:pt idx="117">
                  <c:v>40140</c:v>
                </c:pt>
                <c:pt idx="118">
                  <c:v>40141</c:v>
                </c:pt>
                <c:pt idx="119">
                  <c:v>40142</c:v>
                </c:pt>
                <c:pt idx="120">
                  <c:v>40144</c:v>
                </c:pt>
                <c:pt idx="121">
                  <c:v>40147</c:v>
                </c:pt>
                <c:pt idx="122">
                  <c:v>40148</c:v>
                </c:pt>
                <c:pt idx="123">
                  <c:v>40149</c:v>
                </c:pt>
                <c:pt idx="124">
                  <c:v>40150</c:v>
                </c:pt>
                <c:pt idx="125">
                  <c:v>40151</c:v>
                </c:pt>
                <c:pt idx="126">
                  <c:v>40154</c:v>
                </c:pt>
                <c:pt idx="127">
                  <c:v>40155</c:v>
                </c:pt>
                <c:pt idx="128">
                  <c:v>40156</c:v>
                </c:pt>
                <c:pt idx="129">
                  <c:v>40157</c:v>
                </c:pt>
                <c:pt idx="130">
                  <c:v>40158</c:v>
                </c:pt>
                <c:pt idx="131">
                  <c:v>40161</c:v>
                </c:pt>
                <c:pt idx="132">
                  <c:v>40162</c:v>
                </c:pt>
                <c:pt idx="133">
                  <c:v>40163</c:v>
                </c:pt>
                <c:pt idx="134">
                  <c:v>40164</c:v>
                </c:pt>
                <c:pt idx="135">
                  <c:v>40165</c:v>
                </c:pt>
                <c:pt idx="136">
                  <c:v>40168</c:v>
                </c:pt>
                <c:pt idx="137">
                  <c:v>40169</c:v>
                </c:pt>
                <c:pt idx="138">
                  <c:v>40170</c:v>
                </c:pt>
                <c:pt idx="139">
                  <c:v>40171</c:v>
                </c:pt>
                <c:pt idx="140">
                  <c:v>40175</c:v>
                </c:pt>
                <c:pt idx="141">
                  <c:v>40176</c:v>
                </c:pt>
                <c:pt idx="142">
                  <c:v>40177</c:v>
                </c:pt>
                <c:pt idx="143">
                  <c:v>40178</c:v>
                </c:pt>
                <c:pt idx="144">
                  <c:v>40182</c:v>
                </c:pt>
                <c:pt idx="145">
                  <c:v>40183</c:v>
                </c:pt>
                <c:pt idx="146">
                  <c:v>40184</c:v>
                </c:pt>
                <c:pt idx="147">
                  <c:v>40185</c:v>
                </c:pt>
                <c:pt idx="148">
                  <c:v>40186</c:v>
                </c:pt>
                <c:pt idx="149">
                  <c:v>40189</c:v>
                </c:pt>
                <c:pt idx="150">
                  <c:v>40190</c:v>
                </c:pt>
                <c:pt idx="151">
                  <c:v>40191</c:v>
                </c:pt>
                <c:pt idx="152">
                  <c:v>40192</c:v>
                </c:pt>
                <c:pt idx="153">
                  <c:v>40193</c:v>
                </c:pt>
                <c:pt idx="154">
                  <c:v>40197</c:v>
                </c:pt>
                <c:pt idx="155">
                  <c:v>40198</c:v>
                </c:pt>
                <c:pt idx="156">
                  <c:v>40199</c:v>
                </c:pt>
                <c:pt idx="157">
                  <c:v>40200</c:v>
                </c:pt>
                <c:pt idx="158">
                  <c:v>40203</c:v>
                </c:pt>
                <c:pt idx="159">
                  <c:v>40204</c:v>
                </c:pt>
                <c:pt idx="160">
                  <c:v>40205</c:v>
                </c:pt>
                <c:pt idx="161">
                  <c:v>40206</c:v>
                </c:pt>
                <c:pt idx="162">
                  <c:v>40207</c:v>
                </c:pt>
                <c:pt idx="163">
                  <c:v>40210</c:v>
                </c:pt>
                <c:pt idx="164">
                  <c:v>40211</c:v>
                </c:pt>
                <c:pt idx="165">
                  <c:v>40212</c:v>
                </c:pt>
                <c:pt idx="166">
                  <c:v>40213</c:v>
                </c:pt>
                <c:pt idx="167">
                  <c:v>40214</c:v>
                </c:pt>
                <c:pt idx="168">
                  <c:v>40217</c:v>
                </c:pt>
                <c:pt idx="169">
                  <c:v>40218</c:v>
                </c:pt>
                <c:pt idx="170">
                  <c:v>40219</c:v>
                </c:pt>
                <c:pt idx="171">
                  <c:v>40220</c:v>
                </c:pt>
                <c:pt idx="172">
                  <c:v>40221</c:v>
                </c:pt>
                <c:pt idx="173">
                  <c:v>40225</c:v>
                </c:pt>
                <c:pt idx="174">
                  <c:v>40226</c:v>
                </c:pt>
                <c:pt idx="175">
                  <c:v>40227</c:v>
                </c:pt>
                <c:pt idx="176">
                  <c:v>40228</c:v>
                </c:pt>
                <c:pt idx="177">
                  <c:v>40231</c:v>
                </c:pt>
                <c:pt idx="178">
                  <c:v>40232</c:v>
                </c:pt>
                <c:pt idx="179">
                  <c:v>40233</c:v>
                </c:pt>
                <c:pt idx="180">
                  <c:v>40234</c:v>
                </c:pt>
                <c:pt idx="181">
                  <c:v>40235</c:v>
                </c:pt>
                <c:pt idx="182">
                  <c:v>40238</c:v>
                </c:pt>
                <c:pt idx="183">
                  <c:v>40239</c:v>
                </c:pt>
                <c:pt idx="184">
                  <c:v>40240</c:v>
                </c:pt>
                <c:pt idx="185">
                  <c:v>40241</c:v>
                </c:pt>
                <c:pt idx="186">
                  <c:v>40242</c:v>
                </c:pt>
                <c:pt idx="187">
                  <c:v>40245</c:v>
                </c:pt>
                <c:pt idx="188">
                  <c:v>40246</c:v>
                </c:pt>
                <c:pt idx="189">
                  <c:v>40247</c:v>
                </c:pt>
                <c:pt idx="190">
                  <c:v>40248</c:v>
                </c:pt>
                <c:pt idx="191">
                  <c:v>40249</c:v>
                </c:pt>
                <c:pt idx="192">
                  <c:v>40252</c:v>
                </c:pt>
                <c:pt idx="193">
                  <c:v>40253</c:v>
                </c:pt>
                <c:pt idx="194">
                  <c:v>40254</c:v>
                </c:pt>
                <c:pt idx="195">
                  <c:v>40255</c:v>
                </c:pt>
                <c:pt idx="196">
                  <c:v>40256</c:v>
                </c:pt>
                <c:pt idx="197">
                  <c:v>40259</c:v>
                </c:pt>
                <c:pt idx="198">
                  <c:v>40260</c:v>
                </c:pt>
                <c:pt idx="199">
                  <c:v>40261</c:v>
                </c:pt>
                <c:pt idx="200">
                  <c:v>40262</c:v>
                </c:pt>
                <c:pt idx="201">
                  <c:v>40263</c:v>
                </c:pt>
                <c:pt idx="202">
                  <c:v>40266</c:v>
                </c:pt>
                <c:pt idx="203">
                  <c:v>40267</c:v>
                </c:pt>
                <c:pt idx="204">
                  <c:v>40268</c:v>
                </c:pt>
                <c:pt idx="205">
                  <c:v>40269</c:v>
                </c:pt>
                <c:pt idx="206">
                  <c:v>40273</c:v>
                </c:pt>
                <c:pt idx="207">
                  <c:v>40274</c:v>
                </c:pt>
                <c:pt idx="208">
                  <c:v>40275</c:v>
                </c:pt>
                <c:pt idx="209">
                  <c:v>40276</c:v>
                </c:pt>
                <c:pt idx="210">
                  <c:v>40277</c:v>
                </c:pt>
                <c:pt idx="211">
                  <c:v>40280</c:v>
                </c:pt>
                <c:pt idx="212">
                  <c:v>40281</c:v>
                </c:pt>
                <c:pt idx="213">
                  <c:v>40282</c:v>
                </c:pt>
                <c:pt idx="214">
                  <c:v>40283</c:v>
                </c:pt>
                <c:pt idx="215">
                  <c:v>40284</c:v>
                </c:pt>
                <c:pt idx="216">
                  <c:v>40287</c:v>
                </c:pt>
                <c:pt idx="217">
                  <c:v>40288</c:v>
                </c:pt>
                <c:pt idx="218">
                  <c:v>40289</c:v>
                </c:pt>
                <c:pt idx="219">
                  <c:v>40290</c:v>
                </c:pt>
                <c:pt idx="220">
                  <c:v>40291</c:v>
                </c:pt>
                <c:pt idx="221">
                  <c:v>40294</c:v>
                </c:pt>
                <c:pt idx="222">
                  <c:v>40295</c:v>
                </c:pt>
                <c:pt idx="223">
                  <c:v>40296</c:v>
                </c:pt>
                <c:pt idx="224">
                  <c:v>40297</c:v>
                </c:pt>
                <c:pt idx="225">
                  <c:v>40298</c:v>
                </c:pt>
                <c:pt idx="226">
                  <c:v>40301</c:v>
                </c:pt>
                <c:pt idx="227">
                  <c:v>40302</c:v>
                </c:pt>
                <c:pt idx="228">
                  <c:v>40303</c:v>
                </c:pt>
                <c:pt idx="229">
                  <c:v>40304</c:v>
                </c:pt>
                <c:pt idx="230">
                  <c:v>40305</c:v>
                </c:pt>
                <c:pt idx="231">
                  <c:v>40308</c:v>
                </c:pt>
                <c:pt idx="232">
                  <c:v>40309</c:v>
                </c:pt>
                <c:pt idx="233">
                  <c:v>40310</c:v>
                </c:pt>
                <c:pt idx="234">
                  <c:v>40311</c:v>
                </c:pt>
                <c:pt idx="235">
                  <c:v>40312</c:v>
                </c:pt>
                <c:pt idx="236">
                  <c:v>40315</c:v>
                </c:pt>
                <c:pt idx="237">
                  <c:v>40316</c:v>
                </c:pt>
                <c:pt idx="238">
                  <c:v>40317</c:v>
                </c:pt>
                <c:pt idx="239">
                  <c:v>40318</c:v>
                </c:pt>
                <c:pt idx="240">
                  <c:v>40319</c:v>
                </c:pt>
                <c:pt idx="241">
                  <c:v>40322</c:v>
                </c:pt>
                <c:pt idx="242">
                  <c:v>40323</c:v>
                </c:pt>
                <c:pt idx="243">
                  <c:v>40324</c:v>
                </c:pt>
                <c:pt idx="244">
                  <c:v>40325</c:v>
                </c:pt>
                <c:pt idx="245">
                  <c:v>40326</c:v>
                </c:pt>
                <c:pt idx="246">
                  <c:v>40330</c:v>
                </c:pt>
                <c:pt idx="247">
                  <c:v>40331</c:v>
                </c:pt>
                <c:pt idx="248">
                  <c:v>40332</c:v>
                </c:pt>
                <c:pt idx="249">
                  <c:v>40333</c:v>
                </c:pt>
                <c:pt idx="250">
                  <c:v>40336</c:v>
                </c:pt>
                <c:pt idx="251">
                  <c:v>40337</c:v>
                </c:pt>
                <c:pt idx="252">
                  <c:v>40338</c:v>
                </c:pt>
                <c:pt idx="253">
                  <c:v>40339</c:v>
                </c:pt>
                <c:pt idx="254">
                  <c:v>40340</c:v>
                </c:pt>
                <c:pt idx="255">
                  <c:v>40343</c:v>
                </c:pt>
                <c:pt idx="256">
                  <c:v>40344</c:v>
                </c:pt>
                <c:pt idx="257">
                  <c:v>40345</c:v>
                </c:pt>
                <c:pt idx="258">
                  <c:v>40346</c:v>
                </c:pt>
                <c:pt idx="259">
                  <c:v>40347</c:v>
                </c:pt>
                <c:pt idx="260">
                  <c:v>40350</c:v>
                </c:pt>
                <c:pt idx="261">
                  <c:v>40351</c:v>
                </c:pt>
                <c:pt idx="262">
                  <c:v>40352</c:v>
                </c:pt>
                <c:pt idx="263">
                  <c:v>40353</c:v>
                </c:pt>
                <c:pt idx="264">
                  <c:v>40354</c:v>
                </c:pt>
                <c:pt idx="265">
                  <c:v>40357</c:v>
                </c:pt>
                <c:pt idx="266">
                  <c:v>40358</c:v>
                </c:pt>
                <c:pt idx="267">
                  <c:v>40359</c:v>
                </c:pt>
                <c:pt idx="268">
                  <c:v>40360</c:v>
                </c:pt>
                <c:pt idx="269">
                  <c:v>40361</c:v>
                </c:pt>
                <c:pt idx="270">
                  <c:v>40365</c:v>
                </c:pt>
                <c:pt idx="271">
                  <c:v>40366</c:v>
                </c:pt>
                <c:pt idx="272">
                  <c:v>40367</c:v>
                </c:pt>
                <c:pt idx="273">
                  <c:v>40368</c:v>
                </c:pt>
                <c:pt idx="274">
                  <c:v>40371</c:v>
                </c:pt>
                <c:pt idx="275">
                  <c:v>40372</c:v>
                </c:pt>
                <c:pt idx="276">
                  <c:v>40373</c:v>
                </c:pt>
                <c:pt idx="277">
                  <c:v>40374</c:v>
                </c:pt>
                <c:pt idx="278">
                  <c:v>40375</c:v>
                </c:pt>
                <c:pt idx="279">
                  <c:v>40378</c:v>
                </c:pt>
                <c:pt idx="280">
                  <c:v>40379</c:v>
                </c:pt>
                <c:pt idx="281">
                  <c:v>40380</c:v>
                </c:pt>
                <c:pt idx="282">
                  <c:v>40381</c:v>
                </c:pt>
                <c:pt idx="283">
                  <c:v>40382</c:v>
                </c:pt>
                <c:pt idx="284">
                  <c:v>40385</c:v>
                </c:pt>
                <c:pt idx="285">
                  <c:v>40386</c:v>
                </c:pt>
                <c:pt idx="286">
                  <c:v>40387</c:v>
                </c:pt>
                <c:pt idx="287">
                  <c:v>40388</c:v>
                </c:pt>
                <c:pt idx="288">
                  <c:v>40389</c:v>
                </c:pt>
                <c:pt idx="289">
                  <c:v>40392</c:v>
                </c:pt>
                <c:pt idx="290">
                  <c:v>40393</c:v>
                </c:pt>
                <c:pt idx="291">
                  <c:v>40394</c:v>
                </c:pt>
                <c:pt idx="292">
                  <c:v>40395</c:v>
                </c:pt>
                <c:pt idx="293">
                  <c:v>40396</c:v>
                </c:pt>
                <c:pt idx="294">
                  <c:v>40399</c:v>
                </c:pt>
                <c:pt idx="295">
                  <c:v>40400</c:v>
                </c:pt>
                <c:pt idx="296">
                  <c:v>40401</c:v>
                </c:pt>
                <c:pt idx="297">
                  <c:v>40402</c:v>
                </c:pt>
                <c:pt idx="298">
                  <c:v>40403</c:v>
                </c:pt>
                <c:pt idx="299">
                  <c:v>40406</c:v>
                </c:pt>
                <c:pt idx="300">
                  <c:v>40407</c:v>
                </c:pt>
                <c:pt idx="301">
                  <c:v>40408</c:v>
                </c:pt>
                <c:pt idx="302">
                  <c:v>40409</c:v>
                </c:pt>
                <c:pt idx="303">
                  <c:v>40410</c:v>
                </c:pt>
                <c:pt idx="304">
                  <c:v>40413</c:v>
                </c:pt>
                <c:pt idx="305">
                  <c:v>40414</c:v>
                </c:pt>
                <c:pt idx="306">
                  <c:v>40415</c:v>
                </c:pt>
                <c:pt idx="307">
                  <c:v>40416</c:v>
                </c:pt>
                <c:pt idx="308">
                  <c:v>40417</c:v>
                </c:pt>
                <c:pt idx="309">
                  <c:v>40420</c:v>
                </c:pt>
                <c:pt idx="310">
                  <c:v>40421</c:v>
                </c:pt>
                <c:pt idx="311">
                  <c:v>40422</c:v>
                </c:pt>
                <c:pt idx="312">
                  <c:v>40423</c:v>
                </c:pt>
                <c:pt idx="313">
                  <c:v>40424</c:v>
                </c:pt>
                <c:pt idx="314">
                  <c:v>40428</c:v>
                </c:pt>
                <c:pt idx="315">
                  <c:v>40429</c:v>
                </c:pt>
                <c:pt idx="316">
                  <c:v>40430</c:v>
                </c:pt>
                <c:pt idx="317">
                  <c:v>40431</c:v>
                </c:pt>
                <c:pt idx="318">
                  <c:v>40434</c:v>
                </c:pt>
                <c:pt idx="319">
                  <c:v>40435</c:v>
                </c:pt>
                <c:pt idx="320">
                  <c:v>40436</c:v>
                </c:pt>
                <c:pt idx="321">
                  <c:v>40437</c:v>
                </c:pt>
                <c:pt idx="322">
                  <c:v>40438</c:v>
                </c:pt>
                <c:pt idx="323">
                  <c:v>40441</c:v>
                </c:pt>
                <c:pt idx="324">
                  <c:v>40442</c:v>
                </c:pt>
                <c:pt idx="325">
                  <c:v>40443</c:v>
                </c:pt>
                <c:pt idx="326">
                  <c:v>40444</c:v>
                </c:pt>
                <c:pt idx="327">
                  <c:v>40445</c:v>
                </c:pt>
                <c:pt idx="328">
                  <c:v>40448</c:v>
                </c:pt>
                <c:pt idx="329">
                  <c:v>40449</c:v>
                </c:pt>
                <c:pt idx="330">
                  <c:v>40450</c:v>
                </c:pt>
                <c:pt idx="331">
                  <c:v>40451</c:v>
                </c:pt>
                <c:pt idx="332">
                  <c:v>40452</c:v>
                </c:pt>
                <c:pt idx="333">
                  <c:v>40455</c:v>
                </c:pt>
                <c:pt idx="334">
                  <c:v>40456</c:v>
                </c:pt>
                <c:pt idx="335">
                  <c:v>40457</c:v>
                </c:pt>
                <c:pt idx="336">
                  <c:v>40458</c:v>
                </c:pt>
                <c:pt idx="337">
                  <c:v>40459</c:v>
                </c:pt>
                <c:pt idx="338">
                  <c:v>40462</c:v>
                </c:pt>
                <c:pt idx="339">
                  <c:v>40463</c:v>
                </c:pt>
                <c:pt idx="340">
                  <c:v>40464</c:v>
                </c:pt>
                <c:pt idx="341">
                  <c:v>40465</c:v>
                </c:pt>
                <c:pt idx="342">
                  <c:v>40466</c:v>
                </c:pt>
                <c:pt idx="343">
                  <c:v>40469</c:v>
                </c:pt>
                <c:pt idx="344">
                  <c:v>40470</c:v>
                </c:pt>
                <c:pt idx="345">
                  <c:v>40471</c:v>
                </c:pt>
                <c:pt idx="346">
                  <c:v>40472</c:v>
                </c:pt>
                <c:pt idx="347">
                  <c:v>40473</c:v>
                </c:pt>
                <c:pt idx="348">
                  <c:v>40476</c:v>
                </c:pt>
                <c:pt idx="349">
                  <c:v>40477</c:v>
                </c:pt>
                <c:pt idx="350">
                  <c:v>40478</c:v>
                </c:pt>
                <c:pt idx="351">
                  <c:v>40479</c:v>
                </c:pt>
                <c:pt idx="352">
                  <c:v>40480</c:v>
                </c:pt>
                <c:pt idx="353">
                  <c:v>40483</c:v>
                </c:pt>
                <c:pt idx="354">
                  <c:v>40484</c:v>
                </c:pt>
                <c:pt idx="355">
                  <c:v>40485</c:v>
                </c:pt>
                <c:pt idx="356">
                  <c:v>40486</c:v>
                </c:pt>
                <c:pt idx="357">
                  <c:v>40487</c:v>
                </c:pt>
                <c:pt idx="358">
                  <c:v>40490</c:v>
                </c:pt>
                <c:pt idx="359">
                  <c:v>40491</c:v>
                </c:pt>
                <c:pt idx="360">
                  <c:v>40492</c:v>
                </c:pt>
                <c:pt idx="361">
                  <c:v>40493</c:v>
                </c:pt>
                <c:pt idx="362">
                  <c:v>40494</c:v>
                </c:pt>
                <c:pt idx="363">
                  <c:v>40497</c:v>
                </c:pt>
                <c:pt idx="364">
                  <c:v>40498</c:v>
                </c:pt>
                <c:pt idx="365">
                  <c:v>40499</c:v>
                </c:pt>
                <c:pt idx="366">
                  <c:v>40500</c:v>
                </c:pt>
                <c:pt idx="367">
                  <c:v>40501</c:v>
                </c:pt>
                <c:pt idx="368">
                  <c:v>40504</c:v>
                </c:pt>
                <c:pt idx="369">
                  <c:v>40505</c:v>
                </c:pt>
                <c:pt idx="370">
                  <c:v>40506</c:v>
                </c:pt>
                <c:pt idx="371">
                  <c:v>40508</c:v>
                </c:pt>
                <c:pt idx="372">
                  <c:v>40511</c:v>
                </c:pt>
                <c:pt idx="373">
                  <c:v>40512</c:v>
                </c:pt>
                <c:pt idx="374">
                  <c:v>40513</c:v>
                </c:pt>
                <c:pt idx="375">
                  <c:v>40514</c:v>
                </c:pt>
                <c:pt idx="376">
                  <c:v>40515</c:v>
                </c:pt>
                <c:pt idx="377">
                  <c:v>40518</c:v>
                </c:pt>
                <c:pt idx="378">
                  <c:v>40519</c:v>
                </c:pt>
                <c:pt idx="379">
                  <c:v>40520</c:v>
                </c:pt>
                <c:pt idx="380">
                  <c:v>40521</c:v>
                </c:pt>
                <c:pt idx="381">
                  <c:v>40522</c:v>
                </c:pt>
                <c:pt idx="382">
                  <c:v>40525</c:v>
                </c:pt>
                <c:pt idx="383">
                  <c:v>40526</c:v>
                </c:pt>
                <c:pt idx="384">
                  <c:v>40527</c:v>
                </c:pt>
                <c:pt idx="385">
                  <c:v>40528</c:v>
                </c:pt>
                <c:pt idx="386">
                  <c:v>40529</c:v>
                </c:pt>
                <c:pt idx="387">
                  <c:v>40532</c:v>
                </c:pt>
                <c:pt idx="388">
                  <c:v>40533</c:v>
                </c:pt>
                <c:pt idx="389">
                  <c:v>40534</c:v>
                </c:pt>
                <c:pt idx="390">
                  <c:v>40535</c:v>
                </c:pt>
                <c:pt idx="391">
                  <c:v>40539</c:v>
                </c:pt>
                <c:pt idx="392">
                  <c:v>40540</c:v>
                </c:pt>
                <c:pt idx="393">
                  <c:v>40541</c:v>
                </c:pt>
                <c:pt idx="394">
                  <c:v>40542</c:v>
                </c:pt>
                <c:pt idx="395">
                  <c:v>40543</c:v>
                </c:pt>
                <c:pt idx="396">
                  <c:v>40546</c:v>
                </c:pt>
                <c:pt idx="397">
                  <c:v>40547</c:v>
                </c:pt>
                <c:pt idx="398">
                  <c:v>40548</c:v>
                </c:pt>
                <c:pt idx="399">
                  <c:v>40549</c:v>
                </c:pt>
                <c:pt idx="400">
                  <c:v>40550</c:v>
                </c:pt>
                <c:pt idx="401">
                  <c:v>40553</c:v>
                </c:pt>
                <c:pt idx="402">
                  <c:v>40554</c:v>
                </c:pt>
                <c:pt idx="403">
                  <c:v>40555</c:v>
                </c:pt>
                <c:pt idx="404">
                  <c:v>40556</c:v>
                </c:pt>
                <c:pt idx="405">
                  <c:v>40557</c:v>
                </c:pt>
                <c:pt idx="406">
                  <c:v>40561</c:v>
                </c:pt>
                <c:pt idx="407">
                  <c:v>40562</c:v>
                </c:pt>
                <c:pt idx="408">
                  <c:v>40563</c:v>
                </c:pt>
                <c:pt idx="409">
                  <c:v>40564</c:v>
                </c:pt>
                <c:pt idx="410">
                  <c:v>40567</c:v>
                </c:pt>
                <c:pt idx="411">
                  <c:v>40568</c:v>
                </c:pt>
                <c:pt idx="412">
                  <c:v>40569</c:v>
                </c:pt>
                <c:pt idx="413">
                  <c:v>40570</c:v>
                </c:pt>
                <c:pt idx="414">
                  <c:v>40571</c:v>
                </c:pt>
                <c:pt idx="415">
                  <c:v>40574</c:v>
                </c:pt>
                <c:pt idx="416">
                  <c:v>40575</c:v>
                </c:pt>
                <c:pt idx="417">
                  <c:v>40576</c:v>
                </c:pt>
                <c:pt idx="418">
                  <c:v>40577</c:v>
                </c:pt>
                <c:pt idx="419">
                  <c:v>40578</c:v>
                </c:pt>
                <c:pt idx="420">
                  <c:v>40581</c:v>
                </c:pt>
                <c:pt idx="421">
                  <c:v>40582</c:v>
                </c:pt>
                <c:pt idx="422">
                  <c:v>40583</c:v>
                </c:pt>
                <c:pt idx="423">
                  <c:v>40584</c:v>
                </c:pt>
                <c:pt idx="424">
                  <c:v>40585</c:v>
                </c:pt>
                <c:pt idx="425">
                  <c:v>40588</c:v>
                </c:pt>
                <c:pt idx="426">
                  <c:v>40589</c:v>
                </c:pt>
                <c:pt idx="427">
                  <c:v>40590</c:v>
                </c:pt>
                <c:pt idx="428">
                  <c:v>40591</c:v>
                </c:pt>
                <c:pt idx="429">
                  <c:v>40592</c:v>
                </c:pt>
                <c:pt idx="430">
                  <c:v>40596</c:v>
                </c:pt>
                <c:pt idx="431">
                  <c:v>40597</c:v>
                </c:pt>
                <c:pt idx="432">
                  <c:v>40598</c:v>
                </c:pt>
                <c:pt idx="433">
                  <c:v>40599</c:v>
                </c:pt>
                <c:pt idx="434">
                  <c:v>40602</c:v>
                </c:pt>
                <c:pt idx="435">
                  <c:v>40603</c:v>
                </c:pt>
                <c:pt idx="436">
                  <c:v>40604</c:v>
                </c:pt>
                <c:pt idx="437">
                  <c:v>40605</c:v>
                </c:pt>
                <c:pt idx="438">
                  <c:v>40606</c:v>
                </c:pt>
                <c:pt idx="439">
                  <c:v>40609</c:v>
                </c:pt>
                <c:pt idx="440">
                  <c:v>40610</c:v>
                </c:pt>
                <c:pt idx="441">
                  <c:v>40611</c:v>
                </c:pt>
                <c:pt idx="442">
                  <c:v>40612</c:v>
                </c:pt>
                <c:pt idx="443">
                  <c:v>40613</c:v>
                </c:pt>
                <c:pt idx="444">
                  <c:v>40616</c:v>
                </c:pt>
                <c:pt idx="445">
                  <c:v>40617</c:v>
                </c:pt>
                <c:pt idx="446">
                  <c:v>40618</c:v>
                </c:pt>
                <c:pt idx="447">
                  <c:v>40619</c:v>
                </c:pt>
                <c:pt idx="448">
                  <c:v>40620</c:v>
                </c:pt>
                <c:pt idx="449">
                  <c:v>40623</c:v>
                </c:pt>
                <c:pt idx="450">
                  <c:v>40624</c:v>
                </c:pt>
                <c:pt idx="451">
                  <c:v>40625</c:v>
                </c:pt>
                <c:pt idx="452">
                  <c:v>40626</c:v>
                </c:pt>
                <c:pt idx="453">
                  <c:v>40627</c:v>
                </c:pt>
                <c:pt idx="454">
                  <c:v>40630</c:v>
                </c:pt>
                <c:pt idx="455">
                  <c:v>40631</c:v>
                </c:pt>
                <c:pt idx="456">
                  <c:v>40632</c:v>
                </c:pt>
                <c:pt idx="457">
                  <c:v>40633</c:v>
                </c:pt>
                <c:pt idx="458">
                  <c:v>40634</c:v>
                </c:pt>
                <c:pt idx="459">
                  <c:v>40637</c:v>
                </c:pt>
                <c:pt idx="460">
                  <c:v>40638</c:v>
                </c:pt>
                <c:pt idx="461">
                  <c:v>40639</c:v>
                </c:pt>
                <c:pt idx="462">
                  <c:v>40640</c:v>
                </c:pt>
                <c:pt idx="463">
                  <c:v>40641</c:v>
                </c:pt>
                <c:pt idx="464">
                  <c:v>40644</c:v>
                </c:pt>
                <c:pt idx="465">
                  <c:v>40645</c:v>
                </c:pt>
                <c:pt idx="466">
                  <c:v>40646</c:v>
                </c:pt>
                <c:pt idx="467">
                  <c:v>40647</c:v>
                </c:pt>
                <c:pt idx="468">
                  <c:v>40648</c:v>
                </c:pt>
                <c:pt idx="469">
                  <c:v>40651</c:v>
                </c:pt>
                <c:pt idx="470">
                  <c:v>40652</c:v>
                </c:pt>
                <c:pt idx="471">
                  <c:v>40653</c:v>
                </c:pt>
                <c:pt idx="472">
                  <c:v>40654</c:v>
                </c:pt>
                <c:pt idx="473">
                  <c:v>40658</c:v>
                </c:pt>
                <c:pt idx="474">
                  <c:v>40659</c:v>
                </c:pt>
                <c:pt idx="475">
                  <c:v>40660</c:v>
                </c:pt>
                <c:pt idx="476">
                  <c:v>40661</c:v>
                </c:pt>
                <c:pt idx="477">
                  <c:v>40662</c:v>
                </c:pt>
                <c:pt idx="478">
                  <c:v>40665</c:v>
                </c:pt>
                <c:pt idx="479">
                  <c:v>40666</c:v>
                </c:pt>
                <c:pt idx="480">
                  <c:v>40667</c:v>
                </c:pt>
                <c:pt idx="481">
                  <c:v>40668</c:v>
                </c:pt>
                <c:pt idx="482">
                  <c:v>40669</c:v>
                </c:pt>
                <c:pt idx="483">
                  <c:v>40672</c:v>
                </c:pt>
                <c:pt idx="484">
                  <c:v>40673</c:v>
                </c:pt>
                <c:pt idx="485">
                  <c:v>40674</c:v>
                </c:pt>
                <c:pt idx="486">
                  <c:v>40675</c:v>
                </c:pt>
                <c:pt idx="487">
                  <c:v>40676</c:v>
                </c:pt>
                <c:pt idx="488">
                  <c:v>40679</c:v>
                </c:pt>
                <c:pt idx="489">
                  <c:v>40680</c:v>
                </c:pt>
                <c:pt idx="490">
                  <c:v>40681</c:v>
                </c:pt>
                <c:pt idx="491">
                  <c:v>40682</c:v>
                </c:pt>
                <c:pt idx="492">
                  <c:v>40683</c:v>
                </c:pt>
                <c:pt idx="493">
                  <c:v>40686</c:v>
                </c:pt>
                <c:pt idx="494">
                  <c:v>40687</c:v>
                </c:pt>
                <c:pt idx="495">
                  <c:v>40688</c:v>
                </c:pt>
                <c:pt idx="496">
                  <c:v>40689</c:v>
                </c:pt>
                <c:pt idx="497">
                  <c:v>40690</c:v>
                </c:pt>
                <c:pt idx="498">
                  <c:v>40694</c:v>
                </c:pt>
                <c:pt idx="499">
                  <c:v>40695</c:v>
                </c:pt>
                <c:pt idx="500">
                  <c:v>40696</c:v>
                </c:pt>
                <c:pt idx="501">
                  <c:v>40697</c:v>
                </c:pt>
                <c:pt idx="502">
                  <c:v>40700</c:v>
                </c:pt>
                <c:pt idx="503">
                  <c:v>40701</c:v>
                </c:pt>
                <c:pt idx="504">
                  <c:v>40702</c:v>
                </c:pt>
                <c:pt idx="505">
                  <c:v>40703</c:v>
                </c:pt>
                <c:pt idx="506">
                  <c:v>40704</c:v>
                </c:pt>
                <c:pt idx="507">
                  <c:v>40707</c:v>
                </c:pt>
                <c:pt idx="508">
                  <c:v>40708</c:v>
                </c:pt>
                <c:pt idx="509">
                  <c:v>40709</c:v>
                </c:pt>
                <c:pt idx="510">
                  <c:v>40710</c:v>
                </c:pt>
                <c:pt idx="511">
                  <c:v>40711</c:v>
                </c:pt>
                <c:pt idx="512">
                  <c:v>40714</c:v>
                </c:pt>
                <c:pt idx="513">
                  <c:v>40715</c:v>
                </c:pt>
                <c:pt idx="514">
                  <c:v>40716</c:v>
                </c:pt>
                <c:pt idx="515">
                  <c:v>40717</c:v>
                </c:pt>
                <c:pt idx="516">
                  <c:v>40718</c:v>
                </c:pt>
                <c:pt idx="517">
                  <c:v>40721</c:v>
                </c:pt>
                <c:pt idx="518">
                  <c:v>40722</c:v>
                </c:pt>
                <c:pt idx="519">
                  <c:v>40723</c:v>
                </c:pt>
                <c:pt idx="520">
                  <c:v>40724</c:v>
                </c:pt>
                <c:pt idx="521">
                  <c:v>40725</c:v>
                </c:pt>
                <c:pt idx="522">
                  <c:v>40729</c:v>
                </c:pt>
                <c:pt idx="523">
                  <c:v>40730</c:v>
                </c:pt>
                <c:pt idx="524">
                  <c:v>40731</c:v>
                </c:pt>
                <c:pt idx="525">
                  <c:v>40732</c:v>
                </c:pt>
                <c:pt idx="526">
                  <c:v>40735</c:v>
                </c:pt>
                <c:pt idx="527">
                  <c:v>40736</c:v>
                </c:pt>
                <c:pt idx="528">
                  <c:v>40737</c:v>
                </c:pt>
                <c:pt idx="529">
                  <c:v>40738</c:v>
                </c:pt>
                <c:pt idx="530">
                  <c:v>40739</c:v>
                </c:pt>
                <c:pt idx="531">
                  <c:v>40742</c:v>
                </c:pt>
                <c:pt idx="532">
                  <c:v>40743</c:v>
                </c:pt>
                <c:pt idx="533">
                  <c:v>40744</c:v>
                </c:pt>
                <c:pt idx="534">
                  <c:v>40745</c:v>
                </c:pt>
                <c:pt idx="535">
                  <c:v>40746</c:v>
                </c:pt>
                <c:pt idx="536">
                  <c:v>40749</c:v>
                </c:pt>
                <c:pt idx="537">
                  <c:v>40750</c:v>
                </c:pt>
                <c:pt idx="538">
                  <c:v>40751</c:v>
                </c:pt>
                <c:pt idx="539">
                  <c:v>40752</c:v>
                </c:pt>
                <c:pt idx="540">
                  <c:v>40753</c:v>
                </c:pt>
                <c:pt idx="541">
                  <c:v>40756</c:v>
                </c:pt>
                <c:pt idx="542">
                  <c:v>40757</c:v>
                </c:pt>
                <c:pt idx="543">
                  <c:v>40758</c:v>
                </c:pt>
                <c:pt idx="544">
                  <c:v>40759</c:v>
                </c:pt>
                <c:pt idx="545">
                  <c:v>40760</c:v>
                </c:pt>
                <c:pt idx="546">
                  <c:v>40763</c:v>
                </c:pt>
                <c:pt idx="547">
                  <c:v>40764</c:v>
                </c:pt>
                <c:pt idx="548">
                  <c:v>40765</c:v>
                </c:pt>
                <c:pt idx="549">
                  <c:v>40766</c:v>
                </c:pt>
                <c:pt idx="550">
                  <c:v>40767</c:v>
                </c:pt>
                <c:pt idx="551">
                  <c:v>40770</c:v>
                </c:pt>
                <c:pt idx="552">
                  <c:v>40771</c:v>
                </c:pt>
                <c:pt idx="553">
                  <c:v>40772</c:v>
                </c:pt>
                <c:pt idx="554">
                  <c:v>40773</c:v>
                </c:pt>
                <c:pt idx="555">
                  <c:v>40774</c:v>
                </c:pt>
                <c:pt idx="556">
                  <c:v>40777</c:v>
                </c:pt>
                <c:pt idx="557">
                  <c:v>40778</c:v>
                </c:pt>
                <c:pt idx="558">
                  <c:v>40779</c:v>
                </c:pt>
                <c:pt idx="559">
                  <c:v>40780</c:v>
                </c:pt>
                <c:pt idx="560">
                  <c:v>40781</c:v>
                </c:pt>
                <c:pt idx="561">
                  <c:v>40784</c:v>
                </c:pt>
                <c:pt idx="562">
                  <c:v>40785</c:v>
                </c:pt>
                <c:pt idx="563">
                  <c:v>40786</c:v>
                </c:pt>
                <c:pt idx="564">
                  <c:v>40787</c:v>
                </c:pt>
                <c:pt idx="565">
                  <c:v>40788</c:v>
                </c:pt>
                <c:pt idx="566">
                  <c:v>40792</c:v>
                </c:pt>
                <c:pt idx="567">
                  <c:v>40793</c:v>
                </c:pt>
                <c:pt idx="568">
                  <c:v>40794</c:v>
                </c:pt>
                <c:pt idx="569">
                  <c:v>40795</c:v>
                </c:pt>
                <c:pt idx="570">
                  <c:v>40798</c:v>
                </c:pt>
                <c:pt idx="571">
                  <c:v>40799</c:v>
                </c:pt>
                <c:pt idx="572">
                  <c:v>40800</c:v>
                </c:pt>
                <c:pt idx="573">
                  <c:v>40801</c:v>
                </c:pt>
                <c:pt idx="574">
                  <c:v>40802</c:v>
                </c:pt>
                <c:pt idx="575">
                  <c:v>40805</c:v>
                </c:pt>
                <c:pt idx="576">
                  <c:v>40806</c:v>
                </c:pt>
                <c:pt idx="577">
                  <c:v>40807</c:v>
                </c:pt>
                <c:pt idx="578">
                  <c:v>40808</c:v>
                </c:pt>
                <c:pt idx="579">
                  <c:v>40809</c:v>
                </c:pt>
                <c:pt idx="580">
                  <c:v>40812</c:v>
                </c:pt>
                <c:pt idx="581">
                  <c:v>40813</c:v>
                </c:pt>
                <c:pt idx="582">
                  <c:v>40814</c:v>
                </c:pt>
                <c:pt idx="583">
                  <c:v>40815</c:v>
                </c:pt>
                <c:pt idx="584">
                  <c:v>40816</c:v>
                </c:pt>
                <c:pt idx="585">
                  <c:v>40819</c:v>
                </c:pt>
                <c:pt idx="586">
                  <c:v>40820</c:v>
                </c:pt>
                <c:pt idx="587">
                  <c:v>40821</c:v>
                </c:pt>
                <c:pt idx="588">
                  <c:v>40822</c:v>
                </c:pt>
                <c:pt idx="589">
                  <c:v>40823</c:v>
                </c:pt>
                <c:pt idx="590">
                  <c:v>40826</c:v>
                </c:pt>
                <c:pt idx="591">
                  <c:v>40827</c:v>
                </c:pt>
                <c:pt idx="592">
                  <c:v>40828</c:v>
                </c:pt>
                <c:pt idx="593">
                  <c:v>40829</c:v>
                </c:pt>
                <c:pt idx="594">
                  <c:v>40830</c:v>
                </c:pt>
                <c:pt idx="595">
                  <c:v>40833</c:v>
                </c:pt>
                <c:pt idx="596">
                  <c:v>40834</c:v>
                </c:pt>
                <c:pt idx="597">
                  <c:v>40835</c:v>
                </c:pt>
                <c:pt idx="598">
                  <c:v>40836</c:v>
                </c:pt>
                <c:pt idx="599">
                  <c:v>40837</c:v>
                </c:pt>
                <c:pt idx="600">
                  <c:v>40840</c:v>
                </c:pt>
                <c:pt idx="601">
                  <c:v>40841</c:v>
                </c:pt>
                <c:pt idx="602">
                  <c:v>40842</c:v>
                </c:pt>
                <c:pt idx="603">
                  <c:v>40843</c:v>
                </c:pt>
                <c:pt idx="604">
                  <c:v>40844</c:v>
                </c:pt>
                <c:pt idx="605">
                  <c:v>40847</c:v>
                </c:pt>
                <c:pt idx="606">
                  <c:v>40848</c:v>
                </c:pt>
                <c:pt idx="607">
                  <c:v>40849</c:v>
                </c:pt>
                <c:pt idx="608">
                  <c:v>40850</c:v>
                </c:pt>
                <c:pt idx="609">
                  <c:v>40851</c:v>
                </c:pt>
                <c:pt idx="610">
                  <c:v>40854</c:v>
                </c:pt>
                <c:pt idx="611">
                  <c:v>40855</c:v>
                </c:pt>
                <c:pt idx="612">
                  <c:v>40856</c:v>
                </c:pt>
                <c:pt idx="613">
                  <c:v>40857</c:v>
                </c:pt>
                <c:pt idx="614">
                  <c:v>40858</c:v>
                </c:pt>
                <c:pt idx="615">
                  <c:v>40861</c:v>
                </c:pt>
                <c:pt idx="616">
                  <c:v>40862</c:v>
                </c:pt>
                <c:pt idx="617">
                  <c:v>40863</c:v>
                </c:pt>
                <c:pt idx="618">
                  <c:v>40864</c:v>
                </c:pt>
                <c:pt idx="619">
                  <c:v>40865</c:v>
                </c:pt>
                <c:pt idx="620">
                  <c:v>40868</c:v>
                </c:pt>
                <c:pt idx="621">
                  <c:v>40869</c:v>
                </c:pt>
                <c:pt idx="622">
                  <c:v>40870</c:v>
                </c:pt>
                <c:pt idx="623">
                  <c:v>40872</c:v>
                </c:pt>
                <c:pt idx="624">
                  <c:v>40875</c:v>
                </c:pt>
                <c:pt idx="625">
                  <c:v>40876</c:v>
                </c:pt>
                <c:pt idx="626">
                  <c:v>40877</c:v>
                </c:pt>
                <c:pt idx="627">
                  <c:v>40878</c:v>
                </c:pt>
                <c:pt idx="628">
                  <c:v>40879</c:v>
                </c:pt>
                <c:pt idx="629">
                  <c:v>40882</c:v>
                </c:pt>
                <c:pt idx="630">
                  <c:v>40883</c:v>
                </c:pt>
                <c:pt idx="631">
                  <c:v>40884</c:v>
                </c:pt>
                <c:pt idx="632">
                  <c:v>40885</c:v>
                </c:pt>
                <c:pt idx="633">
                  <c:v>40886</c:v>
                </c:pt>
                <c:pt idx="634">
                  <c:v>40889</c:v>
                </c:pt>
                <c:pt idx="635">
                  <c:v>40890</c:v>
                </c:pt>
                <c:pt idx="636">
                  <c:v>40891</c:v>
                </c:pt>
                <c:pt idx="637">
                  <c:v>40892</c:v>
                </c:pt>
                <c:pt idx="638">
                  <c:v>40893</c:v>
                </c:pt>
                <c:pt idx="639">
                  <c:v>40896</c:v>
                </c:pt>
                <c:pt idx="640">
                  <c:v>40897</c:v>
                </c:pt>
                <c:pt idx="641">
                  <c:v>40898</c:v>
                </c:pt>
                <c:pt idx="642">
                  <c:v>40899</c:v>
                </c:pt>
                <c:pt idx="643">
                  <c:v>40900</c:v>
                </c:pt>
                <c:pt idx="644">
                  <c:v>40904</c:v>
                </c:pt>
                <c:pt idx="645">
                  <c:v>40905</c:v>
                </c:pt>
                <c:pt idx="646">
                  <c:v>40906</c:v>
                </c:pt>
                <c:pt idx="647">
                  <c:v>40907</c:v>
                </c:pt>
                <c:pt idx="648">
                  <c:v>40911</c:v>
                </c:pt>
                <c:pt idx="649">
                  <c:v>40912</c:v>
                </c:pt>
                <c:pt idx="650">
                  <c:v>40913</c:v>
                </c:pt>
                <c:pt idx="651">
                  <c:v>40914</c:v>
                </c:pt>
                <c:pt idx="652">
                  <c:v>40917</c:v>
                </c:pt>
                <c:pt idx="653">
                  <c:v>40918</c:v>
                </c:pt>
                <c:pt idx="654">
                  <c:v>40919</c:v>
                </c:pt>
                <c:pt idx="655">
                  <c:v>40920</c:v>
                </c:pt>
                <c:pt idx="656">
                  <c:v>40921</c:v>
                </c:pt>
                <c:pt idx="657">
                  <c:v>40925</c:v>
                </c:pt>
                <c:pt idx="658">
                  <c:v>40926</c:v>
                </c:pt>
                <c:pt idx="659">
                  <c:v>40927</c:v>
                </c:pt>
                <c:pt idx="660">
                  <c:v>40928</c:v>
                </c:pt>
                <c:pt idx="661">
                  <c:v>40931</c:v>
                </c:pt>
                <c:pt idx="662">
                  <c:v>40932</c:v>
                </c:pt>
                <c:pt idx="663">
                  <c:v>40933</c:v>
                </c:pt>
                <c:pt idx="664">
                  <c:v>40934</c:v>
                </c:pt>
                <c:pt idx="665">
                  <c:v>40935</c:v>
                </c:pt>
                <c:pt idx="666">
                  <c:v>40938</c:v>
                </c:pt>
                <c:pt idx="667">
                  <c:v>40939</c:v>
                </c:pt>
                <c:pt idx="668">
                  <c:v>40940</c:v>
                </c:pt>
                <c:pt idx="669">
                  <c:v>40941</c:v>
                </c:pt>
                <c:pt idx="670">
                  <c:v>40942</c:v>
                </c:pt>
                <c:pt idx="671">
                  <c:v>40945</c:v>
                </c:pt>
                <c:pt idx="672">
                  <c:v>40946</c:v>
                </c:pt>
                <c:pt idx="673">
                  <c:v>40947</c:v>
                </c:pt>
                <c:pt idx="674">
                  <c:v>40948</c:v>
                </c:pt>
                <c:pt idx="675">
                  <c:v>40949</c:v>
                </c:pt>
                <c:pt idx="676">
                  <c:v>40952</c:v>
                </c:pt>
                <c:pt idx="677">
                  <c:v>40953</c:v>
                </c:pt>
                <c:pt idx="678">
                  <c:v>40954</c:v>
                </c:pt>
                <c:pt idx="679">
                  <c:v>40955</c:v>
                </c:pt>
                <c:pt idx="680">
                  <c:v>40956</c:v>
                </c:pt>
                <c:pt idx="681">
                  <c:v>40960</c:v>
                </c:pt>
                <c:pt idx="682">
                  <c:v>40961</c:v>
                </c:pt>
                <c:pt idx="683">
                  <c:v>40962</c:v>
                </c:pt>
                <c:pt idx="684">
                  <c:v>40963</c:v>
                </c:pt>
                <c:pt idx="685">
                  <c:v>40966</c:v>
                </c:pt>
                <c:pt idx="686">
                  <c:v>40967</c:v>
                </c:pt>
                <c:pt idx="687">
                  <c:v>40968</c:v>
                </c:pt>
                <c:pt idx="688">
                  <c:v>40969</c:v>
                </c:pt>
                <c:pt idx="689">
                  <c:v>40970</c:v>
                </c:pt>
                <c:pt idx="690">
                  <c:v>40973</c:v>
                </c:pt>
                <c:pt idx="691">
                  <c:v>40974</c:v>
                </c:pt>
                <c:pt idx="692">
                  <c:v>40975</c:v>
                </c:pt>
                <c:pt idx="693">
                  <c:v>40976</c:v>
                </c:pt>
                <c:pt idx="694">
                  <c:v>40977</c:v>
                </c:pt>
                <c:pt idx="695">
                  <c:v>40980</c:v>
                </c:pt>
                <c:pt idx="696">
                  <c:v>40981</c:v>
                </c:pt>
                <c:pt idx="697">
                  <c:v>40982</c:v>
                </c:pt>
                <c:pt idx="698">
                  <c:v>40983</c:v>
                </c:pt>
                <c:pt idx="699">
                  <c:v>40984</c:v>
                </c:pt>
                <c:pt idx="700">
                  <c:v>40987</c:v>
                </c:pt>
                <c:pt idx="701">
                  <c:v>40988</c:v>
                </c:pt>
                <c:pt idx="702">
                  <c:v>40989</c:v>
                </c:pt>
                <c:pt idx="703">
                  <c:v>40990</c:v>
                </c:pt>
                <c:pt idx="704">
                  <c:v>40991</c:v>
                </c:pt>
                <c:pt idx="705">
                  <c:v>40994</c:v>
                </c:pt>
                <c:pt idx="706">
                  <c:v>40995</c:v>
                </c:pt>
                <c:pt idx="707">
                  <c:v>40996</c:v>
                </c:pt>
                <c:pt idx="708">
                  <c:v>40997</c:v>
                </c:pt>
                <c:pt idx="709">
                  <c:v>40998</c:v>
                </c:pt>
                <c:pt idx="710">
                  <c:v>41001</c:v>
                </c:pt>
                <c:pt idx="711">
                  <c:v>41002</c:v>
                </c:pt>
                <c:pt idx="712">
                  <c:v>41003</c:v>
                </c:pt>
                <c:pt idx="713">
                  <c:v>41004</c:v>
                </c:pt>
                <c:pt idx="714">
                  <c:v>41008</c:v>
                </c:pt>
                <c:pt idx="715">
                  <c:v>41009</c:v>
                </c:pt>
                <c:pt idx="716">
                  <c:v>41010</c:v>
                </c:pt>
                <c:pt idx="717">
                  <c:v>41011</c:v>
                </c:pt>
                <c:pt idx="718">
                  <c:v>41012</c:v>
                </c:pt>
                <c:pt idx="719">
                  <c:v>41015</c:v>
                </c:pt>
                <c:pt idx="720">
                  <c:v>41016</c:v>
                </c:pt>
                <c:pt idx="721">
                  <c:v>41017</c:v>
                </c:pt>
                <c:pt idx="722">
                  <c:v>41018</c:v>
                </c:pt>
                <c:pt idx="723">
                  <c:v>41019</c:v>
                </c:pt>
                <c:pt idx="724">
                  <c:v>41022</c:v>
                </c:pt>
                <c:pt idx="725">
                  <c:v>41023</c:v>
                </c:pt>
                <c:pt idx="726">
                  <c:v>41024</c:v>
                </c:pt>
                <c:pt idx="727">
                  <c:v>41025</c:v>
                </c:pt>
                <c:pt idx="728">
                  <c:v>41026</c:v>
                </c:pt>
                <c:pt idx="729">
                  <c:v>41029</c:v>
                </c:pt>
                <c:pt idx="730">
                  <c:v>41030</c:v>
                </c:pt>
                <c:pt idx="731">
                  <c:v>41031</c:v>
                </c:pt>
                <c:pt idx="732">
                  <c:v>41032</c:v>
                </c:pt>
                <c:pt idx="733">
                  <c:v>41033</c:v>
                </c:pt>
                <c:pt idx="734">
                  <c:v>41036</c:v>
                </c:pt>
                <c:pt idx="735">
                  <c:v>41037</c:v>
                </c:pt>
                <c:pt idx="736">
                  <c:v>41038</c:v>
                </c:pt>
                <c:pt idx="737">
                  <c:v>41039</c:v>
                </c:pt>
                <c:pt idx="738">
                  <c:v>41040</c:v>
                </c:pt>
                <c:pt idx="739">
                  <c:v>41043</c:v>
                </c:pt>
                <c:pt idx="740">
                  <c:v>41044</c:v>
                </c:pt>
                <c:pt idx="741">
                  <c:v>41045</c:v>
                </c:pt>
                <c:pt idx="742">
                  <c:v>41046</c:v>
                </c:pt>
                <c:pt idx="743">
                  <c:v>41047</c:v>
                </c:pt>
                <c:pt idx="744">
                  <c:v>41050</c:v>
                </c:pt>
                <c:pt idx="745">
                  <c:v>41051</c:v>
                </c:pt>
                <c:pt idx="746">
                  <c:v>41052</c:v>
                </c:pt>
                <c:pt idx="747">
                  <c:v>41053</c:v>
                </c:pt>
                <c:pt idx="748">
                  <c:v>41054</c:v>
                </c:pt>
                <c:pt idx="749">
                  <c:v>41058</c:v>
                </c:pt>
                <c:pt idx="750">
                  <c:v>41059</c:v>
                </c:pt>
                <c:pt idx="751">
                  <c:v>41060</c:v>
                </c:pt>
                <c:pt idx="752">
                  <c:v>41061</c:v>
                </c:pt>
                <c:pt idx="753">
                  <c:v>41064</c:v>
                </c:pt>
                <c:pt idx="754">
                  <c:v>41065</c:v>
                </c:pt>
                <c:pt idx="755">
                  <c:v>41066</c:v>
                </c:pt>
                <c:pt idx="756">
                  <c:v>41067</c:v>
                </c:pt>
                <c:pt idx="757">
                  <c:v>41068</c:v>
                </c:pt>
                <c:pt idx="758">
                  <c:v>41071</c:v>
                </c:pt>
                <c:pt idx="759">
                  <c:v>41072</c:v>
                </c:pt>
                <c:pt idx="760">
                  <c:v>41073</c:v>
                </c:pt>
                <c:pt idx="761">
                  <c:v>41074</c:v>
                </c:pt>
                <c:pt idx="762">
                  <c:v>41075</c:v>
                </c:pt>
                <c:pt idx="763">
                  <c:v>41078</c:v>
                </c:pt>
                <c:pt idx="764">
                  <c:v>41079</c:v>
                </c:pt>
                <c:pt idx="765">
                  <c:v>41080</c:v>
                </c:pt>
                <c:pt idx="766">
                  <c:v>41081</c:v>
                </c:pt>
                <c:pt idx="767">
                  <c:v>41082</c:v>
                </c:pt>
                <c:pt idx="768">
                  <c:v>41085</c:v>
                </c:pt>
                <c:pt idx="769">
                  <c:v>41086</c:v>
                </c:pt>
                <c:pt idx="770">
                  <c:v>41087</c:v>
                </c:pt>
                <c:pt idx="771">
                  <c:v>41088</c:v>
                </c:pt>
                <c:pt idx="772">
                  <c:v>41089</c:v>
                </c:pt>
                <c:pt idx="773">
                  <c:v>41092</c:v>
                </c:pt>
                <c:pt idx="774">
                  <c:v>41093</c:v>
                </c:pt>
                <c:pt idx="775">
                  <c:v>41095</c:v>
                </c:pt>
                <c:pt idx="776">
                  <c:v>41096</c:v>
                </c:pt>
                <c:pt idx="777">
                  <c:v>41099</c:v>
                </c:pt>
                <c:pt idx="778">
                  <c:v>41100</c:v>
                </c:pt>
                <c:pt idx="779">
                  <c:v>41101</c:v>
                </c:pt>
                <c:pt idx="780">
                  <c:v>41102</c:v>
                </c:pt>
                <c:pt idx="781">
                  <c:v>41103</c:v>
                </c:pt>
                <c:pt idx="782">
                  <c:v>41106</c:v>
                </c:pt>
                <c:pt idx="783">
                  <c:v>41107</c:v>
                </c:pt>
                <c:pt idx="784">
                  <c:v>41108</c:v>
                </c:pt>
                <c:pt idx="785">
                  <c:v>41109</c:v>
                </c:pt>
                <c:pt idx="786">
                  <c:v>41110</c:v>
                </c:pt>
                <c:pt idx="787">
                  <c:v>41113</c:v>
                </c:pt>
                <c:pt idx="788">
                  <c:v>41114</c:v>
                </c:pt>
                <c:pt idx="789">
                  <c:v>41115</c:v>
                </c:pt>
                <c:pt idx="790">
                  <c:v>41116</c:v>
                </c:pt>
                <c:pt idx="791">
                  <c:v>41117</c:v>
                </c:pt>
                <c:pt idx="792">
                  <c:v>41120</c:v>
                </c:pt>
                <c:pt idx="793">
                  <c:v>41121</c:v>
                </c:pt>
                <c:pt idx="794">
                  <c:v>41122</c:v>
                </c:pt>
                <c:pt idx="795">
                  <c:v>41123</c:v>
                </c:pt>
                <c:pt idx="796">
                  <c:v>41124</c:v>
                </c:pt>
                <c:pt idx="797">
                  <c:v>41127</c:v>
                </c:pt>
                <c:pt idx="798">
                  <c:v>41128</c:v>
                </c:pt>
                <c:pt idx="799">
                  <c:v>41129</c:v>
                </c:pt>
                <c:pt idx="800">
                  <c:v>41130</c:v>
                </c:pt>
                <c:pt idx="801">
                  <c:v>41131</c:v>
                </c:pt>
                <c:pt idx="802">
                  <c:v>41134</c:v>
                </c:pt>
                <c:pt idx="803">
                  <c:v>41135</c:v>
                </c:pt>
                <c:pt idx="804">
                  <c:v>41136</c:v>
                </c:pt>
                <c:pt idx="805">
                  <c:v>41137</c:v>
                </c:pt>
                <c:pt idx="806">
                  <c:v>41138</c:v>
                </c:pt>
                <c:pt idx="807">
                  <c:v>41141</c:v>
                </c:pt>
                <c:pt idx="808">
                  <c:v>41142</c:v>
                </c:pt>
                <c:pt idx="809">
                  <c:v>41143</c:v>
                </c:pt>
                <c:pt idx="810">
                  <c:v>41144</c:v>
                </c:pt>
                <c:pt idx="811">
                  <c:v>41145</c:v>
                </c:pt>
                <c:pt idx="812">
                  <c:v>41148</c:v>
                </c:pt>
                <c:pt idx="813">
                  <c:v>41149</c:v>
                </c:pt>
                <c:pt idx="814">
                  <c:v>41150</c:v>
                </c:pt>
                <c:pt idx="815">
                  <c:v>41151</c:v>
                </c:pt>
                <c:pt idx="816">
                  <c:v>41152</c:v>
                </c:pt>
                <c:pt idx="817">
                  <c:v>41156</c:v>
                </c:pt>
                <c:pt idx="818">
                  <c:v>41157</c:v>
                </c:pt>
                <c:pt idx="819">
                  <c:v>41158</c:v>
                </c:pt>
                <c:pt idx="820">
                  <c:v>41159</c:v>
                </c:pt>
                <c:pt idx="821">
                  <c:v>41162</c:v>
                </c:pt>
                <c:pt idx="822">
                  <c:v>41163</c:v>
                </c:pt>
                <c:pt idx="823">
                  <c:v>41164</c:v>
                </c:pt>
                <c:pt idx="824">
                  <c:v>41165</c:v>
                </c:pt>
                <c:pt idx="825">
                  <c:v>41166</c:v>
                </c:pt>
                <c:pt idx="826">
                  <c:v>41169</c:v>
                </c:pt>
                <c:pt idx="827">
                  <c:v>41170</c:v>
                </c:pt>
                <c:pt idx="828">
                  <c:v>41171</c:v>
                </c:pt>
                <c:pt idx="829">
                  <c:v>41172</c:v>
                </c:pt>
                <c:pt idx="830">
                  <c:v>41173</c:v>
                </c:pt>
                <c:pt idx="831">
                  <c:v>41176</c:v>
                </c:pt>
                <c:pt idx="832">
                  <c:v>41177</c:v>
                </c:pt>
                <c:pt idx="833">
                  <c:v>41178</c:v>
                </c:pt>
                <c:pt idx="834">
                  <c:v>41179</c:v>
                </c:pt>
                <c:pt idx="835">
                  <c:v>41180</c:v>
                </c:pt>
                <c:pt idx="836">
                  <c:v>41183</c:v>
                </c:pt>
                <c:pt idx="837">
                  <c:v>41184</c:v>
                </c:pt>
                <c:pt idx="838">
                  <c:v>41185</c:v>
                </c:pt>
                <c:pt idx="839">
                  <c:v>41186</c:v>
                </c:pt>
                <c:pt idx="840">
                  <c:v>41187</c:v>
                </c:pt>
                <c:pt idx="841">
                  <c:v>41190</c:v>
                </c:pt>
                <c:pt idx="842">
                  <c:v>41191</c:v>
                </c:pt>
                <c:pt idx="843">
                  <c:v>41192</c:v>
                </c:pt>
                <c:pt idx="844">
                  <c:v>41193</c:v>
                </c:pt>
                <c:pt idx="845">
                  <c:v>41194</c:v>
                </c:pt>
                <c:pt idx="846">
                  <c:v>41197</c:v>
                </c:pt>
                <c:pt idx="847">
                  <c:v>41198</c:v>
                </c:pt>
                <c:pt idx="848">
                  <c:v>41199</c:v>
                </c:pt>
                <c:pt idx="849">
                  <c:v>41200</c:v>
                </c:pt>
                <c:pt idx="850">
                  <c:v>41201</c:v>
                </c:pt>
                <c:pt idx="851">
                  <c:v>41204</c:v>
                </c:pt>
                <c:pt idx="852">
                  <c:v>41205</c:v>
                </c:pt>
                <c:pt idx="853">
                  <c:v>41206</c:v>
                </c:pt>
                <c:pt idx="854">
                  <c:v>41207</c:v>
                </c:pt>
                <c:pt idx="855">
                  <c:v>41208</c:v>
                </c:pt>
                <c:pt idx="856">
                  <c:v>41213</c:v>
                </c:pt>
                <c:pt idx="857">
                  <c:v>41214</c:v>
                </c:pt>
                <c:pt idx="858">
                  <c:v>41215</c:v>
                </c:pt>
                <c:pt idx="859">
                  <c:v>41218</c:v>
                </c:pt>
                <c:pt idx="860">
                  <c:v>41219</c:v>
                </c:pt>
                <c:pt idx="861">
                  <c:v>41220</c:v>
                </c:pt>
                <c:pt idx="862">
                  <c:v>41221</c:v>
                </c:pt>
                <c:pt idx="863">
                  <c:v>41222</c:v>
                </c:pt>
                <c:pt idx="864">
                  <c:v>41225</c:v>
                </c:pt>
                <c:pt idx="865">
                  <c:v>41226</c:v>
                </c:pt>
                <c:pt idx="866">
                  <c:v>41227</c:v>
                </c:pt>
                <c:pt idx="867">
                  <c:v>41228</c:v>
                </c:pt>
                <c:pt idx="868">
                  <c:v>41229</c:v>
                </c:pt>
                <c:pt idx="869">
                  <c:v>41232</c:v>
                </c:pt>
                <c:pt idx="870">
                  <c:v>41233</c:v>
                </c:pt>
                <c:pt idx="871">
                  <c:v>41234</c:v>
                </c:pt>
                <c:pt idx="872">
                  <c:v>41236</c:v>
                </c:pt>
                <c:pt idx="873">
                  <c:v>41239</c:v>
                </c:pt>
                <c:pt idx="874">
                  <c:v>41240</c:v>
                </c:pt>
                <c:pt idx="875">
                  <c:v>41241</c:v>
                </c:pt>
                <c:pt idx="876">
                  <c:v>41242</c:v>
                </c:pt>
                <c:pt idx="877">
                  <c:v>41243</c:v>
                </c:pt>
                <c:pt idx="878">
                  <c:v>41246</c:v>
                </c:pt>
                <c:pt idx="879">
                  <c:v>41247</c:v>
                </c:pt>
                <c:pt idx="880">
                  <c:v>41248</c:v>
                </c:pt>
                <c:pt idx="881">
                  <c:v>41249</c:v>
                </c:pt>
                <c:pt idx="882">
                  <c:v>41250</c:v>
                </c:pt>
                <c:pt idx="883">
                  <c:v>41253</c:v>
                </c:pt>
                <c:pt idx="884">
                  <c:v>41254</c:v>
                </c:pt>
                <c:pt idx="885">
                  <c:v>41255</c:v>
                </c:pt>
                <c:pt idx="886">
                  <c:v>41256</c:v>
                </c:pt>
                <c:pt idx="887">
                  <c:v>41257</c:v>
                </c:pt>
                <c:pt idx="888">
                  <c:v>41260</c:v>
                </c:pt>
                <c:pt idx="889">
                  <c:v>41261</c:v>
                </c:pt>
                <c:pt idx="890">
                  <c:v>41262</c:v>
                </c:pt>
                <c:pt idx="891">
                  <c:v>41263</c:v>
                </c:pt>
                <c:pt idx="892">
                  <c:v>41264</c:v>
                </c:pt>
                <c:pt idx="893">
                  <c:v>41267</c:v>
                </c:pt>
                <c:pt idx="894">
                  <c:v>41269</c:v>
                </c:pt>
                <c:pt idx="895">
                  <c:v>41270</c:v>
                </c:pt>
                <c:pt idx="896">
                  <c:v>41271</c:v>
                </c:pt>
                <c:pt idx="897">
                  <c:v>41274</c:v>
                </c:pt>
                <c:pt idx="898">
                  <c:v>41276</c:v>
                </c:pt>
                <c:pt idx="899">
                  <c:v>41277</c:v>
                </c:pt>
                <c:pt idx="900">
                  <c:v>41278</c:v>
                </c:pt>
                <c:pt idx="901">
                  <c:v>41281</c:v>
                </c:pt>
                <c:pt idx="902">
                  <c:v>41282</c:v>
                </c:pt>
                <c:pt idx="903">
                  <c:v>41283</c:v>
                </c:pt>
                <c:pt idx="904">
                  <c:v>41284</c:v>
                </c:pt>
                <c:pt idx="905">
                  <c:v>41285</c:v>
                </c:pt>
                <c:pt idx="906">
                  <c:v>41288</c:v>
                </c:pt>
                <c:pt idx="907">
                  <c:v>41289</c:v>
                </c:pt>
                <c:pt idx="908">
                  <c:v>41290</c:v>
                </c:pt>
                <c:pt idx="909">
                  <c:v>41291</c:v>
                </c:pt>
                <c:pt idx="910">
                  <c:v>41292</c:v>
                </c:pt>
                <c:pt idx="911">
                  <c:v>41296</c:v>
                </c:pt>
                <c:pt idx="912">
                  <c:v>41297</c:v>
                </c:pt>
                <c:pt idx="913">
                  <c:v>41298</c:v>
                </c:pt>
                <c:pt idx="914">
                  <c:v>41299</c:v>
                </c:pt>
                <c:pt idx="915">
                  <c:v>41302</c:v>
                </c:pt>
                <c:pt idx="916">
                  <c:v>41303</c:v>
                </c:pt>
                <c:pt idx="917">
                  <c:v>41304</c:v>
                </c:pt>
                <c:pt idx="918">
                  <c:v>41305</c:v>
                </c:pt>
                <c:pt idx="919">
                  <c:v>41306</c:v>
                </c:pt>
                <c:pt idx="920">
                  <c:v>41309</c:v>
                </c:pt>
                <c:pt idx="921">
                  <c:v>41310</c:v>
                </c:pt>
                <c:pt idx="922">
                  <c:v>41311</c:v>
                </c:pt>
                <c:pt idx="923">
                  <c:v>41312</c:v>
                </c:pt>
                <c:pt idx="924">
                  <c:v>41313</c:v>
                </c:pt>
                <c:pt idx="925">
                  <c:v>41316</c:v>
                </c:pt>
                <c:pt idx="926">
                  <c:v>41317</c:v>
                </c:pt>
                <c:pt idx="927">
                  <c:v>41318</c:v>
                </c:pt>
                <c:pt idx="928">
                  <c:v>41319</c:v>
                </c:pt>
                <c:pt idx="929">
                  <c:v>41320</c:v>
                </c:pt>
                <c:pt idx="930">
                  <c:v>41324</c:v>
                </c:pt>
                <c:pt idx="931">
                  <c:v>41325</c:v>
                </c:pt>
                <c:pt idx="932">
                  <c:v>41326</c:v>
                </c:pt>
                <c:pt idx="933">
                  <c:v>41327</c:v>
                </c:pt>
                <c:pt idx="934">
                  <c:v>41330</c:v>
                </c:pt>
                <c:pt idx="935">
                  <c:v>41331</c:v>
                </c:pt>
                <c:pt idx="936">
                  <c:v>41332</c:v>
                </c:pt>
                <c:pt idx="937">
                  <c:v>41333</c:v>
                </c:pt>
                <c:pt idx="938">
                  <c:v>41334</c:v>
                </c:pt>
                <c:pt idx="939">
                  <c:v>41337</c:v>
                </c:pt>
                <c:pt idx="940">
                  <c:v>41338</c:v>
                </c:pt>
                <c:pt idx="941">
                  <c:v>41339</c:v>
                </c:pt>
                <c:pt idx="942">
                  <c:v>41340</c:v>
                </c:pt>
                <c:pt idx="943">
                  <c:v>41341</c:v>
                </c:pt>
                <c:pt idx="944">
                  <c:v>41344</c:v>
                </c:pt>
                <c:pt idx="945">
                  <c:v>41345</c:v>
                </c:pt>
                <c:pt idx="946">
                  <c:v>41346</c:v>
                </c:pt>
                <c:pt idx="947">
                  <c:v>41347</c:v>
                </c:pt>
                <c:pt idx="948">
                  <c:v>41348</c:v>
                </c:pt>
                <c:pt idx="949">
                  <c:v>41351</c:v>
                </c:pt>
                <c:pt idx="950">
                  <c:v>41352</c:v>
                </c:pt>
                <c:pt idx="951">
                  <c:v>41353</c:v>
                </c:pt>
                <c:pt idx="952">
                  <c:v>41354</c:v>
                </c:pt>
                <c:pt idx="953">
                  <c:v>41355</c:v>
                </c:pt>
                <c:pt idx="954">
                  <c:v>41358</c:v>
                </c:pt>
                <c:pt idx="955">
                  <c:v>41359</c:v>
                </c:pt>
                <c:pt idx="956">
                  <c:v>41360</c:v>
                </c:pt>
                <c:pt idx="957">
                  <c:v>41361</c:v>
                </c:pt>
                <c:pt idx="958">
                  <c:v>41365</c:v>
                </c:pt>
                <c:pt idx="959">
                  <c:v>41366</c:v>
                </c:pt>
                <c:pt idx="960">
                  <c:v>41367</c:v>
                </c:pt>
                <c:pt idx="961">
                  <c:v>41368</c:v>
                </c:pt>
                <c:pt idx="962">
                  <c:v>41369</c:v>
                </c:pt>
                <c:pt idx="963">
                  <c:v>41372</c:v>
                </c:pt>
                <c:pt idx="964">
                  <c:v>41373</c:v>
                </c:pt>
                <c:pt idx="965">
                  <c:v>41374</c:v>
                </c:pt>
                <c:pt idx="966">
                  <c:v>41375</c:v>
                </c:pt>
                <c:pt idx="967">
                  <c:v>41376</c:v>
                </c:pt>
                <c:pt idx="968">
                  <c:v>41379</c:v>
                </c:pt>
                <c:pt idx="969">
                  <c:v>41380</c:v>
                </c:pt>
                <c:pt idx="970">
                  <c:v>41381</c:v>
                </c:pt>
                <c:pt idx="971">
                  <c:v>41382</c:v>
                </c:pt>
                <c:pt idx="972">
                  <c:v>41383</c:v>
                </c:pt>
                <c:pt idx="973">
                  <c:v>41386</c:v>
                </c:pt>
                <c:pt idx="974">
                  <c:v>41387</c:v>
                </c:pt>
                <c:pt idx="975">
                  <c:v>41388</c:v>
                </c:pt>
                <c:pt idx="976">
                  <c:v>41389</c:v>
                </c:pt>
                <c:pt idx="977">
                  <c:v>41390</c:v>
                </c:pt>
                <c:pt idx="978">
                  <c:v>41393</c:v>
                </c:pt>
                <c:pt idx="979">
                  <c:v>41394</c:v>
                </c:pt>
                <c:pt idx="980">
                  <c:v>41395</c:v>
                </c:pt>
                <c:pt idx="981">
                  <c:v>41396</c:v>
                </c:pt>
                <c:pt idx="982">
                  <c:v>41397</c:v>
                </c:pt>
                <c:pt idx="983">
                  <c:v>41400</c:v>
                </c:pt>
                <c:pt idx="984">
                  <c:v>41401</c:v>
                </c:pt>
                <c:pt idx="985">
                  <c:v>41402</c:v>
                </c:pt>
                <c:pt idx="986">
                  <c:v>41403</c:v>
                </c:pt>
                <c:pt idx="987">
                  <c:v>41404</c:v>
                </c:pt>
                <c:pt idx="988">
                  <c:v>41407</c:v>
                </c:pt>
                <c:pt idx="989">
                  <c:v>41408</c:v>
                </c:pt>
                <c:pt idx="990">
                  <c:v>41409</c:v>
                </c:pt>
                <c:pt idx="991">
                  <c:v>41410</c:v>
                </c:pt>
                <c:pt idx="992">
                  <c:v>41411</c:v>
                </c:pt>
                <c:pt idx="993">
                  <c:v>41414</c:v>
                </c:pt>
                <c:pt idx="994">
                  <c:v>41415</c:v>
                </c:pt>
                <c:pt idx="995">
                  <c:v>41416</c:v>
                </c:pt>
                <c:pt idx="996">
                  <c:v>41417</c:v>
                </c:pt>
                <c:pt idx="997">
                  <c:v>41418</c:v>
                </c:pt>
                <c:pt idx="998">
                  <c:v>41422</c:v>
                </c:pt>
                <c:pt idx="999">
                  <c:v>41423</c:v>
                </c:pt>
                <c:pt idx="1000">
                  <c:v>41424</c:v>
                </c:pt>
                <c:pt idx="1001">
                  <c:v>41425</c:v>
                </c:pt>
                <c:pt idx="1002">
                  <c:v>41428</c:v>
                </c:pt>
                <c:pt idx="1003">
                  <c:v>41429</c:v>
                </c:pt>
                <c:pt idx="1004">
                  <c:v>41430</c:v>
                </c:pt>
                <c:pt idx="1005">
                  <c:v>41431</c:v>
                </c:pt>
                <c:pt idx="1006">
                  <c:v>41432</c:v>
                </c:pt>
                <c:pt idx="1007">
                  <c:v>41435</c:v>
                </c:pt>
                <c:pt idx="1008">
                  <c:v>41436</c:v>
                </c:pt>
                <c:pt idx="1009">
                  <c:v>41437</c:v>
                </c:pt>
                <c:pt idx="1010">
                  <c:v>41438</c:v>
                </c:pt>
                <c:pt idx="1011">
                  <c:v>41439</c:v>
                </c:pt>
                <c:pt idx="1012">
                  <c:v>41442</c:v>
                </c:pt>
                <c:pt idx="1013">
                  <c:v>41443</c:v>
                </c:pt>
                <c:pt idx="1014">
                  <c:v>41444</c:v>
                </c:pt>
                <c:pt idx="1015">
                  <c:v>41445</c:v>
                </c:pt>
                <c:pt idx="1016">
                  <c:v>41446</c:v>
                </c:pt>
                <c:pt idx="1017">
                  <c:v>41449</c:v>
                </c:pt>
                <c:pt idx="1018">
                  <c:v>41450</c:v>
                </c:pt>
                <c:pt idx="1019">
                  <c:v>41451</c:v>
                </c:pt>
                <c:pt idx="1020">
                  <c:v>41452</c:v>
                </c:pt>
                <c:pt idx="1021">
                  <c:v>41453</c:v>
                </c:pt>
                <c:pt idx="1022">
                  <c:v>41456</c:v>
                </c:pt>
                <c:pt idx="1023">
                  <c:v>41457</c:v>
                </c:pt>
                <c:pt idx="1024">
                  <c:v>41458</c:v>
                </c:pt>
                <c:pt idx="1025">
                  <c:v>41460</c:v>
                </c:pt>
                <c:pt idx="1026">
                  <c:v>41463</c:v>
                </c:pt>
                <c:pt idx="1027">
                  <c:v>41464</c:v>
                </c:pt>
                <c:pt idx="1028">
                  <c:v>41465</c:v>
                </c:pt>
                <c:pt idx="1029">
                  <c:v>41466</c:v>
                </c:pt>
                <c:pt idx="1030">
                  <c:v>41467</c:v>
                </c:pt>
                <c:pt idx="1031">
                  <c:v>41470</c:v>
                </c:pt>
                <c:pt idx="1032">
                  <c:v>41471</c:v>
                </c:pt>
                <c:pt idx="1033">
                  <c:v>41472</c:v>
                </c:pt>
                <c:pt idx="1034">
                  <c:v>41473</c:v>
                </c:pt>
                <c:pt idx="1035">
                  <c:v>41474</c:v>
                </c:pt>
                <c:pt idx="1036">
                  <c:v>41477</c:v>
                </c:pt>
                <c:pt idx="1037">
                  <c:v>41478</c:v>
                </c:pt>
                <c:pt idx="1038">
                  <c:v>41479</c:v>
                </c:pt>
                <c:pt idx="1039">
                  <c:v>41480</c:v>
                </c:pt>
                <c:pt idx="1040">
                  <c:v>41481</c:v>
                </c:pt>
                <c:pt idx="1041">
                  <c:v>41484</c:v>
                </c:pt>
                <c:pt idx="1042">
                  <c:v>41485</c:v>
                </c:pt>
                <c:pt idx="1043">
                  <c:v>41486</c:v>
                </c:pt>
                <c:pt idx="1044">
                  <c:v>41487</c:v>
                </c:pt>
                <c:pt idx="1045">
                  <c:v>41488</c:v>
                </c:pt>
                <c:pt idx="1046">
                  <c:v>41491</c:v>
                </c:pt>
                <c:pt idx="1047">
                  <c:v>41492</c:v>
                </c:pt>
                <c:pt idx="1048">
                  <c:v>41493</c:v>
                </c:pt>
                <c:pt idx="1049">
                  <c:v>41494</c:v>
                </c:pt>
                <c:pt idx="1050">
                  <c:v>41495</c:v>
                </c:pt>
                <c:pt idx="1051">
                  <c:v>41498</c:v>
                </c:pt>
                <c:pt idx="1052">
                  <c:v>41499</c:v>
                </c:pt>
                <c:pt idx="1053">
                  <c:v>41500</c:v>
                </c:pt>
                <c:pt idx="1054">
                  <c:v>41501</c:v>
                </c:pt>
                <c:pt idx="1055">
                  <c:v>41502</c:v>
                </c:pt>
                <c:pt idx="1056">
                  <c:v>41505</c:v>
                </c:pt>
                <c:pt idx="1057">
                  <c:v>41506</c:v>
                </c:pt>
                <c:pt idx="1058">
                  <c:v>41507</c:v>
                </c:pt>
                <c:pt idx="1059">
                  <c:v>41508</c:v>
                </c:pt>
                <c:pt idx="1060">
                  <c:v>41509</c:v>
                </c:pt>
                <c:pt idx="1061">
                  <c:v>41512</c:v>
                </c:pt>
                <c:pt idx="1062">
                  <c:v>41513</c:v>
                </c:pt>
                <c:pt idx="1063">
                  <c:v>41514</c:v>
                </c:pt>
                <c:pt idx="1064">
                  <c:v>41515</c:v>
                </c:pt>
                <c:pt idx="1065">
                  <c:v>41516</c:v>
                </c:pt>
                <c:pt idx="1066">
                  <c:v>41520</c:v>
                </c:pt>
                <c:pt idx="1067">
                  <c:v>41521</c:v>
                </c:pt>
                <c:pt idx="1068">
                  <c:v>41522</c:v>
                </c:pt>
                <c:pt idx="1069">
                  <c:v>41523</c:v>
                </c:pt>
                <c:pt idx="1070">
                  <c:v>41526</c:v>
                </c:pt>
                <c:pt idx="1071">
                  <c:v>41527</c:v>
                </c:pt>
                <c:pt idx="1072">
                  <c:v>41528</c:v>
                </c:pt>
                <c:pt idx="1073">
                  <c:v>41529</c:v>
                </c:pt>
                <c:pt idx="1074">
                  <c:v>41530</c:v>
                </c:pt>
                <c:pt idx="1075">
                  <c:v>41533</c:v>
                </c:pt>
                <c:pt idx="1076">
                  <c:v>41534</c:v>
                </c:pt>
                <c:pt idx="1077">
                  <c:v>41535</c:v>
                </c:pt>
                <c:pt idx="1078">
                  <c:v>41536</c:v>
                </c:pt>
                <c:pt idx="1079">
                  <c:v>41537</c:v>
                </c:pt>
                <c:pt idx="1080">
                  <c:v>41540</c:v>
                </c:pt>
                <c:pt idx="1081">
                  <c:v>41541</c:v>
                </c:pt>
                <c:pt idx="1082">
                  <c:v>41542</c:v>
                </c:pt>
                <c:pt idx="1083">
                  <c:v>41543</c:v>
                </c:pt>
                <c:pt idx="1084">
                  <c:v>41544</c:v>
                </c:pt>
                <c:pt idx="1085">
                  <c:v>41547</c:v>
                </c:pt>
                <c:pt idx="1086">
                  <c:v>41548</c:v>
                </c:pt>
                <c:pt idx="1087">
                  <c:v>41549</c:v>
                </c:pt>
                <c:pt idx="1088">
                  <c:v>41550</c:v>
                </c:pt>
                <c:pt idx="1089">
                  <c:v>41551</c:v>
                </c:pt>
                <c:pt idx="1090">
                  <c:v>41554</c:v>
                </c:pt>
                <c:pt idx="1091">
                  <c:v>41555</c:v>
                </c:pt>
                <c:pt idx="1092">
                  <c:v>41556</c:v>
                </c:pt>
                <c:pt idx="1093">
                  <c:v>41557</c:v>
                </c:pt>
                <c:pt idx="1094">
                  <c:v>41558</c:v>
                </c:pt>
                <c:pt idx="1095">
                  <c:v>41561</c:v>
                </c:pt>
                <c:pt idx="1096">
                  <c:v>41562</c:v>
                </c:pt>
                <c:pt idx="1097">
                  <c:v>41563</c:v>
                </c:pt>
                <c:pt idx="1098">
                  <c:v>41564</c:v>
                </c:pt>
                <c:pt idx="1099">
                  <c:v>41565</c:v>
                </c:pt>
                <c:pt idx="1100">
                  <c:v>41568</c:v>
                </c:pt>
                <c:pt idx="1101">
                  <c:v>41569</c:v>
                </c:pt>
                <c:pt idx="1102">
                  <c:v>41570</c:v>
                </c:pt>
                <c:pt idx="1103">
                  <c:v>41571</c:v>
                </c:pt>
                <c:pt idx="1104">
                  <c:v>41572</c:v>
                </c:pt>
                <c:pt idx="1105">
                  <c:v>41575</c:v>
                </c:pt>
                <c:pt idx="1106">
                  <c:v>41576</c:v>
                </c:pt>
                <c:pt idx="1107">
                  <c:v>41577</c:v>
                </c:pt>
                <c:pt idx="1108">
                  <c:v>41578</c:v>
                </c:pt>
                <c:pt idx="1109">
                  <c:v>41579</c:v>
                </c:pt>
                <c:pt idx="1110">
                  <c:v>41582</c:v>
                </c:pt>
                <c:pt idx="1111">
                  <c:v>41583</c:v>
                </c:pt>
                <c:pt idx="1112">
                  <c:v>41584</c:v>
                </c:pt>
                <c:pt idx="1113">
                  <c:v>41585</c:v>
                </c:pt>
                <c:pt idx="1114">
                  <c:v>41586</c:v>
                </c:pt>
                <c:pt idx="1115">
                  <c:v>41589</c:v>
                </c:pt>
                <c:pt idx="1116">
                  <c:v>41590</c:v>
                </c:pt>
                <c:pt idx="1117">
                  <c:v>41591</c:v>
                </c:pt>
                <c:pt idx="1118">
                  <c:v>41592</c:v>
                </c:pt>
                <c:pt idx="1119">
                  <c:v>41593</c:v>
                </c:pt>
                <c:pt idx="1120">
                  <c:v>41596</c:v>
                </c:pt>
                <c:pt idx="1121">
                  <c:v>41597</c:v>
                </c:pt>
                <c:pt idx="1122">
                  <c:v>41598</c:v>
                </c:pt>
                <c:pt idx="1123">
                  <c:v>41599</c:v>
                </c:pt>
                <c:pt idx="1124">
                  <c:v>41600</c:v>
                </c:pt>
                <c:pt idx="1125">
                  <c:v>41603</c:v>
                </c:pt>
                <c:pt idx="1126">
                  <c:v>41604</c:v>
                </c:pt>
                <c:pt idx="1127">
                  <c:v>41605</c:v>
                </c:pt>
                <c:pt idx="1128">
                  <c:v>41607</c:v>
                </c:pt>
                <c:pt idx="1129">
                  <c:v>41610</c:v>
                </c:pt>
                <c:pt idx="1130">
                  <c:v>41611</c:v>
                </c:pt>
                <c:pt idx="1131">
                  <c:v>41612</c:v>
                </c:pt>
                <c:pt idx="1132">
                  <c:v>41613</c:v>
                </c:pt>
                <c:pt idx="1133">
                  <c:v>41614</c:v>
                </c:pt>
                <c:pt idx="1134">
                  <c:v>41617</c:v>
                </c:pt>
                <c:pt idx="1135">
                  <c:v>41618</c:v>
                </c:pt>
                <c:pt idx="1136">
                  <c:v>41619</c:v>
                </c:pt>
                <c:pt idx="1137">
                  <c:v>41620</c:v>
                </c:pt>
                <c:pt idx="1138">
                  <c:v>41621</c:v>
                </c:pt>
                <c:pt idx="1139">
                  <c:v>41624</c:v>
                </c:pt>
                <c:pt idx="1140">
                  <c:v>41625</c:v>
                </c:pt>
                <c:pt idx="1141">
                  <c:v>41626</c:v>
                </c:pt>
                <c:pt idx="1142">
                  <c:v>41627</c:v>
                </c:pt>
                <c:pt idx="1143">
                  <c:v>41628</c:v>
                </c:pt>
                <c:pt idx="1144">
                  <c:v>41631</c:v>
                </c:pt>
                <c:pt idx="1145">
                  <c:v>41632</c:v>
                </c:pt>
                <c:pt idx="1146">
                  <c:v>41634</c:v>
                </c:pt>
                <c:pt idx="1147">
                  <c:v>41635</c:v>
                </c:pt>
                <c:pt idx="1148">
                  <c:v>41638</c:v>
                </c:pt>
                <c:pt idx="1149">
                  <c:v>41639</c:v>
                </c:pt>
                <c:pt idx="1150">
                  <c:v>41641</c:v>
                </c:pt>
                <c:pt idx="1151">
                  <c:v>41642</c:v>
                </c:pt>
                <c:pt idx="1152">
                  <c:v>41645</c:v>
                </c:pt>
                <c:pt idx="1153">
                  <c:v>41646</c:v>
                </c:pt>
                <c:pt idx="1154">
                  <c:v>41647</c:v>
                </c:pt>
                <c:pt idx="1155">
                  <c:v>41648</c:v>
                </c:pt>
                <c:pt idx="1156">
                  <c:v>41649</c:v>
                </c:pt>
                <c:pt idx="1157">
                  <c:v>41652</c:v>
                </c:pt>
                <c:pt idx="1158">
                  <c:v>41653</c:v>
                </c:pt>
                <c:pt idx="1159">
                  <c:v>41654</c:v>
                </c:pt>
                <c:pt idx="1160">
                  <c:v>41655</c:v>
                </c:pt>
                <c:pt idx="1161">
                  <c:v>41656</c:v>
                </c:pt>
                <c:pt idx="1162">
                  <c:v>41660</c:v>
                </c:pt>
                <c:pt idx="1163">
                  <c:v>41661</c:v>
                </c:pt>
                <c:pt idx="1164">
                  <c:v>41662</c:v>
                </c:pt>
                <c:pt idx="1165">
                  <c:v>41663</c:v>
                </c:pt>
                <c:pt idx="1166">
                  <c:v>41666</c:v>
                </c:pt>
                <c:pt idx="1167">
                  <c:v>41667</c:v>
                </c:pt>
                <c:pt idx="1168">
                  <c:v>41668</c:v>
                </c:pt>
                <c:pt idx="1169">
                  <c:v>41669</c:v>
                </c:pt>
                <c:pt idx="1170">
                  <c:v>41670</c:v>
                </c:pt>
                <c:pt idx="1171">
                  <c:v>41673</c:v>
                </c:pt>
                <c:pt idx="1172">
                  <c:v>41674</c:v>
                </c:pt>
                <c:pt idx="1173">
                  <c:v>41675</c:v>
                </c:pt>
                <c:pt idx="1174">
                  <c:v>41676</c:v>
                </c:pt>
                <c:pt idx="1175">
                  <c:v>41677</c:v>
                </c:pt>
                <c:pt idx="1176">
                  <c:v>41680</c:v>
                </c:pt>
                <c:pt idx="1177">
                  <c:v>41681</c:v>
                </c:pt>
                <c:pt idx="1178">
                  <c:v>41682</c:v>
                </c:pt>
                <c:pt idx="1179">
                  <c:v>41683</c:v>
                </c:pt>
                <c:pt idx="1180">
                  <c:v>41684</c:v>
                </c:pt>
                <c:pt idx="1181">
                  <c:v>41688</c:v>
                </c:pt>
                <c:pt idx="1182">
                  <c:v>41689</c:v>
                </c:pt>
                <c:pt idx="1183">
                  <c:v>41690</c:v>
                </c:pt>
                <c:pt idx="1184">
                  <c:v>41691</c:v>
                </c:pt>
                <c:pt idx="1185">
                  <c:v>41694</c:v>
                </c:pt>
                <c:pt idx="1186">
                  <c:v>41695</c:v>
                </c:pt>
                <c:pt idx="1187">
                  <c:v>41696</c:v>
                </c:pt>
                <c:pt idx="1188">
                  <c:v>41697</c:v>
                </c:pt>
                <c:pt idx="1189">
                  <c:v>41698</c:v>
                </c:pt>
                <c:pt idx="1190">
                  <c:v>41701</c:v>
                </c:pt>
                <c:pt idx="1191">
                  <c:v>41702</c:v>
                </c:pt>
                <c:pt idx="1192">
                  <c:v>41703</c:v>
                </c:pt>
                <c:pt idx="1193">
                  <c:v>41704</c:v>
                </c:pt>
                <c:pt idx="1194">
                  <c:v>41705</c:v>
                </c:pt>
                <c:pt idx="1195">
                  <c:v>41708</c:v>
                </c:pt>
                <c:pt idx="1196">
                  <c:v>41709</c:v>
                </c:pt>
                <c:pt idx="1197">
                  <c:v>41710</c:v>
                </c:pt>
                <c:pt idx="1198">
                  <c:v>41711</c:v>
                </c:pt>
                <c:pt idx="1199">
                  <c:v>41712</c:v>
                </c:pt>
                <c:pt idx="1200">
                  <c:v>41715</c:v>
                </c:pt>
                <c:pt idx="1201">
                  <c:v>41716</c:v>
                </c:pt>
                <c:pt idx="1202">
                  <c:v>41717</c:v>
                </c:pt>
                <c:pt idx="1203">
                  <c:v>41718</c:v>
                </c:pt>
                <c:pt idx="1204">
                  <c:v>41719</c:v>
                </c:pt>
                <c:pt idx="1205">
                  <c:v>41722</c:v>
                </c:pt>
                <c:pt idx="1206">
                  <c:v>41723</c:v>
                </c:pt>
                <c:pt idx="1207">
                  <c:v>41724</c:v>
                </c:pt>
                <c:pt idx="1208">
                  <c:v>41725</c:v>
                </c:pt>
                <c:pt idx="1209">
                  <c:v>41726</c:v>
                </c:pt>
                <c:pt idx="1210">
                  <c:v>41729</c:v>
                </c:pt>
                <c:pt idx="1211">
                  <c:v>41730</c:v>
                </c:pt>
                <c:pt idx="1212">
                  <c:v>41731</c:v>
                </c:pt>
                <c:pt idx="1213">
                  <c:v>41732</c:v>
                </c:pt>
                <c:pt idx="1214">
                  <c:v>41733</c:v>
                </c:pt>
                <c:pt idx="1215">
                  <c:v>41736</c:v>
                </c:pt>
                <c:pt idx="1216">
                  <c:v>41737</c:v>
                </c:pt>
                <c:pt idx="1217">
                  <c:v>41738</c:v>
                </c:pt>
                <c:pt idx="1218">
                  <c:v>41739</c:v>
                </c:pt>
                <c:pt idx="1219">
                  <c:v>41740</c:v>
                </c:pt>
                <c:pt idx="1220">
                  <c:v>41743</c:v>
                </c:pt>
                <c:pt idx="1221">
                  <c:v>41744</c:v>
                </c:pt>
                <c:pt idx="1222">
                  <c:v>41745</c:v>
                </c:pt>
                <c:pt idx="1223">
                  <c:v>41746</c:v>
                </c:pt>
                <c:pt idx="1224">
                  <c:v>41750</c:v>
                </c:pt>
                <c:pt idx="1225">
                  <c:v>41751</c:v>
                </c:pt>
                <c:pt idx="1226">
                  <c:v>41752</c:v>
                </c:pt>
                <c:pt idx="1227">
                  <c:v>41753</c:v>
                </c:pt>
                <c:pt idx="1228">
                  <c:v>41754</c:v>
                </c:pt>
                <c:pt idx="1229">
                  <c:v>41757</c:v>
                </c:pt>
                <c:pt idx="1230">
                  <c:v>41758</c:v>
                </c:pt>
                <c:pt idx="1231">
                  <c:v>41759</c:v>
                </c:pt>
                <c:pt idx="1232">
                  <c:v>41760</c:v>
                </c:pt>
                <c:pt idx="1233">
                  <c:v>41761</c:v>
                </c:pt>
                <c:pt idx="1234">
                  <c:v>41764</c:v>
                </c:pt>
                <c:pt idx="1235">
                  <c:v>41765</c:v>
                </c:pt>
                <c:pt idx="1236">
                  <c:v>41766</c:v>
                </c:pt>
                <c:pt idx="1237">
                  <c:v>41767</c:v>
                </c:pt>
                <c:pt idx="1238">
                  <c:v>41768</c:v>
                </c:pt>
                <c:pt idx="1239">
                  <c:v>41771</c:v>
                </c:pt>
                <c:pt idx="1240">
                  <c:v>41772</c:v>
                </c:pt>
                <c:pt idx="1241">
                  <c:v>41773</c:v>
                </c:pt>
                <c:pt idx="1242">
                  <c:v>41774</c:v>
                </c:pt>
                <c:pt idx="1243">
                  <c:v>41775</c:v>
                </c:pt>
                <c:pt idx="1244">
                  <c:v>41778</c:v>
                </c:pt>
                <c:pt idx="1245">
                  <c:v>41779</c:v>
                </c:pt>
                <c:pt idx="1246">
                  <c:v>41780</c:v>
                </c:pt>
                <c:pt idx="1247">
                  <c:v>41781</c:v>
                </c:pt>
                <c:pt idx="1248">
                  <c:v>41782</c:v>
                </c:pt>
                <c:pt idx="1249">
                  <c:v>41786</c:v>
                </c:pt>
                <c:pt idx="1250">
                  <c:v>41787</c:v>
                </c:pt>
                <c:pt idx="1251">
                  <c:v>41788</c:v>
                </c:pt>
                <c:pt idx="1252">
                  <c:v>41789</c:v>
                </c:pt>
                <c:pt idx="1253">
                  <c:v>41792</c:v>
                </c:pt>
                <c:pt idx="1254">
                  <c:v>41793</c:v>
                </c:pt>
                <c:pt idx="1255">
                  <c:v>41794</c:v>
                </c:pt>
                <c:pt idx="1256">
                  <c:v>41795</c:v>
                </c:pt>
                <c:pt idx="1257">
                  <c:v>41796</c:v>
                </c:pt>
                <c:pt idx="1258">
                  <c:v>41799</c:v>
                </c:pt>
                <c:pt idx="1259">
                  <c:v>41800</c:v>
                </c:pt>
                <c:pt idx="1260">
                  <c:v>41801</c:v>
                </c:pt>
                <c:pt idx="1261">
                  <c:v>41802</c:v>
                </c:pt>
                <c:pt idx="1262">
                  <c:v>41803</c:v>
                </c:pt>
                <c:pt idx="1263">
                  <c:v>41806</c:v>
                </c:pt>
                <c:pt idx="1264">
                  <c:v>41807</c:v>
                </c:pt>
                <c:pt idx="1265">
                  <c:v>41808</c:v>
                </c:pt>
                <c:pt idx="1266">
                  <c:v>41809</c:v>
                </c:pt>
                <c:pt idx="1267">
                  <c:v>41810</c:v>
                </c:pt>
                <c:pt idx="1268">
                  <c:v>41813</c:v>
                </c:pt>
                <c:pt idx="1269">
                  <c:v>41814</c:v>
                </c:pt>
                <c:pt idx="1270">
                  <c:v>41815</c:v>
                </c:pt>
                <c:pt idx="1271">
                  <c:v>41816</c:v>
                </c:pt>
                <c:pt idx="1272">
                  <c:v>41817</c:v>
                </c:pt>
                <c:pt idx="1273">
                  <c:v>41820</c:v>
                </c:pt>
                <c:pt idx="1274">
                  <c:v>41821</c:v>
                </c:pt>
                <c:pt idx="1275">
                  <c:v>41822</c:v>
                </c:pt>
                <c:pt idx="1276">
                  <c:v>41823</c:v>
                </c:pt>
                <c:pt idx="1277">
                  <c:v>41827</c:v>
                </c:pt>
                <c:pt idx="1278">
                  <c:v>41828</c:v>
                </c:pt>
                <c:pt idx="1279">
                  <c:v>41829</c:v>
                </c:pt>
                <c:pt idx="1280">
                  <c:v>41830</c:v>
                </c:pt>
                <c:pt idx="1281">
                  <c:v>41831</c:v>
                </c:pt>
                <c:pt idx="1282">
                  <c:v>41834</c:v>
                </c:pt>
                <c:pt idx="1283">
                  <c:v>41835</c:v>
                </c:pt>
                <c:pt idx="1284">
                  <c:v>41836</c:v>
                </c:pt>
                <c:pt idx="1285">
                  <c:v>41837</c:v>
                </c:pt>
                <c:pt idx="1286">
                  <c:v>41838</c:v>
                </c:pt>
                <c:pt idx="1287">
                  <c:v>41841</c:v>
                </c:pt>
                <c:pt idx="1288">
                  <c:v>41842</c:v>
                </c:pt>
                <c:pt idx="1289">
                  <c:v>41843</c:v>
                </c:pt>
                <c:pt idx="1290">
                  <c:v>41844</c:v>
                </c:pt>
                <c:pt idx="1291">
                  <c:v>41845</c:v>
                </c:pt>
                <c:pt idx="1292">
                  <c:v>41848</c:v>
                </c:pt>
                <c:pt idx="1293">
                  <c:v>41849</c:v>
                </c:pt>
                <c:pt idx="1294">
                  <c:v>41850</c:v>
                </c:pt>
                <c:pt idx="1295">
                  <c:v>41851</c:v>
                </c:pt>
                <c:pt idx="1296">
                  <c:v>41852</c:v>
                </c:pt>
                <c:pt idx="1297">
                  <c:v>41855</c:v>
                </c:pt>
                <c:pt idx="1298">
                  <c:v>41856</c:v>
                </c:pt>
                <c:pt idx="1299">
                  <c:v>41857</c:v>
                </c:pt>
                <c:pt idx="1300">
                  <c:v>41858</c:v>
                </c:pt>
                <c:pt idx="1301">
                  <c:v>41859</c:v>
                </c:pt>
                <c:pt idx="1302">
                  <c:v>41862</c:v>
                </c:pt>
                <c:pt idx="1303">
                  <c:v>41863</c:v>
                </c:pt>
                <c:pt idx="1304">
                  <c:v>41864</c:v>
                </c:pt>
                <c:pt idx="1305">
                  <c:v>41865</c:v>
                </c:pt>
                <c:pt idx="1306">
                  <c:v>41866</c:v>
                </c:pt>
                <c:pt idx="1307">
                  <c:v>41869</c:v>
                </c:pt>
                <c:pt idx="1308">
                  <c:v>41870</c:v>
                </c:pt>
                <c:pt idx="1309">
                  <c:v>41871</c:v>
                </c:pt>
                <c:pt idx="1310">
                  <c:v>41872</c:v>
                </c:pt>
                <c:pt idx="1311">
                  <c:v>41873</c:v>
                </c:pt>
                <c:pt idx="1312">
                  <c:v>41876</c:v>
                </c:pt>
                <c:pt idx="1313">
                  <c:v>41877</c:v>
                </c:pt>
                <c:pt idx="1314">
                  <c:v>41878</c:v>
                </c:pt>
                <c:pt idx="1315">
                  <c:v>41879</c:v>
                </c:pt>
                <c:pt idx="1316">
                  <c:v>41880</c:v>
                </c:pt>
                <c:pt idx="1317">
                  <c:v>41884</c:v>
                </c:pt>
                <c:pt idx="1318">
                  <c:v>41885</c:v>
                </c:pt>
                <c:pt idx="1319">
                  <c:v>41886</c:v>
                </c:pt>
                <c:pt idx="1320">
                  <c:v>41887</c:v>
                </c:pt>
                <c:pt idx="1321">
                  <c:v>41890</c:v>
                </c:pt>
                <c:pt idx="1322">
                  <c:v>41891</c:v>
                </c:pt>
                <c:pt idx="1323">
                  <c:v>41892</c:v>
                </c:pt>
                <c:pt idx="1324">
                  <c:v>41893</c:v>
                </c:pt>
                <c:pt idx="1325">
                  <c:v>41894</c:v>
                </c:pt>
                <c:pt idx="1326">
                  <c:v>41897</c:v>
                </c:pt>
                <c:pt idx="1327">
                  <c:v>41898</c:v>
                </c:pt>
                <c:pt idx="1328">
                  <c:v>41899</c:v>
                </c:pt>
                <c:pt idx="1329">
                  <c:v>41900</c:v>
                </c:pt>
                <c:pt idx="1330">
                  <c:v>41901</c:v>
                </c:pt>
                <c:pt idx="1331">
                  <c:v>41904</c:v>
                </c:pt>
                <c:pt idx="1332">
                  <c:v>41905</c:v>
                </c:pt>
                <c:pt idx="1333">
                  <c:v>41906</c:v>
                </c:pt>
                <c:pt idx="1334">
                  <c:v>41907</c:v>
                </c:pt>
                <c:pt idx="1335">
                  <c:v>41908</c:v>
                </c:pt>
                <c:pt idx="1336">
                  <c:v>41911</c:v>
                </c:pt>
                <c:pt idx="1337">
                  <c:v>41912</c:v>
                </c:pt>
                <c:pt idx="1338">
                  <c:v>41913</c:v>
                </c:pt>
                <c:pt idx="1339">
                  <c:v>41914</c:v>
                </c:pt>
                <c:pt idx="1340">
                  <c:v>41915</c:v>
                </c:pt>
                <c:pt idx="1341">
                  <c:v>41918</c:v>
                </c:pt>
                <c:pt idx="1342">
                  <c:v>41919</c:v>
                </c:pt>
                <c:pt idx="1343">
                  <c:v>41920</c:v>
                </c:pt>
                <c:pt idx="1344">
                  <c:v>41921</c:v>
                </c:pt>
                <c:pt idx="1345">
                  <c:v>41922</c:v>
                </c:pt>
                <c:pt idx="1346">
                  <c:v>41925</c:v>
                </c:pt>
                <c:pt idx="1347">
                  <c:v>41926</c:v>
                </c:pt>
                <c:pt idx="1348">
                  <c:v>41927</c:v>
                </c:pt>
                <c:pt idx="1349">
                  <c:v>41928</c:v>
                </c:pt>
                <c:pt idx="1350">
                  <c:v>41929</c:v>
                </c:pt>
                <c:pt idx="1351">
                  <c:v>41932</c:v>
                </c:pt>
                <c:pt idx="1352">
                  <c:v>41933</c:v>
                </c:pt>
                <c:pt idx="1353">
                  <c:v>41934</c:v>
                </c:pt>
                <c:pt idx="1354">
                  <c:v>41935</c:v>
                </c:pt>
                <c:pt idx="1355">
                  <c:v>41936</c:v>
                </c:pt>
                <c:pt idx="1356">
                  <c:v>41939</c:v>
                </c:pt>
                <c:pt idx="1357">
                  <c:v>41940</c:v>
                </c:pt>
                <c:pt idx="1358">
                  <c:v>41941</c:v>
                </c:pt>
                <c:pt idx="1359">
                  <c:v>41942</c:v>
                </c:pt>
                <c:pt idx="1360">
                  <c:v>41943</c:v>
                </c:pt>
                <c:pt idx="1361">
                  <c:v>41946</c:v>
                </c:pt>
                <c:pt idx="1362">
                  <c:v>41947</c:v>
                </c:pt>
                <c:pt idx="1363">
                  <c:v>41948</c:v>
                </c:pt>
                <c:pt idx="1364">
                  <c:v>41949</c:v>
                </c:pt>
                <c:pt idx="1365">
                  <c:v>41950</c:v>
                </c:pt>
                <c:pt idx="1366">
                  <c:v>41953</c:v>
                </c:pt>
                <c:pt idx="1367">
                  <c:v>41954</c:v>
                </c:pt>
                <c:pt idx="1368">
                  <c:v>41955</c:v>
                </c:pt>
                <c:pt idx="1369">
                  <c:v>41956</c:v>
                </c:pt>
                <c:pt idx="1370">
                  <c:v>41957</c:v>
                </c:pt>
                <c:pt idx="1371">
                  <c:v>41960</c:v>
                </c:pt>
                <c:pt idx="1372">
                  <c:v>41961</c:v>
                </c:pt>
                <c:pt idx="1373">
                  <c:v>41962</c:v>
                </c:pt>
                <c:pt idx="1374">
                  <c:v>41963</c:v>
                </c:pt>
                <c:pt idx="1375">
                  <c:v>41964</c:v>
                </c:pt>
                <c:pt idx="1376">
                  <c:v>41967</c:v>
                </c:pt>
                <c:pt idx="1377">
                  <c:v>41968</c:v>
                </c:pt>
                <c:pt idx="1378">
                  <c:v>41969</c:v>
                </c:pt>
                <c:pt idx="1379">
                  <c:v>41971</c:v>
                </c:pt>
                <c:pt idx="1380">
                  <c:v>41974</c:v>
                </c:pt>
                <c:pt idx="1381">
                  <c:v>41975</c:v>
                </c:pt>
                <c:pt idx="1382">
                  <c:v>41976</c:v>
                </c:pt>
                <c:pt idx="1383">
                  <c:v>41977</c:v>
                </c:pt>
                <c:pt idx="1384">
                  <c:v>41978</c:v>
                </c:pt>
                <c:pt idx="1385">
                  <c:v>41981</c:v>
                </c:pt>
                <c:pt idx="1386">
                  <c:v>41982</c:v>
                </c:pt>
                <c:pt idx="1387">
                  <c:v>41983</c:v>
                </c:pt>
                <c:pt idx="1388">
                  <c:v>41984</c:v>
                </c:pt>
                <c:pt idx="1389">
                  <c:v>41985</c:v>
                </c:pt>
                <c:pt idx="1390">
                  <c:v>41988</c:v>
                </c:pt>
                <c:pt idx="1391">
                  <c:v>41989</c:v>
                </c:pt>
                <c:pt idx="1392">
                  <c:v>41990</c:v>
                </c:pt>
                <c:pt idx="1393">
                  <c:v>41991</c:v>
                </c:pt>
                <c:pt idx="1394">
                  <c:v>41992</c:v>
                </c:pt>
                <c:pt idx="1395">
                  <c:v>41995</c:v>
                </c:pt>
                <c:pt idx="1396">
                  <c:v>41996</c:v>
                </c:pt>
                <c:pt idx="1397">
                  <c:v>41997</c:v>
                </c:pt>
                <c:pt idx="1398">
                  <c:v>41999</c:v>
                </c:pt>
                <c:pt idx="1399">
                  <c:v>42002</c:v>
                </c:pt>
                <c:pt idx="1400">
                  <c:v>42003</c:v>
                </c:pt>
                <c:pt idx="1401">
                  <c:v>42004</c:v>
                </c:pt>
                <c:pt idx="1402">
                  <c:v>42006</c:v>
                </c:pt>
                <c:pt idx="1403">
                  <c:v>42009</c:v>
                </c:pt>
                <c:pt idx="1404">
                  <c:v>42010</c:v>
                </c:pt>
                <c:pt idx="1405">
                  <c:v>42011</c:v>
                </c:pt>
                <c:pt idx="1406">
                  <c:v>42012</c:v>
                </c:pt>
                <c:pt idx="1407">
                  <c:v>42013</c:v>
                </c:pt>
                <c:pt idx="1408">
                  <c:v>42016</c:v>
                </c:pt>
                <c:pt idx="1409">
                  <c:v>42017</c:v>
                </c:pt>
                <c:pt idx="1410">
                  <c:v>42018</c:v>
                </c:pt>
                <c:pt idx="1411">
                  <c:v>42019</c:v>
                </c:pt>
                <c:pt idx="1412">
                  <c:v>42020</c:v>
                </c:pt>
                <c:pt idx="1413">
                  <c:v>42024</c:v>
                </c:pt>
                <c:pt idx="1414">
                  <c:v>42025</c:v>
                </c:pt>
                <c:pt idx="1415">
                  <c:v>42026</c:v>
                </c:pt>
                <c:pt idx="1416">
                  <c:v>42027</c:v>
                </c:pt>
                <c:pt idx="1417">
                  <c:v>42030</c:v>
                </c:pt>
                <c:pt idx="1418">
                  <c:v>42031</c:v>
                </c:pt>
                <c:pt idx="1419">
                  <c:v>42032</c:v>
                </c:pt>
                <c:pt idx="1420">
                  <c:v>42033</c:v>
                </c:pt>
                <c:pt idx="1421">
                  <c:v>42034</c:v>
                </c:pt>
                <c:pt idx="1422">
                  <c:v>42037</c:v>
                </c:pt>
                <c:pt idx="1423">
                  <c:v>42038</c:v>
                </c:pt>
                <c:pt idx="1424">
                  <c:v>42039</c:v>
                </c:pt>
                <c:pt idx="1425">
                  <c:v>42040</c:v>
                </c:pt>
                <c:pt idx="1426">
                  <c:v>42041</c:v>
                </c:pt>
                <c:pt idx="1427">
                  <c:v>42044</c:v>
                </c:pt>
                <c:pt idx="1428">
                  <c:v>42045</c:v>
                </c:pt>
                <c:pt idx="1429">
                  <c:v>42046</c:v>
                </c:pt>
                <c:pt idx="1430">
                  <c:v>42047</c:v>
                </c:pt>
                <c:pt idx="1431">
                  <c:v>42048</c:v>
                </c:pt>
                <c:pt idx="1432">
                  <c:v>42052</c:v>
                </c:pt>
                <c:pt idx="1433">
                  <c:v>42053</c:v>
                </c:pt>
                <c:pt idx="1434">
                  <c:v>42054</c:v>
                </c:pt>
                <c:pt idx="1435">
                  <c:v>42055</c:v>
                </c:pt>
                <c:pt idx="1436">
                  <c:v>42058</c:v>
                </c:pt>
                <c:pt idx="1437">
                  <c:v>42059</c:v>
                </c:pt>
                <c:pt idx="1438">
                  <c:v>42060</c:v>
                </c:pt>
                <c:pt idx="1439">
                  <c:v>42061</c:v>
                </c:pt>
                <c:pt idx="1440">
                  <c:v>42062</c:v>
                </c:pt>
                <c:pt idx="1441">
                  <c:v>42065</c:v>
                </c:pt>
                <c:pt idx="1442">
                  <c:v>42066</c:v>
                </c:pt>
                <c:pt idx="1443">
                  <c:v>42067</c:v>
                </c:pt>
                <c:pt idx="1444">
                  <c:v>42068</c:v>
                </c:pt>
                <c:pt idx="1445">
                  <c:v>42069</c:v>
                </c:pt>
                <c:pt idx="1446">
                  <c:v>42072</c:v>
                </c:pt>
                <c:pt idx="1447">
                  <c:v>42073</c:v>
                </c:pt>
                <c:pt idx="1448">
                  <c:v>42074</c:v>
                </c:pt>
                <c:pt idx="1449">
                  <c:v>42075</c:v>
                </c:pt>
                <c:pt idx="1450">
                  <c:v>42076</c:v>
                </c:pt>
                <c:pt idx="1451">
                  <c:v>42079</c:v>
                </c:pt>
                <c:pt idx="1452">
                  <c:v>42080</c:v>
                </c:pt>
                <c:pt idx="1453">
                  <c:v>42081</c:v>
                </c:pt>
                <c:pt idx="1454">
                  <c:v>42082</c:v>
                </c:pt>
                <c:pt idx="1455">
                  <c:v>42083</c:v>
                </c:pt>
                <c:pt idx="1456">
                  <c:v>42086</c:v>
                </c:pt>
                <c:pt idx="1457">
                  <c:v>42087</c:v>
                </c:pt>
                <c:pt idx="1458">
                  <c:v>42088</c:v>
                </c:pt>
                <c:pt idx="1459">
                  <c:v>42089</c:v>
                </c:pt>
                <c:pt idx="1460">
                  <c:v>42090</c:v>
                </c:pt>
                <c:pt idx="1461">
                  <c:v>42093</c:v>
                </c:pt>
                <c:pt idx="1462">
                  <c:v>42094</c:v>
                </c:pt>
                <c:pt idx="1463">
                  <c:v>42095</c:v>
                </c:pt>
                <c:pt idx="1464">
                  <c:v>42096</c:v>
                </c:pt>
                <c:pt idx="1465">
                  <c:v>42100</c:v>
                </c:pt>
                <c:pt idx="1466">
                  <c:v>42101</c:v>
                </c:pt>
                <c:pt idx="1467">
                  <c:v>42102</c:v>
                </c:pt>
                <c:pt idx="1468">
                  <c:v>42103</c:v>
                </c:pt>
                <c:pt idx="1469">
                  <c:v>42104</c:v>
                </c:pt>
                <c:pt idx="1470">
                  <c:v>42107</c:v>
                </c:pt>
                <c:pt idx="1471">
                  <c:v>42108</c:v>
                </c:pt>
                <c:pt idx="1472">
                  <c:v>42109</c:v>
                </c:pt>
                <c:pt idx="1473">
                  <c:v>42110</c:v>
                </c:pt>
                <c:pt idx="1474">
                  <c:v>42111</c:v>
                </c:pt>
                <c:pt idx="1475">
                  <c:v>42114</c:v>
                </c:pt>
                <c:pt idx="1476">
                  <c:v>42115</c:v>
                </c:pt>
                <c:pt idx="1477">
                  <c:v>42116</c:v>
                </c:pt>
                <c:pt idx="1478">
                  <c:v>42117</c:v>
                </c:pt>
                <c:pt idx="1479">
                  <c:v>42118</c:v>
                </c:pt>
                <c:pt idx="1480">
                  <c:v>42121</c:v>
                </c:pt>
                <c:pt idx="1481">
                  <c:v>42122</c:v>
                </c:pt>
                <c:pt idx="1482">
                  <c:v>42123</c:v>
                </c:pt>
                <c:pt idx="1483">
                  <c:v>42124</c:v>
                </c:pt>
                <c:pt idx="1484">
                  <c:v>42125</c:v>
                </c:pt>
                <c:pt idx="1485">
                  <c:v>42128</c:v>
                </c:pt>
                <c:pt idx="1486">
                  <c:v>42129</c:v>
                </c:pt>
                <c:pt idx="1487">
                  <c:v>42130</c:v>
                </c:pt>
                <c:pt idx="1488">
                  <c:v>42131</c:v>
                </c:pt>
                <c:pt idx="1489">
                  <c:v>42132</c:v>
                </c:pt>
                <c:pt idx="1490">
                  <c:v>42135</c:v>
                </c:pt>
                <c:pt idx="1491">
                  <c:v>42136</c:v>
                </c:pt>
                <c:pt idx="1492">
                  <c:v>42137</c:v>
                </c:pt>
                <c:pt idx="1493">
                  <c:v>42138</c:v>
                </c:pt>
                <c:pt idx="1494">
                  <c:v>42139</c:v>
                </c:pt>
                <c:pt idx="1495">
                  <c:v>42142</c:v>
                </c:pt>
                <c:pt idx="1496">
                  <c:v>42143</c:v>
                </c:pt>
                <c:pt idx="1497">
                  <c:v>42144</c:v>
                </c:pt>
                <c:pt idx="1498">
                  <c:v>42145</c:v>
                </c:pt>
                <c:pt idx="1499">
                  <c:v>42146</c:v>
                </c:pt>
                <c:pt idx="1500">
                  <c:v>42150</c:v>
                </c:pt>
                <c:pt idx="1501">
                  <c:v>42151</c:v>
                </c:pt>
                <c:pt idx="1502">
                  <c:v>42152</c:v>
                </c:pt>
                <c:pt idx="1503">
                  <c:v>42153</c:v>
                </c:pt>
                <c:pt idx="1504">
                  <c:v>42156</c:v>
                </c:pt>
                <c:pt idx="1505">
                  <c:v>42157</c:v>
                </c:pt>
                <c:pt idx="1506">
                  <c:v>42158</c:v>
                </c:pt>
                <c:pt idx="1507">
                  <c:v>42159</c:v>
                </c:pt>
                <c:pt idx="1508">
                  <c:v>42160</c:v>
                </c:pt>
                <c:pt idx="1509">
                  <c:v>42163</c:v>
                </c:pt>
                <c:pt idx="1510">
                  <c:v>42164</c:v>
                </c:pt>
                <c:pt idx="1511">
                  <c:v>42165</c:v>
                </c:pt>
                <c:pt idx="1512">
                  <c:v>42166</c:v>
                </c:pt>
                <c:pt idx="1513">
                  <c:v>42167</c:v>
                </c:pt>
                <c:pt idx="1514">
                  <c:v>42170</c:v>
                </c:pt>
                <c:pt idx="1515">
                  <c:v>42171</c:v>
                </c:pt>
                <c:pt idx="1516">
                  <c:v>42172</c:v>
                </c:pt>
                <c:pt idx="1517">
                  <c:v>42173</c:v>
                </c:pt>
                <c:pt idx="1518">
                  <c:v>42174</c:v>
                </c:pt>
                <c:pt idx="1519">
                  <c:v>42177</c:v>
                </c:pt>
                <c:pt idx="1520">
                  <c:v>42178</c:v>
                </c:pt>
                <c:pt idx="1521">
                  <c:v>42179</c:v>
                </c:pt>
                <c:pt idx="1522">
                  <c:v>42180</c:v>
                </c:pt>
                <c:pt idx="1523">
                  <c:v>42181</c:v>
                </c:pt>
                <c:pt idx="1524">
                  <c:v>42184</c:v>
                </c:pt>
                <c:pt idx="1525">
                  <c:v>42185</c:v>
                </c:pt>
                <c:pt idx="1526">
                  <c:v>42186</c:v>
                </c:pt>
                <c:pt idx="1527">
                  <c:v>42187</c:v>
                </c:pt>
                <c:pt idx="1528">
                  <c:v>42191</c:v>
                </c:pt>
                <c:pt idx="1529">
                  <c:v>42192</c:v>
                </c:pt>
                <c:pt idx="1530">
                  <c:v>42193</c:v>
                </c:pt>
                <c:pt idx="1531">
                  <c:v>42194</c:v>
                </c:pt>
                <c:pt idx="1532">
                  <c:v>42195</c:v>
                </c:pt>
                <c:pt idx="1533">
                  <c:v>42198</c:v>
                </c:pt>
                <c:pt idx="1534">
                  <c:v>42199</c:v>
                </c:pt>
                <c:pt idx="1535">
                  <c:v>42200</c:v>
                </c:pt>
                <c:pt idx="1536">
                  <c:v>42201</c:v>
                </c:pt>
                <c:pt idx="1537">
                  <c:v>42202</c:v>
                </c:pt>
                <c:pt idx="1538">
                  <c:v>42205</c:v>
                </c:pt>
                <c:pt idx="1539">
                  <c:v>42206</c:v>
                </c:pt>
                <c:pt idx="1540">
                  <c:v>42207</c:v>
                </c:pt>
                <c:pt idx="1541">
                  <c:v>42208</c:v>
                </c:pt>
                <c:pt idx="1542">
                  <c:v>42209</c:v>
                </c:pt>
                <c:pt idx="1543">
                  <c:v>42212</c:v>
                </c:pt>
                <c:pt idx="1544">
                  <c:v>42213</c:v>
                </c:pt>
                <c:pt idx="1545">
                  <c:v>42214</c:v>
                </c:pt>
                <c:pt idx="1546">
                  <c:v>42215</c:v>
                </c:pt>
                <c:pt idx="1547">
                  <c:v>42216</c:v>
                </c:pt>
                <c:pt idx="1548">
                  <c:v>42219</c:v>
                </c:pt>
                <c:pt idx="1549">
                  <c:v>42220</c:v>
                </c:pt>
                <c:pt idx="1550">
                  <c:v>42221</c:v>
                </c:pt>
                <c:pt idx="1551">
                  <c:v>42222</c:v>
                </c:pt>
                <c:pt idx="1552">
                  <c:v>42223</c:v>
                </c:pt>
                <c:pt idx="1553">
                  <c:v>42226</c:v>
                </c:pt>
                <c:pt idx="1554">
                  <c:v>42227</c:v>
                </c:pt>
                <c:pt idx="1555">
                  <c:v>42228</c:v>
                </c:pt>
                <c:pt idx="1556">
                  <c:v>42229</c:v>
                </c:pt>
                <c:pt idx="1557">
                  <c:v>42230</c:v>
                </c:pt>
                <c:pt idx="1558">
                  <c:v>42233</c:v>
                </c:pt>
                <c:pt idx="1559">
                  <c:v>42234</c:v>
                </c:pt>
                <c:pt idx="1560">
                  <c:v>42235</c:v>
                </c:pt>
                <c:pt idx="1561">
                  <c:v>42236</c:v>
                </c:pt>
                <c:pt idx="1562">
                  <c:v>42237</c:v>
                </c:pt>
                <c:pt idx="1563">
                  <c:v>42240</c:v>
                </c:pt>
                <c:pt idx="1564">
                  <c:v>42241</c:v>
                </c:pt>
                <c:pt idx="1565">
                  <c:v>42242</c:v>
                </c:pt>
                <c:pt idx="1566">
                  <c:v>42243</c:v>
                </c:pt>
                <c:pt idx="1567">
                  <c:v>42244</c:v>
                </c:pt>
                <c:pt idx="1568">
                  <c:v>42247</c:v>
                </c:pt>
                <c:pt idx="1569">
                  <c:v>42248</c:v>
                </c:pt>
                <c:pt idx="1570">
                  <c:v>42249</c:v>
                </c:pt>
                <c:pt idx="1571">
                  <c:v>42250</c:v>
                </c:pt>
                <c:pt idx="1572">
                  <c:v>42251</c:v>
                </c:pt>
                <c:pt idx="1573">
                  <c:v>42255</c:v>
                </c:pt>
                <c:pt idx="1574">
                  <c:v>42256</c:v>
                </c:pt>
                <c:pt idx="1575">
                  <c:v>42257</c:v>
                </c:pt>
                <c:pt idx="1576">
                  <c:v>42258</c:v>
                </c:pt>
                <c:pt idx="1577">
                  <c:v>42261</c:v>
                </c:pt>
                <c:pt idx="1578">
                  <c:v>42262</c:v>
                </c:pt>
                <c:pt idx="1579">
                  <c:v>42263</c:v>
                </c:pt>
                <c:pt idx="1580">
                  <c:v>42264</c:v>
                </c:pt>
                <c:pt idx="1581">
                  <c:v>42265</c:v>
                </c:pt>
                <c:pt idx="1582">
                  <c:v>42268</c:v>
                </c:pt>
                <c:pt idx="1583">
                  <c:v>42269</c:v>
                </c:pt>
                <c:pt idx="1584">
                  <c:v>42270</c:v>
                </c:pt>
                <c:pt idx="1585">
                  <c:v>42271</c:v>
                </c:pt>
                <c:pt idx="1586">
                  <c:v>42272</c:v>
                </c:pt>
                <c:pt idx="1587">
                  <c:v>42275</c:v>
                </c:pt>
                <c:pt idx="1588">
                  <c:v>42276</c:v>
                </c:pt>
                <c:pt idx="1589">
                  <c:v>42277</c:v>
                </c:pt>
                <c:pt idx="1590">
                  <c:v>42278</c:v>
                </c:pt>
                <c:pt idx="1591">
                  <c:v>42279</c:v>
                </c:pt>
                <c:pt idx="1592">
                  <c:v>42282</c:v>
                </c:pt>
                <c:pt idx="1593">
                  <c:v>42283</c:v>
                </c:pt>
                <c:pt idx="1594">
                  <c:v>42284</c:v>
                </c:pt>
                <c:pt idx="1595">
                  <c:v>42285</c:v>
                </c:pt>
                <c:pt idx="1596">
                  <c:v>42286</c:v>
                </c:pt>
                <c:pt idx="1597">
                  <c:v>42289</c:v>
                </c:pt>
                <c:pt idx="1598">
                  <c:v>42290</c:v>
                </c:pt>
                <c:pt idx="1599">
                  <c:v>42291</c:v>
                </c:pt>
                <c:pt idx="1600">
                  <c:v>42292</c:v>
                </c:pt>
                <c:pt idx="1601">
                  <c:v>42293</c:v>
                </c:pt>
                <c:pt idx="1602">
                  <c:v>42296</c:v>
                </c:pt>
                <c:pt idx="1603">
                  <c:v>42297</c:v>
                </c:pt>
                <c:pt idx="1604">
                  <c:v>42298</c:v>
                </c:pt>
                <c:pt idx="1605">
                  <c:v>42299</c:v>
                </c:pt>
                <c:pt idx="1606">
                  <c:v>42300</c:v>
                </c:pt>
                <c:pt idx="1607">
                  <c:v>42303</c:v>
                </c:pt>
                <c:pt idx="1608">
                  <c:v>42304</c:v>
                </c:pt>
                <c:pt idx="1609">
                  <c:v>42305</c:v>
                </c:pt>
                <c:pt idx="1610">
                  <c:v>42306</c:v>
                </c:pt>
                <c:pt idx="1611">
                  <c:v>42307</c:v>
                </c:pt>
                <c:pt idx="1612">
                  <c:v>42310</c:v>
                </c:pt>
                <c:pt idx="1613">
                  <c:v>42311</c:v>
                </c:pt>
                <c:pt idx="1614">
                  <c:v>42312</c:v>
                </c:pt>
                <c:pt idx="1615">
                  <c:v>42313</c:v>
                </c:pt>
                <c:pt idx="1616">
                  <c:v>42314</c:v>
                </c:pt>
                <c:pt idx="1617">
                  <c:v>42317</c:v>
                </c:pt>
                <c:pt idx="1618">
                  <c:v>42318</c:v>
                </c:pt>
                <c:pt idx="1619">
                  <c:v>42319</c:v>
                </c:pt>
                <c:pt idx="1620">
                  <c:v>42320</c:v>
                </c:pt>
                <c:pt idx="1621">
                  <c:v>42321</c:v>
                </c:pt>
                <c:pt idx="1622">
                  <c:v>42324</c:v>
                </c:pt>
                <c:pt idx="1623">
                  <c:v>42325</c:v>
                </c:pt>
                <c:pt idx="1624">
                  <c:v>42326</c:v>
                </c:pt>
                <c:pt idx="1625">
                  <c:v>42327</c:v>
                </c:pt>
                <c:pt idx="1626">
                  <c:v>42328</c:v>
                </c:pt>
                <c:pt idx="1627">
                  <c:v>42331</c:v>
                </c:pt>
                <c:pt idx="1628">
                  <c:v>42332</c:v>
                </c:pt>
                <c:pt idx="1629">
                  <c:v>42333</c:v>
                </c:pt>
                <c:pt idx="1630">
                  <c:v>42335</c:v>
                </c:pt>
                <c:pt idx="1631">
                  <c:v>42338</c:v>
                </c:pt>
                <c:pt idx="1632">
                  <c:v>42339</c:v>
                </c:pt>
                <c:pt idx="1633">
                  <c:v>42340</c:v>
                </c:pt>
                <c:pt idx="1634">
                  <c:v>42341</c:v>
                </c:pt>
                <c:pt idx="1635">
                  <c:v>42342</c:v>
                </c:pt>
                <c:pt idx="1636">
                  <c:v>42345</c:v>
                </c:pt>
                <c:pt idx="1637">
                  <c:v>42346</c:v>
                </c:pt>
                <c:pt idx="1638">
                  <c:v>42347</c:v>
                </c:pt>
                <c:pt idx="1639">
                  <c:v>42348</c:v>
                </c:pt>
                <c:pt idx="1640">
                  <c:v>42349</c:v>
                </c:pt>
                <c:pt idx="1641">
                  <c:v>42352</c:v>
                </c:pt>
                <c:pt idx="1642">
                  <c:v>42353</c:v>
                </c:pt>
                <c:pt idx="1643">
                  <c:v>42354</c:v>
                </c:pt>
                <c:pt idx="1644">
                  <c:v>42355</c:v>
                </c:pt>
                <c:pt idx="1645">
                  <c:v>42356</c:v>
                </c:pt>
                <c:pt idx="1646">
                  <c:v>42359</c:v>
                </c:pt>
                <c:pt idx="1647">
                  <c:v>42360</c:v>
                </c:pt>
                <c:pt idx="1648">
                  <c:v>42361</c:v>
                </c:pt>
                <c:pt idx="1649">
                  <c:v>42362</c:v>
                </c:pt>
                <c:pt idx="1650">
                  <c:v>42366</c:v>
                </c:pt>
                <c:pt idx="1651">
                  <c:v>42367</c:v>
                </c:pt>
                <c:pt idx="1652">
                  <c:v>42368</c:v>
                </c:pt>
                <c:pt idx="1653">
                  <c:v>42369</c:v>
                </c:pt>
                <c:pt idx="1654">
                  <c:v>42373</c:v>
                </c:pt>
                <c:pt idx="1655">
                  <c:v>42374</c:v>
                </c:pt>
                <c:pt idx="1656">
                  <c:v>42375</c:v>
                </c:pt>
                <c:pt idx="1657">
                  <c:v>42376</c:v>
                </c:pt>
                <c:pt idx="1658">
                  <c:v>42377</c:v>
                </c:pt>
                <c:pt idx="1659">
                  <c:v>42380</c:v>
                </c:pt>
                <c:pt idx="1660">
                  <c:v>42381</c:v>
                </c:pt>
                <c:pt idx="1661">
                  <c:v>42382</c:v>
                </c:pt>
                <c:pt idx="1662">
                  <c:v>42383</c:v>
                </c:pt>
                <c:pt idx="1663">
                  <c:v>42384</c:v>
                </c:pt>
                <c:pt idx="1664">
                  <c:v>42388</c:v>
                </c:pt>
                <c:pt idx="1665">
                  <c:v>42389</c:v>
                </c:pt>
                <c:pt idx="1666">
                  <c:v>42390</c:v>
                </c:pt>
                <c:pt idx="1667">
                  <c:v>42391</c:v>
                </c:pt>
                <c:pt idx="1668">
                  <c:v>42394</c:v>
                </c:pt>
                <c:pt idx="1669">
                  <c:v>42395</c:v>
                </c:pt>
                <c:pt idx="1670">
                  <c:v>42396</c:v>
                </c:pt>
                <c:pt idx="1671">
                  <c:v>42397</c:v>
                </c:pt>
                <c:pt idx="1672">
                  <c:v>42398</c:v>
                </c:pt>
                <c:pt idx="1673">
                  <c:v>42401</c:v>
                </c:pt>
                <c:pt idx="1674">
                  <c:v>42402</c:v>
                </c:pt>
                <c:pt idx="1675">
                  <c:v>42403</c:v>
                </c:pt>
                <c:pt idx="1676">
                  <c:v>42404</c:v>
                </c:pt>
                <c:pt idx="1677">
                  <c:v>42405</c:v>
                </c:pt>
                <c:pt idx="1678">
                  <c:v>42408</c:v>
                </c:pt>
                <c:pt idx="1679">
                  <c:v>42409</c:v>
                </c:pt>
                <c:pt idx="1680">
                  <c:v>42410</c:v>
                </c:pt>
                <c:pt idx="1681">
                  <c:v>42411</c:v>
                </c:pt>
                <c:pt idx="1682">
                  <c:v>42412</c:v>
                </c:pt>
                <c:pt idx="1683">
                  <c:v>42416</c:v>
                </c:pt>
                <c:pt idx="1684">
                  <c:v>42417</c:v>
                </c:pt>
                <c:pt idx="1685">
                  <c:v>42418</c:v>
                </c:pt>
                <c:pt idx="1686">
                  <c:v>42419</c:v>
                </c:pt>
                <c:pt idx="1687">
                  <c:v>42422</c:v>
                </c:pt>
                <c:pt idx="1688">
                  <c:v>42423</c:v>
                </c:pt>
                <c:pt idx="1689">
                  <c:v>42424</c:v>
                </c:pt>
                <c:pt idx="1690">
                  <c:v>42425</c:v>
                </c:pt>
                <c:pt idx="1691">
                  <c:v>42426</c:v>
                </c:pt>
                <c:pt idx="1692">
                  <c:v>42429</c:v>
                </c:pt>
                <c:pt idx="1693">
                  <c:v>42430</c:v>
                </c:pt>
                <c:pt idx="1694">
                  <c:v>42431</c:v>
                </c:pt>
                <c:pt idx="1695">
                  <c:v>42432</c:v>
                </c:pt>
                <c:pt idx="1696">
                  <c:v>42433</c:v>
                </c:pt>
                <c:pt idx="1697">
                  <c:v>42436</c:v>
                </c:pt>
                <c:pt idx="1698">
                  <c:v>42437</c:v>
                </c:pt>
                <c:pt idx="1699">
                  <c:v>42438</c:v>
                </c:pt>
                <c:pt idx="1700">
                  <c:v>42439</c:v>
                </c:pt>
                <c:pt idx="1701">
                  <c:v>42440</c:v>
                </c:pt>
                <c:pt idx="1702">
                  <c:v>42443</c:v>
                </c:pt>
                <c:pt idx="1703">
                  <c:v>42444</c:v>
                </c:pt>
                <c:pt idx="1704">
                  <c:v>42445</c:v>
                </c:pt>
                <c:pt idx="1705">
                  <c:v>42446</c:v>
                </c:pt>
                <c:pt idx="1706">
                  <c:v>42447</c:v>
                </c:pt>
                <c:pt idx="1707">
                  <c:v>42450</c:v>
                </c:pt>
                <c:pt idx="1708">
                  <c:v>42451</c:v>
                </c:pt>
                <c:pt idx="1709">
                  <c:v>42452</c:v>
                </c:pt>
                <c:pt idx="1710">
                  <c:v>42453</c:v>
                </c:pt>
                <c:pt idx="1711">
                  <c:v>42457</c:v>
                </c:pt>
                <c:pt idx="1712">
                  <c:v>42458</c:v>
                </c:pt>
                <c:pt idx="1713">
                  <c:v>42459</c:v>
                </c:pt>
                <c:pt idx="1714">
                  <c:v>42460</c:v>
                </c:pt>
                <c:pt idx="1715">
                  <c:v>42461</c:v>
                </c:pt>
                <c:pt idx="1716">
                  <c:v>42464</c:v>
                </c:pt>
                <c:pt idx="1717">
                  <c:v>42465</c:v>
                </c:pt>
                <c:pt idx="1718">
                  <c:v>42466</c:v>
                </c:pt>
                <c:pt idx="1719">
                  <c:v>42467</c:v>
                </c:pt>
                <c:pt idx="1720">
                  <c:v>42468</c:v>
                </c:pt>
                <c:pt idx="1721">
                  <c:v>42471</c:v>
                </c:pt>
                <c:pt idx="1722">
                  <c:v>42472</c:v>
                </c:pt>
                <c:pt idx="1723">
                  <c:v>42473</c:v>
                </c:pt>
                <c:pt idx="1724">
                  <c:v>42474</c:v>
                </c:pt>
                <c:pt idx="1725">
                  <c:v>42475</c:v>
                </c:pt>
                <c:pt idx="1726">
                  <c:v>42478</c:v>
                </c:pt>
                <c:pt idx="1727">
                  <c:v>42479</c:v>
                </c:pt>
                <c:pt idx="1728">
                  <c:v>42480</c:v>
                </c:pt>
                <c:pt idx="1729">
                  <c:v>42481</c:v>
                </c:pt>
                <c:pt idx="1730">
                  <c:v>42482</c:v>
                </c:pt>
                <c:pt idx="1731">
                  <c:v>42485</c:v>
                </c:pt>
                <c:pt idx="1732">
                  <c:v>42486</c:v>
                </c:pt>
                <c:pt idx="1733">
                  <c:v>42487</c:v>
                </c:pt>
                <c:pt idx="1734">
                  <c:v>42488</c:v>
                </c:pt>
                <c:pt idx="1735">
                  <c:v>42489</c:v>
                </c:pt>
                <c:pt idx="1736">
                  <c:v>42492</c:v>
                </c:pt>
                <c:pt idx="1737">
                  <c:v>42493</c:v>
                </c:pt>
                <c:pt idx="1738">
                  <c:v>42494</c:v>
                </c:pt>
                <c:pt idx="1739">
                  <c:v>42495</c:v>
                </c:pt>
                <c:pt idx="1740">
                  <c:v>42496</c:v>
                </c:pt>
                <c:pt idx="1741">
                  <c:v>42499</c:v>
                </c:pt>
                <c:pt idx="1742">
                  <c:v>42500</c:v>
                </c:pt>
                <c:pt idx="1743">
                  <c:v>42501</c:v>
                </c:pt>
                <c:pt idx="1744">
                  <c:v>42502</c:v>
                </c:pt>
                <c:pt idx="1745">
                  <c:v>42503</c:v>
                </c:pt>
                <c:pt idx="1746">
                  <c:v>42506</c:v>
                </c:pt>
                <c:pt idx="1747">
                  <c:v>42507</c:v>
                </c:pt>
                <c:pt idx="1748">
                  <c:v>42508</c:v>
                </c:pt>
                <c:pt idx="1749">
                  <c:v>42509</c:v>
                </c:pt>
                <c:pt idx="1750">
                  <c:v>42510</c:v>
                </c:pt>
                <c:pt idx="1751">
                  <c:v>42513</c:v>
                </c:pt>
                <c:pt idx="1752">
                  <c:v>42514</c:v>
                </c:pt>
                <c:pt idx="1753">
                  <c:v>42515</c:v>
                </c:pt>
                <c:pt idx="1754">
                  <c:v>42516</c:v>
                </c:pt>
                <c:pt idx="1755">
                  <c:v>42517</c:v>
                </c:pt>
                <c:pt idx="1756">
                  <c:v>42521</c:v>
                </c:pt>
                <c:pt idx="1757">
                  <c:v>42522</c:v>
                </c:pt>
                <c:pt idx="1758">
                  <c:v>42523</c:v>
                </c:pt>
                <c:pt idx="1759">
                  <c:v>42524</c:v>
                </c:pt>
                <c:pt idx="1760">
                  <c:v>42527</c:v>
                </c:pt>
                <c:pt idx="1761">
                  <c:v>42528</c:v>
                </c:pt>
                <c:pt idx="1762">
                  <c:v>42529</c:v>
                </c:pt>
                <c:pt idx="1763">
                  <c:v>42530</c:v>
                </c:pt>
                <c:pt idx="1764">
                  <c:v>42531</c:v>
                </c:pt>
                <c:pt idx="1765">
                  <c:v>42534</c:v>
                </c:pt>
                <c:pt idx="1766">
                  <c:v>42535</c:v>
                </c:pt>
                <c:pt idx="1767">
                  <c:v>42536</c:v>
                </c:pt>
                <c:pt idx="1768">
                  <c:v>42537</c:v>
                </c:pt>
                <c:pt idx="1769">
                  <c:v>42538</c:v>
                </c:pt>
                <c:pt idx="1770">
                  <c:v>42541</c:v>
                </c:pt>
                <c:pt idx="1771">
                  <c:v>42542</c:v>
                </c:pt>
                <c:pt idx="1772">
                  <c:v>42543</c:v>
                </c:pt>
                <c:pt idx="1773">
                  <c:v>42544</c:v>
                </c:pt>
                <c:pt idx="1774">
                  <c:v>42545</c:v>
                </c:pt>
                <c:pt idx="1775">
                  <c:v>42548</c:v>
                </c:pt>
                <c:pt idx="1776">
                  <c:v>42549</c:v>
                </c:pt>
                <c:pt idx="1777">
                  <c:v>42550</c:v>
                </c:pt>
                <c:pt idx="1778">
                  <c:v>42551</c:v>
                </c:pt>
                <c:pt idx="1779">
                  <c:v>42552</c:v>
                </c:pt>
                <c:pt idx="1780">
                  <c:v>42556</c:v>
                </c:pt>
                <c:pt idx="1781">
                  <c:v>42557</c:v>
                </c:pt>
                <c:pt idx="1782">
                  <c:v>42558</c:v>
                </c:pt>
                <c:pt idx="1783">
                  <c:v>42559</c:v>
                </c:pt>
                <c:pt idx="1784">
                  <c:v>42562</c:v>
                </c:pt>
                <c:pt idx="1785">
                  <c:v>42563</c:v>
                </c:pt>
                <c:pt idx="1786">
                  <c:v>42564</c:v>
                </c:pt>
                <c:pt idx="1787">
                  <c:v>42565</c:v>
                </c:pt>
                <c:pt idx="1788">
                  <c:v>42566</c:v>
                </c:pt>
                <c:pt idx="1789">
                  <c:v>42569</c:v>
                </c:pt>
                <c:pt idx="1790">
                  <c:v>42570</c:v>
                </c:pt>
                <c:pt idx="1791">
                  <c:v>42571</c:v>
                </c:pt>
                <c:pt idx="1792">
                  <c:v>42572</c:v>
                </c:pt>
                <c:pt idx="1793">
                  <c:v>42573</c:v>
                </c:pt>
                <c:pt idx="1794">
                  <c:v>42576</c:v>
                </c:pt>
                <c:pt idx="1795">
                  <c:v>42577</c:v>
                </c:pt>
                <c:pt idx="1796">
                  <c:v>42578</c:v>
                </c:pt>
                <c:pt idx="1797">
                  <c:v>42579</c:v>
                </c:pt>
                <c:pt idx="1798">
                  <c:v>42580</c:v>
                </c:pt>
                <c:pt idx="1799">
                  <c:v>42583</c:v>
                </c:pt>
                <c:pt idx="1800">
                  <c:v>42584</c:v>
                </c:pt>
                <c:pt idx="1801">
                  <c:v>42585</c:v>
                </c:pt>
                <c:pt idx="1802">
                  <c:v>42586</c:v>
                </c:pt>
                <c:pt idx="1803">
                  <c:v>42587</c:v>
                </c:pt>
                <c:pt idx="1804">
                  <c:v>42590</c:v>
                </c:pt>
                <c:pt idx="1805">
                  <c:v>42591</c:v>
                </c:pt>
                <c:pt idx="1806">
                  <c:v>42592</c:v>
                </c:pt>
                <c:pt idx="1807">
                  <c:v>42593</c:v>
                </c:pt>
                <c:pt idx="1808">
                  <c:v>42594</c:v>
                </c:pt>
                <c:pt idx="1809">
                  <c:v>42597</c:v>
                </c:pt>
                <c:pt idx="1810">
                  <c:v>42598</c:v>
                </c:pt>
                <c:pt idx="1811">
                  <c:v>42599</c:v>
                </c:pt>
                <c:pt idx="1812">
                  <c:v>42600</c:v>
                </c:pt>
                <c:pt idx="1813">
                  <c:v>42601</c:v>
                </c:pt>
                <c:pt idx="1814">
                  <c:v>42604</c:v>
                </c:pt>
                <c:pt idx="1815">
                  <c:v>42605</c:v>
                </c:pt>
                <c:pt idx="1816">
                  <c:v>42606</c:v>
                </c:pt>
                <c:pt idx="1817">
                  <c:v>42607</c:v>
                </c:pt>
                <c:pt idx="1818">
                  <c:v>42608</c:v>
                </c:pt>
                <c:pt idx="1819">
                  <c:v>42611</c:v>
                </c:pt>
                <c:pt idx="1820">
                  <c:v>42612</c:v>
                </c:pt>
                <c:pt idx="1821">
                  <c:v>42613</c:v>
                </c:pt>
                <c:pt idx="1822">
                  <c:v>42614</c:v>
                </c:pt>
                <c:pt idx="1823">
                  <c:v>42615</c:v>
                </c:pt>
                <c:pt idx="1824">
                  <c:v>42619</c:v>
                </c:pt>
                <c:pt idx="1825">
                  <c:v>42620</c:v>
                </c:pt>
                <c:pt idx="1826">
                  <c:v>42621</c:v>
                </c:pt>
                <c:pt idx="1827">
                  <c:v>42622</c:v>
                </c:pt>
                <c:pt idx="1828">
                  <c:v>42625</c:v>
                </c:pt>
                <c:pt idx="1829">
                  <c:v>42626</c:v>
                </c:pt>
                <c:pt idx="1830">
                  <c:v>42627</c:v>
                </c:pt>
                <c:pt idx="1831">
                  <c:v>42628</c:v>
                </c:pt>
                <c:pt idx="1832">
                  <c:v>42629</c:v>
                </c:pt>
                <c:pt idx="1833">
                  <c:v>42632</c:v>
                </c:pt>
                <c:pt idx="1834">
                  <c:v>42633</c:v>
                </c:pt>
                <c:pt idx="1835">
                  <c:v>42634</c:v>
                </c:pt>
                <c:pt idx="1836">
                  <c:v>42635</c:v>
                </c:pt>
                <c:pt idx="1837">
                  <c:v>42636</c:v>
                </c:pt>
                <c:pt idx="1838">
                  <c:v>42639</c:v>
                </c:pt>
                <c:pt idx="1839">
                  <c:v>42640</c:v>
                </c:pt>
                <c:pt idx="1840">
                  <c:v>42641</c:v>
                </c:pt>
                <c:pt idx="1841">
                  <c:v>42642</c:v>
                </c:pt>
                <c:pt idx="1842">
                  <c:v>42643</c:v>
                </c:pt>
                <c:pt idx="1843">
                  <c:v>42646</c:v>
                </c:pt>
                <c:pt idx="1844">
                  <c:v>42647</c:v>
                </c:pt>
                <c:pt idx="1845">
                  <c:v>42648</c:v>
                </c:pt>
                <c:pt idx="1846">
                  <c:v>42649</c:v>
                </c:pt>
                <c:pt idx="1847">
                  <c:v>42650</c:v>
                </c:pt>
                <c:pt idx="1848">
                  <c:v>42653</c:v>
                </c:pt>
                <c:pt idx="1849">
                  <c:v>42654</c:v>
                </c:pt>
                <c:pt idx="1850">
                  <c:v>42655</c:v>
                </c:pt>
                <c:pt idx="1851">
                  <c:v>42656</c:v>
                </c:pt>
                <c:pt idx="1852">
                  <c:v>42657</c:v>
                </c:pt>
                <c:pt idx="1853">
                  <c:v>42660</c:v>
                </c:pt>
                <c:pt idx="1854">
                  <c:v>42661</c:v>
                </c:pt>
                <c:pt idx="1855">
                  <c:v>42662</c:v>
                </c:pt>
                <c:pt idx="1856">
                  <c:v>42663</c:v>
                </c:pt>
                <c:pt idx="1857">
                  <c:v>42664</c:v>
                </c:pt>
                <c:pt idx="1858">
                  <c:v>42667</c:v>
                </c:pt>
                <c:pt idx="1859">
                  <c:v>42668</c:v>
                </c:pt>
                <c:pt idx="1860">
                  <c:v>42669</c:v>
                </c:pt>
                <c:pt idx="1861">
                  <c:v>42670</c:v>
                </c:pt>
                <c:pt idx="1862">
                  <c:v>42671</c:v>
                </c:pt>
                <c:pt idx="1863">
                  <c:v>42674</c:v>
                </c:pt>
                <c:pt idx="1864">
                  <c:v>42675</c:v>
                </c:pt>
                <c:pt idx="1865">
                  <c:v>42676</c:v>
                </c:pt>
                <c:pt idx="1866">
                  <c:v>42677</c:v>
                </c:pt>
                <c:pt idx="1867">
                  <c:v>42678</c:v>
                </c:pt>
                <c:pt idx="1868">
                  <c:v>42681</c:v>
                </c:pt>
                <c:pt idx="1869">
                  <c:v>42682</c:v>
                </c:pt>
                <c:pt idx="1870">
                  <c:v>42683</c:v>
                </c:pt>
                <c:pt idx="1871">
                  <c:v>42684</c:v>
                </c:pt>
                <c:pt idx="1872">
                  <c:v>42685</c:v>
                </c:pt>
                <c:pt idx="1873">
                  <c:v>42688</c:v>
                </c:pt>
                <c:pt idx="1874">
                  <c:v>42689</c:v>
                </c:pt>
                <c:pt idx="1875">
                  <c:v>42690</c:v>
                </c:pt>
                <c:pt idx="1876">
                  <c:v>42691</c:v>
                </c:pt>
                <c:pt idx="1877">
                  <c:v>42692</c:v>
                </c:pt>
                <c:pt idx="1878">
                  <c:v>42695</c:v>
                </c:pt>
                <c:pt idx="1879">
                  <c:v>42696</c:v>
                </c:pt>
                <c:pt idx="1880">
                  <c:v>42697</c:v>
                </c:pt>
                <c:pt idx="1881">
                  <c:v>42699</c:v>
                </c:pt>
                <c:pt idx="1882">
                  <c:v>42702</c:v>
                </c:pt>
                <c:pt idx="1883">
                  <c:v>42703</c:v>
                </c:pt>
                <c:pt idx="1884">
                  <c:v>42704</c:v>
                </c:pt>
                <c:pt idx="1885">
                  <c:v>42705</c:v>
                </c:pt>
                <c:pt idx="1886">
                  <c:v>42706</c:v>
                </c:pt>
                <c:pt idx="1887">
                  <c:v>42709</c:v>
                </c:pt>
                <c:pt idx="1888">
                  <c:v>42710</c:v>
                </c:pt>
                <c:pt idx="1889">
                  <c:v>42711</c:v>
                </c:pt>
                <c:pt idx="1890">
                  <c:v>42712</c:v>
                </c:pt>
                <c:pt idx="1891">
                  <c:v>42713</c:v>
                </c:pt>
                <c:pt idx="1892">
                  <c:v>42716</c:v>
                </c:pt>
                <c:pt idx="1893">
                  <c:v>42717</c:v>
                </c:pt>
                <c:pt idx="1894">
                  <c:v>42718</c:v>
                </c:pt>
                <c:pt idx="1895">
                  <c:v>42719</c:v>
                </c:pt>
                <c:pt idx="1896">
                  <c:v>42720</c:v>
                </c:pt>
                <c:pt idx="1897">
                  <c:v>42723</c:v>
                </c:pt>
                <c:pt idx="1898">
                  <c:v>42724</c:v>
                </c:pt>
                <c:pt idx="1899">
                  <c:v>42725</c:v>
                </c:pt>
                <c:pt idx="1900">
                  <c:v>42726</c:v>
                </c:pt>
                <c:pt idx="1901">
                  <c:v>42727</c:v>
                </c:pt>
                <c:pt idx="1902">
                  <c:v>42731</c:v>
                </c:pt>
                <c:pt idx="1903">
                  <c:v>42732</c:v>
                </c:pt>
                <c:pt idx="1904">
                  <c:v>42733</c:v>
                </c:pt>
                <c:pt idx="1905">
                  <c:v>42734</c:v>
                </c:pt>
                <c:pt idx="1906">
                  <c:v>42738</c:v>
                </c:pt>
                <c:pt idx="1907">
                  <c:v>42739</c:v>
                </c:pt>
                <c:pt idx="1908">
                  <c:v>42740</c:v>
                </c:pt>
                <c:pt idx="1909">
                  <c:v>42741</c:v>
                </c:pt>
                <c:pt idx="1910">
                  <c:v>42744</c:v>
                </c:pt>
                <c:pt idx="1911">
                  <c:v>42745</c:v>
                </c:pt>
                <c:pt idx="1912">
                  <c:v>42746</c:v>
                </c:pt>
                <c:pt idx="1913">
                  <c:v>42747</c:v>
                </c:pt>
                <c:pt idx="1914">
                  <c:v>42748</c:v>
                </c:pt>
                <c:pt idx="1915">
                  <c:v>42752</c:v>
                </c:pt>
                <c:pt idx="1916">
                  <c:v>42753</c:v>
                </c:pt>
                <c:pt idx="1917">
                  <c:v>42754</c:v>
                </c:pt>
                <c:pt idx="1918">
                  <c:v>42755</c:v>
                </c:pt>
                <c:pt idx="1919">
                  <c:v>42758</c:v>
                </c:pt>
                <c:pt idx="1920">
                  <c:v>42759</c:v>
                </c:pt>
                <c:pt idx="1921">
                  <c:v>42760</c:v>
                </c:pt>
                <c:pt idx="1922">
                  <c:v>42761</c:v>
                </c:pt>
                <c:pt idx="1923">
                  <c:v>42762</c:v>
                </c:pt>
                <c:pt idx="1924">
                  <c:v>42765</c:v>
                </c:pt>
                <c:pt idx="1925">
                  <c:v>42766</c:v>
                </c:pt>
                <c:pt idx="1926">
                  <c:v>42767</c:v>
                </c:pt>
                <c:pt idx="1927">
                  <c:v>42768</c:v>
                </c:pt>
                <c:pt idx="1928">
                  <c:v>42769</c:v>
                </c:pt>
                <c:pt idx="1929">
                  <c:v>42772</c:v>
                </c:pt>
                <c:pt idx="1930">
                  <c:v>42773</c:v>
                </c:pt>
                <c:pt idx="1931">
                  <c:v>42774</c:v>
                </c:pt>
                <c:pt idx="1932">
                  <c:v>42775</c:v>
                </c:pt>
                <c:pt idx="1933">
                  <c:v>42776</c:v>
                </c:pt>
                <c:pt idx="1934">
                  <c:v>42779</c:v>
                </c:pt>
                <c:pt idx="1935">
                  <c:v>42780</c:v>
                </c:pt>
                <c:pt idx="1936">
                  <c:v>42781</c:v>
                </c:pt>
                <c:pt idx="1937">
                  <c:v>42782</c:v>
                </c:pt>
                <c:pt idx="1938">
                  <c:v>42783</c:v>
                </c:pt>
                <c:pt idx="1939">
                  <c:v>42787</c:v>
                </c:pt>
                <c:pt idx="1940">
                  <c:v>42788</c:v>
                </c:pt>
                <c:pt idx="1941">
                  <c:v>42789</c:v>
                </c:pt>
                <c:pt idx="1942">
                  <c:v>42790</c:v>
                </c:pt>
                <c:pt idx="1943">
                  <c:v>42793</c:v>
                </c:pt>
                <c:pt idx="1944">
                  <c:v>42794</c:v>
                </c:pt>
                <c:pt idx="1945">
                  <c:v>42795</c:v>
                </c:pt>
                <c:pt idx="1946">
                  <c:v>42796</c:v>
                </c:pt>
                <c:pt idx="1947">
                  <c:v>42797</c:v>
                </c:pt>
                <c:pt idx="1948">
                  <c:v>42800</c:v>
                </c:pt>
                <c:pt idx="1949">
                  <c:v>42801</c:v>
                </c:pt>
                <c:pt idx="1950">
                  <c:v>42802</c:v>
                </c:pt>
                <c:pt idx="1951">
                  <c:v>42803</c:v>
                </c:pt>
                <c:pt idx="1952">
                  <c:v>42804</c:v>
                </c:pt>
                <c:pt idx="1953">
                  <c:v>42807</c:v>
                </c:pt>
                <c:pt idx="1954">
                  <c:v>42808</c:v>
                </c:pt>
                <c:pt idx="1955">
                  <c:v>42809</c:v>
                </c:pt>
                <c:pt idx="1956">
                  <c:v>42810</c:v>
                </c:pt>
                <c:pt idx="1957">
                  <c:v>42811</c:v>
                </c:pt>
                <c:pt idx="1958">
                  <c:v>42814</c:v>
                </c:pt>
                <c:pt idx="1959">
                  <c:v>42815</c:v>
                </c:pt>
                <c:pt idx="1960">
                  <c:v>42816</c:v>
                </c:pt>
                <c:pt idx="1961">
                  <c:v>42817</c:v>
                </c:pt>
                <c:pt idx="1962">
                  <c:v>42818</c:v>
                </c:pt>
                <c:pt idx="1963">
                  <c:v>42821</c:v>
                </c:pt>
                <c:pt idx="1964">
                  <c:v>42822</c:v>
                </c:pt>
                <c:pt idx="1965">
                  <c:v>42823</c:v>
                </c:pt>
                <c:pt idx="1966">
                  <c:v>42824</c:v>
                </c:pt>
                <c:pt idx="1967">
                  <c:v>42825</c:v>
                </c:pt>
                <c:pt idx="1968">
                  <c:v>42828</c:v>
                </c:pt>
                <c:pt idx="1969">
                  <c:v>42829</c:v>
                </c:pt>
                <c:pt idx="1970">
                  <c:v>42830</c:v>
                </c:pt>
                <c:pt idx="1971">
                  <c:v>42831</c:v>
                </c:pt>
                <c:pt idx="1972">
                  <c:v>42832</c:v>
                </c:pt>
                <c:pt idx="1973">
                  <c:v>42835</c:v>
                </c:pt>
                <c:pt idx="1974">
                  <c:v>42836</c:v>
                </c:pt>
                <c:pt idx="1975">
                  <c:v>42837</c:v>
                </c:pt>
                <c:pt idx="1976">
                  <c:v>42838</c:v>
                </c:pt>
                <c:pt idx="1977">
                  <c:v>42842</c:v>
                </c:pt>
                <c:pt idx="1978">
                  <c:v>42843</c:v>
                </c:pt>
                <c:pt idx="1979">
                  <c:v>42844</c:v>
                </c:pt>
                <c:pt idx="1980">
                  <c:v>42845</c:v>
                </c:pt>
                <c:pt idx="1981">
                  <c:v>42846</c:v>
                </c:pt>
                <c:pt idx="1982">
                  <c:v>42849</c:v>
                </c:pt>
                <c:pt idx="1983">
                  <c:v>42850</c:v>
                </c:pt>
                <c:pt idx="1984">
                  <c:v>42851</c:v>
                </c:pt>
                <c:pt idx="1985">
                  <c:v>42852</c:v>
                </c:pt>
                <c:pt idx="1986">
                  <c:v>42853</c:v>
                </c:pt>
                <c:pt idx="1987">
                  <c:v>42856</c:v>
                </c:pt>
                <c:pt idx="1988">
                  <c:v>42857</c:v>
                </c:pt>
                <c:pt idx="1989">
                  <c:v>42858</c:v>
                </c:pt>
                <c:pt idx="1990">
                  <c:v>42859</c:v>
                </c:pt>
                <c:pt idx="1991">
                  <c:v>42860</c:v>
                </c:pt>
                <c:pt idx="1992">
                  <c:v>42863</c:v>
                </c:pt>
                <c:pt idx="1993">
                  <c:v>42864</c:v>
                </c:pt>
                <c:pt idx="1994">
                  <c:v>42865</c:v>
                </c:pt>
                <c:pt idx="1995">
                  <c:v>42866</c:v>
                </c:pt>
                <c:pt idx="1996">
                  <c:v>42867</c:v>
                </c:pt>
                <c:pt idx="1997">
                  <c:v>42870</c:v>
                </c:pt>
                <c:pt idx="1998">
                  <c:v>42871</c:v>
                </c:pt>
                <c:pt idx="1999">
                  <c:v>42872</c:v>
                </c:pt>
                <c:pt idx="2000">
                  <c:v>42873</c:v>
                </c:pt>
                <c:pt idx="2001">
                  <c:v>42874</c:v>
                </c:pt>
                <c:pt idx="2002">
                  <c:v>42877</c:v>
                </c:pt>
                <c:pt idx="2003">
                  <c:v>42878</c:v>
                </c:pt>
                <c:pt idx="2004">
                  <c:v>42879</c:v>
                </c:pt>
                <c:pt idx="2005">
                  <c:v>42880</c:v>
                </c:pt>
                <c:pt idx="2006">
                  <c:v>42881</c:v>
                </c:pt>
                <c:pt idx="2007">
                  <c:v>42885</c:v>
                </c:pt>
                <c:pt idx="2008">
                  <c:v>42886</c:v>
                </c:pt>
                <c:pt idx="2009">
                  <c:v>42887</c:v>
                </c:pt>
                <c:pt idx="2010">
                  <c:v>42888</c:v>
                </c:pt>
                <c:pt idx="2011">
                  <c:v>42891</c:v>
                </c:pt>
                <c:pt idx="2012">
                  <c:v>42892</c:v>
                </c:pt>
                <c:pt idx="2013">
                  <c:v>42893</c:v>
                </c:pt>
                <c:pt idx="2014">
                  <c:v>42894</c:v>
                </c:pt>
                <c:pt idx="2015">
                  <c:v>42895</c:v>
                </c:pt>
                <c:pt idx="2016">
                  <c:v>42898</c:v>
                </c:pt>
                <c:pt idx="2017">
                  <c:v>42899</c:v>
                </c:pt>
                <c:pt idx="2018">
                  <c:v>42900</c:v>
                </c:pt>
                <c:pt idx="2019">
                  <c:v>42901</c:v>
                </c:pt>
                <c:pt idx="2020">
                  <c:v>42902</c:v>
                </c:pt>
                <c:pt idx="2021">
                  <c:v>42905</c:v>
                </c:pt>
                <c:pt idx="2022">
                  <c:v>42906</c:v>
                </c:pt>
                <c:pt idx="2023">
                  <c:v>42907</c:v>
                </c:pt>
                <c:pt idx="2024">
                  <c:v>42908</c:v>
                </c:pt>
                <c:pt idx="2025">
                  <c:v>42909</c:v>
                </c:pt>
                <c:pt idx="2026">
                  <c:v>42912</c:v>
                </c:pt>
                <c:pt idx="2027">
                  <c:v>42913</c:v>
                </c:pt>
                <c:pt idx="2028">
                  <c:v>42914</c:v>
                </c:pt>
                <c:pt idx="2029">
                  <c:v>42915</c:v>
                </c:pt>
                <c:pt idx="2030">
                  <c:v>42916</c:v>
                </c:pt>
                <c:pt idx="2031">
                  <c:v>42919</c:v>
                </c:pt>
                <c:pt idx="2032">
                  <c:v>42921</c:v>
                </c:pt>
                <c:pt idx="2033">
                  <c:v>42922</c:v>
                </c:pt>
                <c:pt idx="2034">
                  <c:v>42923</c:v>
                </c:pt>
                <c:pt idx="2035">
                  <c:v>42926</c:v>
                </c:pt>
                <c:pt idx="2036">
                  <c:v>42927</c:v>
                </c:pt>
                <c:pt idx="2037">
                  <c:v>42928</c:v>
                </c:pt>
                <c:pt idx="2038">
                  <c:v>42929</c:v>
                </c:pt>
                <c:pt idx="2039">
                  <c:v>42930</c:v>
                </c:pt>
                <c:pt idx="2040">
                  <c:v>42933</c:v>
                </c:pt>
                <c:pt idx="2041">
                  <c:v>42934</c:v>
                </c:pt>
                <c:pt idx="2042">
                  <c:v>42935</c:v>
                </c:pt>
                <c:pt idx="2043">
                  <c:v>42936</c:v>
                </c:pt>
                <c:pt idx="2044">
                  <c:v>42937</c:v>
                </c:pt>
                <c:pt idx="2045">
                  <c:v>42940</c:v>
                </c:pt>
                <c:pt idx="2046">
                  <c:v>42941</c:v>
                </c:pt>
                <c:pt idx="2047">
                  <c:v>42942</c:v>
                </c:pt>
                <c:pt idx="2048">
                  <c:v>42943</c:v>
                </c:pt>
                <c:pt idx="2049">
                  <c:v>42944</c:v>
                </c:pt>
                <c:pt idx="2050">
                  <c:v>42947</c:v>
                </c:pt>
                <c:pt idx="2051">
                  <c:v>42948</c:v>
                </c:pt>
                <c:pt idx="2052">
                  <c:v>42949</c:v>
                </c:pt>
                <c:pt idx="2053">
                  <c:v>42950</c:v>
                </c:pt>
                <c:pt idx="2054">
                  <c:v>42951</c:v>
                </c:pt>
                <c:pt idx="2055">
                  <c:v>42954</c:v>
                </c:pt>
                <c:pt idx="2056">
                  <c:v>42955</c:v>
                </c:pt>
                <c:pt idx="2057">
                  <c:v>42956</c:v>
                </c:pt>
                <c:pt idx="2058">
                  <c:v>42957</c:v>
                </c:pt>
                <c:pt idx="2059">
                  <c:v>42958</c:v>
                </c:pt>
                <c:pt idx="2060">
                  <c:v>42961</c:v>
                </c:pt>
                <c:pt idx="2061">
                  <c:v>42962</c:v>
                </c:pt>
                <c:pt idx="2062">
                  <c:v>42963</c:v>
                </c:pt>
                <c:pt idx="2063">
                  <c:v>42964</c:v>
                </c:pt>
                <c:pt idx="2064">
                  <c:v>42965</c:v>
                </c:pt>
                <c:pt idx="2065">
                  <c:v>42968</c:v>
                </c:pt>
                <c:pt idx="2066">
                  <c:v>42969</c:v>
                </c:pt>
                <c:pt idx="2067">
                  <c:v>42970</c:v>
                </c:pt>
                <c:pt idx="2068">
                  <c:v>42971</c:v>
                </c:pt>
                <c:pt idx="2069">
                  <c:v>42972</c:v>
                </c:pt>
                <c:pt idx="2070">
                  <c:v>42975</c:v>
                </c:pt>
                <c:pt idx="2071">
                  <c:v>42976</c:v>
                </c:pt>
                <c:pt idx="2072">
                  <c:v>42977</c:v>
                </c:pt>
                <c:pt idx="2073">
                  <c:v>42978</c:v>
                </c:pt>
                <c:pt idx="2074">
                  <c:v>42979</c:v>
                </c:pt>
                <c:pt idx="2075">
                  <c:v>42983</c:v>
                </c:pt>
                <c:pt idx="2076">
                  <c:v>42984</c:v>
                </c:pt>
                <c:pt idx="2077">
                  <c:v>42985</c:v>
                </c:pt>
                <c:pt idx="2078">
                  <c:v>42986</c:v>
                </c:pt>
                <c:pt idx="2079">
                  <c:v>42989</c:v>
                </c:pt>
                <c:pt idx="2080">
                  <c:v>42990</c:v>
                </c:pt>
                <c:pt idx="2081">
                  <c:v>42991</c:v>
                </c:pt>
                <c:pt idx="2082">
                  <c:v>42992</c:v>
                </c:pt>
                <c:pt idx="2083">
                  <c:v>42993</c:v>
                </c:pt>
                <c:pt idx="2084">
                  <c:v>42996</c:v>
                </c:pt>
                <c:pt idx="2085">
                  <c:v>42997</c:v>
                </c:pt>
                <c:pt idx="2086">
                  <c:v>42998</c:v>
                </c:pt>
                <c:pt idx="2087">
                  <c:v>42999</c:v>
                </c:pt>
                <c:pt idx="2088">
                  <c:v>43000</c:v>
                </c:pt>
                <c:pt idx="2089">
                  <c:v>43003</c:v>
                </c:pt>
                <c:pt idx="2090">
                  <c:v>43004</c:v>
                </c:pt>
                <c:pt idx="2091">
                  <c:v>43005</c:v>
                </c:pt>
                <c:pt idx="2092">
                  <c:v>43006</c:v>
                </c:pt>
                <c:pt idx="2093">
                  <c:v>43007</c:v>
                </c:pt>
                <c:pt idx="2094">
                  <c:v>43010</c:v>
                </c:pt>
                <c:pt idx="2095">
                  <c:v>43011</c:v>
                </c:pt>
                <c:pt idx="2096">
                  <c:v>43012</c:v>
                </c:pt>
                <c:pt idx="2097">
                  <c:v>43013</c:v>
                </c:pt>
                <c:pt idx="2098">
                  <c:v>43014</c:v>
                </c:pt>
                <c:pt idx="2099">
                  <c:v>43017</c:v>
                </c:pt>
                <c:pt idx="2100">
                  <c:v>43018</c:v>
                </c:pt>
                <c:pt idx="2101">
                  <c:v>43019</c:v>
                </c:pt>
                <c:pt idx="2102">
                  <c:v>43020</c:v>
                </c:pt>
                <c:pt idx="2103">
                  <c:v>43021</c:v>
                </c:pt>
                <c:pt idx="2104">
                  <c:v>43024</c:v>
                </c:pt>
                <c:pt idx="2105">
                  <c:v>43025</c:v>
                </c:pt>
                <c:pt idx="2106">
                  <c:v>43026</c:v>
                </c:pt>
                <c:pt idx="2107">
                  <c:v>43027</c:v>
                </c:pt>
                <c:pt idx="2108">
                  <c:v>43028</c:v>
                </c:pt>
                <c:pt idx="2109">
                  <c:v>43031</c:v>
                </c:pt>
                <c:pt idx="2110">
                  <c:v>43032</c:v>
                </c:pt>
                <c:pt idx="2111">
                  <c:v>43033</c:v>
                </c:pt>
                <c:pt idx="2112">
                  <c:v>43034</c:v>
                </c:pt>
                <c:pt idx="2113">
                  <c:v>43035</c:v>
                </c:pt>
                <c:pt idx="2114">
                  <c:v>43038</c:v>
                </c:pt>
                <c:pt idx="2115">
                  <c:v>43039</c:v>
                </c:pt>
                <c:pt idx="2116">
                  <c:v>43040</c:v>
                </c:pt>
                <c:pt idx="2117">
                  <c:v>43041</c:v>
                </c:pt>
                <c:pt idx="2118">
                  <c:v>43042</c:v>
                </c:pt>
                <c:pt idx="2119">
                  <c:v>43045</c:v>
                </c:pt>
                <c:pt idx="2120">
                  <c:v>43046</c:v>
                </c:pt>
                <c:pt idx="2121">
                  <c:v>43047</c:v>
                </c:pt>
                <c:pt idx="2122">
                  <c:v>43048</c:v>
                </c:pt>
                <c:pt idx="2123">
                  <c:v>43049</c:v>
                </c:pt>
                <c:pt idx="2124">
                  <c:v>43052</c:v>
                </c:pt>
                <c:pt idx="2125">
                  <c:v>43053</c:v>
                </c:pt>
                <c:pt idx="2126">
                  <c:v>43054</c:v>
                </c:pt>
                <c:pt idx="2127">
                  <c:v>43055</c:v>
                </c:pt>
                <c:pt idx="2128">
                  <c:v>43056</c:v>
                </c:pt>
                <c:pt idx="2129">
                  <c:v>43059</c:v>
                </c:pt>
                <c:pt idx="2130">
                  <c:v>43060</c:v>
                </c:pt>
                <c:pt idx="2131">
                  <c:v>43061</c:v>
                </c:pt>
                <c:pt idx="2132">
                  <c:v>43063</c:v>
                </c:pt>
                <c:pt idx="2133">
                  <c:v>43066</c:v>
                </c:pt>
                <c:pt idx="2134">
                  <c:v>43067</c:v>
                </c:pt>
                <c:pt idx="2135">
                  <c:v>43068</c:v>
                </c:pt>
                <c:pt idx="2136">
                  <c:v>43069</c:v>
                </c:pt>
                <c:pt idx="2137">
                  <c:v>43070</c:v>
                </c:pt>
                <c:pt idx="2138">
                  <c:v>43073</c:v>
                </c:pt>
                <c:pt idx="2139">
                  <c:v>43074</c:v>
                </c:pt>
                <c:pt idx="2140">
                  <c:v>43075</c:v>
                </c:pt>
                <c:pt idx="2141">
                  <c:v>43076</c:v>
                </c:pt>
                <c:pt idx="2142">
                  <c:v>43077</c:v>
                </c:pt>
                <c:pt idx="2143">
                  <c:v>43080</c:v>
                </c:pt>
                <c:pt idx="2144">
                  <c:v>43081</c:v>
                </c:pt>
                <c:pt idx="2145">
                  <c:v>43082</c:v>
                </c:pt>
                <c:pt idx="2146">
                  <c:v>43083</c:v>
                </c:pt>
                <c:pt idx="2147">
                  <c:v>43084</c:v>
                </c:pt>
                <c:pt idx="2148">
                  <c:v>43087</c:v>
                </c:pt>
                <c:pt idx="2149">
                  <c:v>43088</c:v>
                </c:pt>
                <c:pt idx="2150">
                  <c:v>43089</c:v>
                </c:pt>
                <c:pt idx="2151">
                  <c:v>43090</c:v>
                </c:pt>
                <c:pt idx="2152">
                  <c:v>43091</c:v>
                </c:pt>
                <c:pt idx="2153">
                  <c:v>43095</c:v>
                </c:pt>
                <c:pt idx="2154">
                  <c:v>43096</c:v>
                </c:pt>
                <c:pt idx="2155">
                  <c:v>43097</c:v>
                </c:pt>
                <c:pt idx="2156">
                  <c:v>43098</c:v>
                </c:pt>
                <c:pt idx="2157">
                  <c:v>43102</c:v>
                </c:pt>
                <c:pt idx="2158">
                  <c:v>43103</c:v>
                </c:pt>
                <c:pt idx="2159">
                  <c:v>43104</c:v>
                </c:pt>
                <c:pt idx="2160">
                  <c:v>43105</c:v>
                </c:pt>
                <c:pt idx="2161">
                  <c:v>43108</c:v>
                </c:pt>
                <c:pt idx="2162">
                  <c:v>43109</c:v>
                </c:pt>
                <c:pt idx="2163">
                  <c:v>43110</c:v>
                </c:pt>
                <c:pt idx="2164">
                  <c:v>43111</c:v>
                </c:pt>
                <c:pt idx="2165">
                  <c:v>43112</c:v>
                </c:pt>
                <c:pt idx="2166">
                  <c:v>43116</c:v>
                </c:pt>
                <c:pt idx="2167">
                  <c:v>43117</c:v>
                </c:pt>
                <c:pt idx="2168">
                  <c:v>43118</c:v>
                </c:pt>
                <c:pt idx="2169">
                  <c:v>43119</c:v>
                </c:pt>
                <c:pt idx="2170">
                  <c:v>43122</c:v>
                </c:pt>
                <c:pt idx="2171">
                  <c:v>43123</c:v>
                </c:pt>
                <c:pt idx="2172">
                  <c:v>43124</c:v>
                </c:pt>
                <c:pt idx="2173">
                  <c:v>43125</c:v>
                </c:pt>
                <c:pt idx="2174">
                  <c:v>43126</c:v>
                </c:pt>
                <c:pt idx="2175">
                  <c:v>43129</c:v>
                </c:pt>
                <c:pt idx="2176">
                  <c:v>43130</c:v>
                </c:pt>
                <c:pt idx="2177">
                  <c:v>43131</c:v>
                </c:pt>
                <c:pt idx="2178">
                  <c:v>43132</c:v>
                </c:pt>
                <c:pt idx="2179">
                  <c:v>43133</c:v>
                </c:pt>
                <c:pt idx="2180">
                  <c:v>43136</c:v>
                </c:pt>
                <c:pt idx="2181">
                  <c:v>43137</c:v>
                </c:pt>
                <c:pt idx="2182">
                  <c:v>43138</c:v>
                </c:pt>
                <c:pt idx="2183">
                  <c:v>43139</c:v>
                </c:pt>
                <c:pt idx="2184">
                  <c:v>43140</c:v>
                </c:pt>
                <c:pt idx="2185">
                  <c:v>43143</c:v>
                </c:pt>
                <c:pt idx="2186">
                  <c:v>43144</c:v>
                </c:pt>
                <c:pt idx="2187">
                  <c:v>43145</c:v>
                </c:pt>
                <c:pt idx="2188">
                  <c:v>43146</c:v>
                </c:pt>
                <c:pt idx="2189">
                  <c:v>43147</c:v>
                </c:pt>
                <c:pt idx="2190">
                  <c:v>43151</c:v>
                </c:pt>
                <c:pt idx="2191">
                  <c:v>43152</c:v>
                </c:pt>
                <c:pt idx="2192">
                  <c:v>43153</c:v>
                </c:pt>
                <c:pt idx="2193">
                  <c:v>43154</c:v>
                </c:pt>
                <c:pt idx="2194">
                  <c:v>43157</c:v>
                </c:pt>
                <c:pt idx="2195">
                  <c:v>43158</c:v>
                </c:pt>
                <c:pt idx="2196">
                  <c:v>43159</c:v>
                </c:pt>
                <c:pt idx="2197">
                  <c:v>43160</c:v>
                </c:pt>
                <c:pt idx="2198">
                  <c:v>43161</c:v>
                </c:pt>
                <c:pt idx="2199">
                  <c:v>43164</c:v>
                </c:pt>
                <c:pt idx="2200">
                  <c:v>43165</c:v>
                </c:pt>
                <c:pt idx="2201">
                  <c:v>43166</c:v>
                </c:pt>
                <c:pt idx="2202">
                  <c:v>43167</c:v>
                </c:pt>
                <c:pt idx="2203">
                  <c:v>43168</c:v>
                </c:pt>
                <c:pt idx="2204">
                  <c:v>43171</c:v>
                </c:pt>
                <c:pt idx="2205">
                  <c:v>43172</c:v>
                </c:pt>
                <c:pt idx="2206">
                  <c:v>43173</c:v>
                </c:pt>
                <c:pt idx="2207">
                  <c:v>43174</c:v>
                </c:pt>
                <c:pt idx="2208">
                  <c:v>43175</c:v>
                </c:pt>
                <c:pt idx="2209">
                  <c:v>43178</c:v>
                </c:pt>
                <c:pt idx="2210">
                  <c:v>43179</c:v>
                </c:pt>
                <c:pt idx="2211">
                  <c:v>43180</c:v>
                </c:pt>
                <c:pt idx="2212">
                  <c:v>43181</c:v>
                </c:pt>
                <c:pt idx="2213">
                  <c:v>43182</c:v>
                </c:pt>
                <c:pt idx="2214">
                  <c:v>43185</c:v>
                </c:pt>
                <c:pt idx="2215">
                  <c:v>43186</c:v>
                </c:pt>
                <c:pt idx="2216">
                  <c:v>43187</c:v>
                </c:pt>
                <c:pt idx="2217">
                  <c:v>43188</c:v>
                </c:pt>
                <c:pt idx="2218">
                  <c:v>43192</c:v>
                </c:pt>
                <c:pt idx="2219">
                  <c:v>43193</c:v>
                </c:pt>
                <c:pt idx="2220">
                  <c:v>43194</c:v>
                </c:pt>
                <c:pt idx="2221">
                  <c:v>43195</c:v>
                </c:pt>
                <c:pt idx="2222">
                  <c:v>43196</c:v>
                </c:pt>
                <c:pt idx="2223">
                  <c:v>43199</c:v>
                </c:pt>
                <c:pt idx="2224">
                  <c:v>43200</c:v>
                </c:pt>
                <c:pt idx="2225">
                  <c:v>43201</c:v>
                </c:pt>
                <c:pt idx="2226">
                  <c:v>43202</c:v>
                </c:pt>
                <c:pt idx="2227">
                  <c:v>43203</c:v>
                </c:pt>
                <c:pt idx="2228">
                  <c:v>43206</c:v>
                </c:pt>
                <c:pt idx="2229">
                  <c:v>43207</c:v>
                </c:pt>
                <c:pt idx="2230">
                  <c:v>43208</c:v>
                </c:pt>
                <c:pt idx="2231">
                  <c:v>43209</c:v>
                </c:pt>
                <c:pt idx="2232">
                  <c:v>43210</c:v>
                </c:pt>
                <c:pt idx="2233">
                  <c:v>43213</c:v>
                </c:pt>
                <c:pt idx="2234">
                  <c:v>43214</c:v>
                </c:pt>
                <c:pt idx="2235">
                  <c:v>43215</c:v>
                </c:pt>
                <c:pt idx="2236">
                  <c:v>43216</c:v>
                </c:pt>
                <c:pt idx="2237">
                  <c:v>43217</c:v>
                </c:pt>
                <c:pt idx="2238">
                  <c:v>43220</c:v>
                </c:pt>
                <c:pt idx="2239">
                  <c:v>43221</c:v>
                </c:pt>
                <c:pt idx="2240">
                  <c:v>43222</c:v>
                </c:pt>
                <c:pt idx="2241">
                  <c:v>43223</c:v>
                </c:pt>
                <c:pt idx="2242">
                  <c:v>43224</c:v>
                </c:pt>
                <c:pt idx="2243">
                  <c:v>43227</c:v>
                </c:pt>
                <c:pt idx="2244">
                  <c:v>43228</c:v>
                </c:pt>
                <c:pt idx="2245">
                  <c:v>43229</c:v>
                </c:pt>
                <c:pt idx="2246">
                  <c:v>43230</c:v>
                </c:pt>
                <c:pt idx="2247">
                  <c:v>43231</c:v>
                </c:pt>
                <c:pt idx="2248">
                  <c:v>43234</c:v>
                </c:pt>
                <c:pt idx="2249">
                  <c:v>43235</c:v>
                </c:pt>
                <c:pt idx="2250">
                  <c:v>43236</c:v>
                </c:pt>
                <c:pt idx="2251">
                  <c:v>43237</c:v>
                </c:pt>
                <c:pt idx="2252">
                  <c:v>43238</c:v>
                </c:pt>
                <c:pt idx="2253">
                  <c:v>43241</c:v>
                </c:pt>
                <c:pt idx="2254">
                  <c:v>43242</c:v>
                </c:pt>
                <c:pt idx="2255">
                  <c:v>43243</c:v>
                </c:pt>
                <c:pt idx="2256">
                  <c:v>43244</c:v>
                </c:pt>
                <c:pt idx="2257">
                  <c:v>43245</c:v>
                </c:pt>
                <c:pt idx="2258">
                  <c:v>43249</c:v>
                </c:pt>
                <c:pt idx="2259">
                  <c:v>43250</c:v>
                </c:pt>
                <c:pt idx="2260">
                  <c:v>43251</c:v>
                </c:pt>
                <c:pt idx="2261">
                  <c:v>43252</c:v>
                </c:pt>
                <c:pt idx="2262">
                  <c:v>43255</c:v>
                </c:pt>
                <c:pt idx="2263">
                  <c:v>43256</c:v>
                </c:pt>
                <c:pt idx="2264">
                  <c:v>43257</c:v>
                </c:pt>
                <c:pt idx="2265">
                  <c:v>43258</c:v>
                </c:pt>
                <c:pt idx="2266">
                  <c:v>43259</c:v>
                </c:pt>
                <c:pt idx="2267">
                  <c:v>43262</c:v>
                </c:pt>
                <c:pt idx="2268">
                  <c:v>43263</c:v>
                </c:pt>
                <c:pt idx="2269">
                  <c:v>43264</c:v>
                </c:pt>
                <c:pt idx="2270">
                  <c:v>43265</c:v>
                </c:pt>
                <c:pt idx="2271">
                  <c:v>43266</c:v>
                </c:pt>
                <c:pt idx="2272">
                  <c:v>43269</c:v>
                </c:pt>
                <c:pt idx="2273">
                  <c:v>43270</c:v>
                </c:pt>
                <c:pt idx="2274">
                  <c:v>43271</c:v>
                </c:pt>
                <c:pt idx="2275">
                  <c:v>43272</c:v>
                </c:pt>
                <c:pt idx="2276">
                  <c:v>43273</c:v>
                </c:pt>
                <c:pt idx="2277">
                  <c:v>43276</c:v>
                </c:pt>
                <c:pt idx="2278">
                  <c:v>43277</c:v>
                </c:pt>
                <c:pt idx="2279">
                  <c:v>43278</c:v>
                </c:pt>
                <c:pt idx="2280">
                  <c:v>43279</c:v>
                </c:pt>
                <c:pt idx="2281">
                  <c:v>43280</c:v>
                </c:pt>
                <c:pt idx="2282">
                  <c:v>43283</c:v>
                </c:pt>
                <c:pt idx="2283">
                  <c:v>43284</c:v>
                </c:pt>
                <c:pt idx="2284">
                  <c:v>43286</c:v>
                </c:pt>
                <c:pt idx="2285">
                  <c:v>43287</c:v>
                </c:pt>
                <c:pt idx="2286">
                  <c:v>43290</c:v>
                </c:pt>
                <c:pt idx="2287">
                  <c:v>43291</c:v>
                </c:pt>
                <c:pt idx="2288">
                  <c:v>43292</c:v>
                </c:pt>
                <c:pt idx="2289">
                  <c:v>43293</c:v>
                </c:pt>
                <c:pt idx="2290">
                  <c:v>43294</c:v>
                </c:pt>
                <c:pt idx="2291">
                  <c:v>43297</c:v>
                </c:pt>
                <c:pt idx="2292">
                  <c:v>43298</c:v>
                </c:pt>
                <c:pt idx="2293">
                  <c:v>43299</c:v>
                </c:pt>
                <c:pt idx="2294">
                  <c:v>43300</c:v>
                </c:pt>
                <c:pt idx="2295">
                  <c:v>43301</c:v>
                </c:pt>
                <c:pt idx="2296">
                  <c:v>43304</c:v>
                </c:pt>
                <c:pt idx="2297">
                  <c:v>43305</c:v>
                </c:pt>
                <c:pt idx="2298">
                  <c:v>43306</c:v>
                </c:pt>
                <c:pt idx="2299">
                  <c:v>43307</c:v>
                </c:pt>
                <c:pt idx="2300">
                  <c:v>43308</c:v>
                </c:pt>
                <c:pt idx="2301">
                  <c:v>43311</c:v>
                </c:pt>
                <c:pt idx="2302">
                  <c:v>43312</c:v>
                </c:pt>
                <c:pt idx="2303">
                  <c:v>43313</c:v>
                </c:pt>
                <c:pt idx="2304">
                  <c:v>43314</c:v>
                </c:pt>
                <c:pt idx="2305">
                  <c:v>43315</c:v>
                </c:pt>
                <c:pt idx="2306">
                  <c:v>43318</c:v>
                </c:pt>
                <c:pt idx="2307">
                  <c:v>43319</c:v>
                </c:pt>
                <c:pt idx="2308">
                  <c:v>43320</c:v>
                </c:pt>
                <c:pt idx="2309">
                  <c:v>43321</c:v>
                </c:pt>
                <c:pt idx="2310">
                  <c:v>43322</c:v>
                </c:pt>
                <c:pt idx="2311">
                  <c:v>43325</c:v>
                </c:pt>
                <c:pt idx="2312">
                  <c:v>43326</c:v>
                </c:pt>
                <c:pt idx="2313">
                  <c:v>43327</c:v>
                </c:pt>
                <c:pt idx="2314">
                  <c:v>43328</c:v>
                </c:pt>
                <c:pt idx="2315">
                  <c:v>43329</c:v>
                </c:pt>
                <c:pt idx="2316">
                  <c:v>43332</c:v>
                </c:pt>
                <c:pt idx="2317">
                  <c:v>43333</c:v>
                </c:pt>
                <c:pt idx="2318">
                  <c:v>43334</c:v>
                </c:pt>
                <c:pt idx="2319">
                  <c:v>43335</c:v>
                </c:pt>
                <c:pt idx="2320">
                  <c:v>43336</c:v>
                </c:pt>
                <c:pt idx="2321">
                  <c:v>43339</c:v>
                </c:pt>
                <c:pt idx="2322">
                  <c:v>43340</c:v>
                </c:pt>
                <c:pt idx="2323">
                  <c:v>43341</c:v>
                </c:pt>
                <c:pt idx="2324">
                  <c:v>43342</c:v>
                </c:pt>
                <c:pt idx="2325">
                  <c:v>43343</c:v>
                </c:pt>
                <c:pt idx="2326">
                  <c:v>43347</c:v>
                </c:pt>
                <c:pt idx="2327">
                  <c:v>43348</c:v>
                </c:pt>
                <c:pt idx="2328">
                  <c:v>43349</c:v>
                </c:pt>
                <c:pt idx="2329">
                  <c:v>43350</c:v>
                </c:pt>
                <c:pt idx="2330">
                  <c:v>43353</c:v>
                </c:pt>
                <c:pt idx="2331">
                  <c:v>43354</c:v>
                </c:pt>
                <c:pt idx="2332">
                  <c:v>43355</c:v>
                </c:pt>
                <c:pt idx="2333">
                  <c:v>43356</c:v>
                </c:pt>
                <c:pt idx="2334">
                  <c:v>43357</c:v>
                </c:pt>
                <c:pt idx="2335">
                  <c:v>43360</c:v>
                </c:pt>
                <c:pt idx="2336">
                  <c:v>43361</c:v>
                </c:pt>
                <c:pt idx="2337">
                  <c:v>43362</c:v>
                </c:pt>
                <c:pt idx="2338">
                  <c:v>43363</c:v>
                </c:pt>
                <c:pt idx="2339">
                  <c:v>43364</c:v>
                </c:pt>
                <c:pt idx="2340">
                  <c:v>43367</c:v>
                </c:pt>
                <c:pt idx="2341">
                  <c:v>43368</c:v>
                </c:pt>
                <c:pt idx="2342">
                  <c:v>43369</c:v>
                </c:pt>
                <c:pt idx="2343">
                  <c:v>43370</c:v>
                </c:pt>
                <c:pt idx="2344">
                  <c:v>43371</c:v>
                </c:pt>
                <c:pt idx="2345">
                  <c:v>43374</c:v>
                </c:pt>
                <c:pt idx="2346">
                  <c:v>43375</c:v>
                </c:pt>
                <c:pt idx="2347">
                  <c:v>43376</c:v>
                </c:pt>
                <c:pt idx="2348">
                  <c:v>43377</c:v>
                </c:pt>
                <c:pt idx="2349">
                  <c:v>43378</c:v>
                </c:pt>
                <c:pt idx="2350">
                  <c:v>43381</c:v>
                </c:pt>
                <c:pt idx="2351">
                  <c:v>43382</c:v>
                </c:pt>
                <c:pt idx="2352">
                  <c:v>43383</c:v>
                </c:pt>
                <c:pt idx="2353">
                  <c:v>43384</c:v>
                </c:pt>
                <c:pt idx="2354">
                  <c:v>43385</c:v>
                </c:pt>
                <c:pt idx="2355">
                  <c:v>43388</c:v>
                </c:pt>
                <c:pt idx="2356">
                  <c:v>43389</c:v>
                </c:pt>
                <c:pt idx="2357">
                  <c:v>43390</c:v>
                </c:pt>
                <c:pt idx="2358">
                  <c:v>43391</c:v>
                </c:pt>
                <c:pt idx="2359">
                  <c:v>43392</c:v>
                </c:pt>
                <c:pt idx="2360">
                  <c:v>43395</c:v>
                </c:pt>
                <c:pt idx="2361">
                  <c:v>43396</c:v>
                </c:pt>
                <c:pt idx="2362">
                  <c:v>43397</c:v>
                </c:pt>
                <c:pt idx="2363">
                  <c:v>43398</c:v>
                </c:pt>
                <c:pt idx="2364">
                  <c:v>43399</c:v>
                </c:pt>
                <c:pt idx="2365">
                  <c:v>43402</c:v>
                </c:pt>
                <c:pt idx="2366">
                  <c:v>43403</c:v>
                </c:pt>
                <c:pt idx="2367">
                  <c:v>43404</c:v>
                </c:pt>
                <c:pt idx="2368">
                  <c:v>43405</c:v>
                </c:pt>
                <c:pt idx="2369">
                  <c:v>43406</c:v>
                </c:pt>
                <c:pt idx="2370">
                  <c:v>43409</c:v>
                </c:pt>
                <c:pt idx="2371">
                  <c:v>43410</c:v>
                </c:pt>
                <c:pt idx="2372">
                  <c:v>43411</c:v>
                </c:pt>
                <c:pt idx="2373">
                  <c:v>43412</c:v>
                </c:pt>
                <c:pt idx="2374">
                  <c:v>43413</c:v>
                </c:pt>
                <c:pt idx="2375">
                  <c:v>43416</c:v>
                </c:pt>
                <c:pt idx="2376">
                  <c:v>43417</c:v>
                </c:pt>
                <c:pt idx="2377">
                  <c:v>43418</c:v>
                </c:pt>
                <c:pt idx="2378">
                  <c:v>43419</c:v>
                </c:pt>
                <c:pt idx="2379">
                  <c:v>43420</c:v>
                </c:pt>
                <c:pt idx="2380">
                  <c:v>43423</c:v>
                </c:pt>
                <c:pt idx="2381">
                  <c:v>43424</c:v>
                </c:pt>
                <c:pt idx="2382">
                  <c:v>43425</c:v>
                </c:pt>
                <c:pt idx="2383">
                  <c:v>43427</c:v>
                </c:pt>
                <c:pt idx="2384">
                  <c:v>43430</c:v>
                </c:pt>
                <c:pt idx="2385">
                  <c:v>43431</c:v>
                </c:pt>
                <c:pt idx="2386">
                  <c:v>43432</c:v>
                </c:pt>
                <c:pt idx="2387">
                  <c:v>43433</c:v>
                </c:pt>
                <c:pt idx="2388">
                  <c:v>43434</c:v>
                </c:pt>
                <c:pt idx="2389">
                  <c:v>43437</c:v>
                </c:pt>
                <c:pt idx="2390">
                  <c:v>43438</c:v>
                </c:pt>
                <c:pt idx="2391">
                  <c:v>43440</c:v>
                </c:pt>
                <c:pt idx="2392">
                  <c:v>43441</c:v>
                </c:pt>
                <c:pt idx="2393">
                  <c:v>43444</c:v>
                </c:pt>
                <c:pt idx="2394">
                  <c:v>43445</c:v>
                </c:pt>
                <c:pt idx="2395">
                  <c:v>43446</c:v>
                </c:pt>
                <c:pt idx="2396">
                  <c:v>43447</c:v>
                </c:pt>
                <c:pt idx="2397">
                  <c:v>43448</c:v>
                </c:pt>
                <c:pt idx="2398">
                  <c:v>43451</c:v>
                </c:pt>
                <c:pt idx="2399">
                  <c:v>43452</c:v>
                </c:pt>
                <c:pt idx="2400">
                  <c:v>43453</c:v>
                </c:pt>
                <c:pt idx="2401">
                  <c:v>43454</c:v>
                </c:pt>
                <c:pt idx="2402">
                  <c:v>43455</c:v>
                </c:pt>
                <c:pt idx="2403">
                  <c:v>43458</c:v>
                </c:pt>
                <c:pt idx="2404">
                  <c:v>43460</c:v>
                </c:pt>
                <c:pt idx="2405">
                  <c:v>43461</c:v>
                </c:pt>
                <c:pt idx="2406">
                  <c:v>43462</c:v>
                </c:pt>
                <c:pt idx="2407">
                  <c:v>43465</c:v>
                </c:pt>
                <c:pt idx="2408">
                  <c:v>43467</c:v>
                </c:pt>
                <c:pt idx="2409">
                  <c:v>43468</c:v>
                </c:pt>
                <c:pt idx="2410">
                  <c:v>43469</c:v>
                </c:pt>
                <c:pt idx="2411">
                  <c:v>43472</c:v>
                </c:pt>
                <c:pt idx="2412">
                  <c:v>43473</c:v>
                </c:pt>
                <c:pt idx="2413">
                  <c:v>43474</c:v>
                </c:pt>
                <c:pt idx="2414">
                  <c:v>43475</c:v>
                </c:pt>
                <c:pt idx="2415">
                  <c:v>43476</c:v>
                </c:pt>
                <c:pt idx="2416">
                  <c:v>43479</c:v>
                </c:pt>
                <c:pt idx="2417">
                  <c:v>43480</c:v>
                </c:pt>
                <c:pt idx="2418">
                  <c:v>43481</c:v>
                </c:pt>
                <c:pt idx="2419">
                  <c:v>43482</c:v>
                </c:pt>
                <c:pt idx="2420">
                  <c:v>43483</c:v>
                </c:pt>
                <c:pt idx="2421">
                  <c:v>43487</c:v>
                </c:pt>
                <c:pt idx="2422">
                  <c:v>43488</c:v>
                </c:pt>
                <c:pt idx="2423">
                  <c:v>43489</c:v>
                </c:pt>
                <c:pt idx="2424">
                  <c:v>43490</c:v>
                </c:pt>
                <c:pt idx="2425">
                  <c:v>43493</c:v>
                </c:pt>
                <c:pt idx="2426">
                  <c:v>43494</c:v>
                </c:pt>
                <c:pt idx="2427">
                  <c:v>43495</c:v>
                </c:pt>
                <c:pt idx="2428">
                  <c:v>43496</c:v>
                </c:pt>
                <c:pt idx="2429">
                  <c:v>43497</c:v>
                </c:pt>
                <c:pt idx="2430">
                  <c:v>43500</c:v>
                </c:pt>
                <c:pt idx="2431">
                  <c:v>43501</c:v>
                </c:pt>
                <c:pt idx="2432">
                  <c:v>43502</c:v>
                </c:pt>
                <c:pt idx="2433">
                  <c:v>43503</c:v>
                </c:pt>
                <c:pt idx="2434">
                  <c:v>43504</c:v>
                </c:pt>
                <c:pt idx="2435">
                  <c:v>43507</c:v>
                </c:pt>
                <c:pt idx="2436">
                  <c:v>43508</c:v>
                </c:pt>
                <c:pt idx="2437">
                  <c:v>43509</c:v>
                </c:pt>
                <c:pt idx="2438">
                  <c:v>43510</c:v>
                </c:pt>
                <c:pt idx="2439">
                  <c:v>43511</c:v>
                </c:pt>
                <c:pt idx="2440">
                  <c:v>43515</c:v>
                </c:pt>
                <c:pt idx="2441">
                  <c:v>43516</c:v>
                </c:pt>
                <c:pt idx="2442">
                  <c:v>43517</c:v>
                </c:pt>
                <c:pt idx="2443">
                  <c:v>43518</c:v>
                </c:pt>
                <c:pt idx="2444">
                  <c:v>43521</c:v>
                </c:pt>
                <c:pt idx="2445">
                  <c:v>43522</c:v>
                </c:pt>
                <c:pt idx="2446">
                  <c:v>43523</c:v>
                </c:pt>
                <c:pt idx="2447">
                  <c:v>43524</c:v>
                </c:pt>
                <c:pt idx="2448">
                  <c:v>43525</c:v>
                </c:pt>
                <c:pt idx="2449">
                  <c:v>43528</c:v>
                </c:pt>
                <c:pt idx="2450">
                  <c:v>43529</c:v>
                </c:pt>
                <c:pt idx="2451">
                  <c:v>43530</c:v>
                </c:pt>
                <c:pt idx="2452">
                  <c:v>43531</c:v>
                </c:pt>
                <c:pt idx="2453">
                  <c:v>43532</c:v>
                </c:pt>
                <c:pt idx="2454">
                  <c:v>43535</c:v>
                </c:pt>
                <c:pt idx="2455">
                  <c:v>43536</c:v>
                </c:pt>
                <c:pt idx="2456">
                  <c:v>43537</c:v>
                </c:pt>
                <c:pt idx="2457">
                  <c:v>43538</c:v>
                </c:pt>
                <c:pt idx="2458">
                  <c:v>43539</c:v>
                </c:pt>
                <c:pt idx="2459">
                  <c:v>43542</c:v>
                </c:pt>
                <c:pt idx="2460">
                  <c:v>43543</c:v>
                </c:pt>
                <c:pt idx="2461">
                  <c:v>43544</c:v>
                </c:pt>
                <c:pt idx="2462">
                  <c:v>43545</c:v>
                </c:pt>
                <c:pt idx="2463">
                  <c:v>43546</c:v>
                </c:pt>
                <c:pt idx="2464">
                  <c:v>43549</c:v>
                </c:pt>
                <c:pt idx="2465">
                  <c:v>43550</c:v>
                </c:pt>
                <c:pt idx="2466">
                  <c:v>43551</c:v>
                </c:pt>
                <c:pt idx="2467">
                  <c:v>43552</c:v>
                </c:pt>
                <c:pt idx="2468">
                  <c:v>43553</c:v>
                </c:pt>
                <c:pt idx="2469">
                  <c:v>43556</c:v>
                </c:pt>
                <c:pt idx="2470">
                  <c:v>43557</c:v>
                </c:pt>
                <c:pt idx="2471">
                  <c:v>43558</c:v>
                </c:pt>
                <c:pt idx="2472">
                  <c:v>43559</c:v>
                </c:pt>
                <c:pt idx="2473">
                  <c:v>43560</c:v>
                </c:pt>
                <c:pt idx="2474">
                  <c:v>43563</c:v>
                </c:pt>
                <c:pt idx="2475">
                  <c:v>43564</c:v>
                </c:pt>
                <c:pt idx="2476">
                  <c:v>43565</c:v>
                </c:pt>
                <c:pt idx="2477">
                  <c:v>43566</c:v>
                </c:pt>
                <c:pt idx="2478">
                  <c:v>43567</c:v>
                </c:pt>
                <c:pt idx="2479">
                  <c:v>43570</c:v>
                </c:pt>
                <c:pt idx="2480">
                  <c:v>43571</c:v>
                </c:pt>
                <c:pt idx="2481">
                  <c:v>43572</c:v>
                </c:pt>
                <c:pt idx="2482">
                  <c:v>43573</c:v>
                </c:pt>
                <c:pt idx="2483">
                  <c:v>43577</c:v>
                </c:pt>
                <c:pt idx="2484">
                  <c:v>43578</c:v>
                </c:pt>
                <c:pt idx="2485">
                  <c:v>43579</c:v>
                </c:pt>
                <c:pt idx="2486">
                  <c:v>43580</c:v>
                </c:pt>
                <c:pt idx="2487">
                  <c:v>43581</c:v>
                </c:pt>
                <c:pt idx="2488">
                  <c:v>43584</c:v>
                </c:pt>
                <c:pt idx="2489">
                  <c:v>43585</c:v>
                </c:pt>
                <c:pt idx="2490">
                  <c:v>43586</c:v>
                </c:pt>
                <c:pt idx="2491">
                  <c:v>43587</c:v>
                </c:pt>
                <c:pt idx="2492">
                  <c:v>43588</c:v>
                </c:pt>
                <c:pt idx="2493">
                  <c:v>43591</c:v>
                </c:pt>
                <c:pt idx="2494">
                  <c:v>43592</c:v>
                </c:pt>
                <c:pt idx="2495">
                  <c:v>43593</c:v>
                </c:pt>
                <c:pt idx="2496">
                  <c:v>43594</c:v>
                </c:pt>
                <c:pt idx="2497">
                  <c:v>43595</c:v>
                </c:pt>
                <c:pt idx="2498">
                  <c:v>43598</c:v>
                </c:pt>
                <c:pt idx="2499">
                  <c:v>43599</c:v>
                </c:pt>
                <c:pt idx="2500">
                  <c:v>43600</c:v>
                </c:pt>
                <c:pt idx="2501">
                  <c:v>43601</c:v>
                </c:pt>
                <c:pt idx="2502">
                  <c:v>43602</c:v>
                </c:pt>
                <c:pt idx="2503">
                  <c:v>43605</c:v>
                </c:pt>
                <c:pt idx="2504">
                  <c:v>43606</c:v>
                </c:pt>
                <c:pt idx="2505">
                  <c:v>43607</c:v>
                </c:pt>
                <c:pt idx="2506">
                  <c:v>43608</c:v>
                </c:pt>
                <c:pt idx="2507">
                  <c:v>43609</c:v>
                </c:pt>
                <c:pt idx="2508">
                  <c:v>43613</c:v>
                </c:pt>
                <c:pt idx="2509">
                  <c:v>43614</c:v>
                </c:pt>
                <c:pt idx="2510">
                  <c:v>43615</c:v>
                </c:pt>
                <c:pt idx="2511">
                  <c:v>43616</c:v>
                </c:pt>
                <c:pt idx="2512">
                  <c:v>43619</c:v>
                </c:pt>
                <c:pt idx="2513">
                  <c:v>43620</c:v>
                </c:pt>
                <c:pt idx="2514">
                  <c:v>43621</c:v>
                </c:pt>
                <c:pt idx="2515">
                  <c:v>43622</c:v>
                </c:pt>
                <c:pt idx="2516">
                  <c:v>43623</c:v>
                </c:pt>
              </c:numCache>
            </c:numRef>
          </c:cat>
          <c:val>
            <c:numRef>
              <c:f>'Stock Price Data'!$F$3:$F$2519</c:f>
              <c:numCache>
                <c:formatCode>"$"#,##0.00</c:formatCode>
                <c:ptCount val="2517"/>
                <c:pt idx="0">
                  <c:v>6.589429</c:v>
                </c:pt>
                <c:pt idx="1">
                  <c:v>6.7344600000000003</c:v>
                </c:pt>
                <c:pt idx="2">
                  <c:v>6.620959</c:v>
                </c:pt>
                <c:pt idx="3">
                  <c:v>6.589429</c:v>
                </c:pt>
                <c:pt idx="4">
                  <c:v>6.7786</c:v>
                </c:pt>
                <c:pt idx="5">
                  <c:v>6.400258</c:v>
                </c:pt>
                <c:pt idx="6">
                  <c:v>6.7218479999999996</c:v>
                </c:pt>
                <c:pt idx="7">
                  <c:v>6.6966260000000002</c:v>
                </c:pt>
                <c:pt idx="8">
                  <c:v>6.9362409999999999</c:v>
                </c:pt>
                <c:pt idx="9">
                  <c:v>7.1380220000000003</c:v>
                </c:pt>
                <c:pt idx="10">
                  <c:v>7.1506340000000002</c:v>
                </c:pt>
                <c:pt idx="11">
                  <c:v>7.1317170000000001</c:v>
                </c:pt>
                <c:pt idx="12">
                  <c:v>7.4659180000000003</c:v>
                </c:pt>
                <c:pt idx="13">
                  <c:v>7.3524159999999998</c:v>
                </c:pt>
                <c:pt idx="14">
                  <c:v>7.8568699999999998</c:v>
                </c:pt>
                <c:pt idx="15">
                  <c:v>8.0901779999999999</c:v>
                </c:pt>
                <c:pt idx="16">
                  <c:v>8.0586509999999993</c:v>
                </c:pt>
                <c:pt idx="17">
                  <c:v>7.9451489999999998</c:v>
                </c:pt>
                <c:pt idx="18">
                  <c:v>7.6992260000000003</c:v>
                </c:pt>
                <c:pt idx="19">
                  <c:v>7.9010100000000003</c:v>
                </c:pt>
                <c:pt idx="20">
                  <c:v>7.7812010000000003</c:v>
                </c:pt>
                <c:pt idx="21">
                  <c:v>7.7875079999999999</c:v>
                </c:pt>
                <c:pt idx="22">
                  <c:v>7.97037</c:v>
                </c:pt>
                <c:pt idx="23">
                  <c:v>7.9955939999999996</c:v>
                </c:pt>
                <c:pt idx="24">
                  <c:v>8.0712600000000005</c:v>
                </c:pt>
                <c:pt idx="25">
                  <c:v>8.1910720000000001</c:v>
                </c:pt>
                <c:pt idx="26">
                  <c:v>8.2036809999999996</c:v>
                </c:pt>
                <c:pt idx="27">
                  <c:v>8.1910720000000001</c:v>
                </c:pt>
                <c:pt idx="28">
                  <c:v>8.3865459999999992</c:v>
                </c:pt>
                <c:pt idx="29">
                  <c:v>8.2225979999999996</c:v>
                </c:pt>
                <c:pt idx="30">
                  <c:v>8.3802400000000006</c:v>
                </c:pt>
                <c:pt idx="31">
                  <c:v>8.6513829999999992</c:v>
                </c:pt>
                <c:pt idx="32">
                  <c:v>8.4496020000000005</c:v>
                </c:pt>
                <c:pt idx="33">
                  <c:v>8.2415160000000007</c:v>
                </c:pt>
                <c:pt idx="34">
                  <c:v>8.1595410000000008</c:v>
                </c:pt>
                <c:pt idx="35">
                  <c:v>8.2289049999999992</c:v>
                </c:pt>
                <c:pt idx="36">
                  <c:v>8.4811329999999998</c:v>
                </c:pt>
                <c:pt idx="37">
                  <c:v>8.6198560000000004</c:v>
                </c:pt>
                <c:pt idx="38">
                  <c:v>8.8846950000000007</c:v>
                </c:pt>
                <c:pt idx="39">
                  <c:v>8.9036089999999994</c:v>
                </c:pt>
                <c:pt idx="40">
                  <c:v>8.7522769999999994</c:v>
                </c:pt>
                <c:pt idx="41">
                  <c:v>8.5757169999999991</c:v>
                </c:pt>
                <c:pt idx="42">
                  <c:v>8.6198560000000004</c:v>
                </c:pt>
                <c:pt idx="43">
                  <c:v>8.8279429999999994</c:v>
                </c:pt>
                <c:pt idx="44">
                  <c:v>8.8342489999999998</c:v>
                </c:pt>
                <c:pt idx="45">
                  <c:v>8.9729729999999996</c:v>
                </c:pt>
                <c:pt idx="46">
                  <c:v>9.4143709999999992</c:v>
                </c:pt>
                <c:pt idx="47">
                  <c:v>9.3197860000000006</c:v>
                </c:pt>
                <c:pt idx="48">
                  <c:v>8.9099179999999993</c:v>
                </c:pt>
                <c:pt idx="49">
                  <c:v>8.9981969999999993</c:v>
                </c:pt>
                <c:pt idx="50">
                  <c:v>8.9540570000000006</c:v>
                </c:pt>
                <c:pt idx="51">
                  <c:v>9.1747549999999993</c:v>
                </c:pt>
                <c:pt idx="52">
                  <c:v>9.3891480000000005</c:v>
                </c:pt>
                <c:pt idx="53">
                  <c:v>9.2188949999999998</c:v>
                </c:pt>
                <c:pt idx="54">
                  <c:v>9.3071750000000009</c:v>
                </c:pt>
                <c:pt idx="55">
                  <c:v>9.1684479999999997</c:v>
                </c:pt>
                <c:pt idx="56">
                  <c:v>9.0738640000000004</c:v>
                </c:pt>
                <c:pt idx="57">
                  <c:v>9.3450089999999992</c:v>
                </c:pt>
                <c:pt idx="58">
                  <c:v>9.3513140000000003</c:v>
                </c:pt>
                <c:pt idx="59">
                  <c:v>9.256729</c:v>
                </c:pt>
                <c:pt idx="60">
                  <c:v>9.0990870000000008</c:v>
                </c:pt>
                <c:pt idx="61">
                  <c:v>9.0612519999999996</c:v>
                </c:pt>
                <c:pt idx="62">
                  <c:v>9.1116969999999995</c:v>
                </c:pt>
                <c:pt idx="63">
                  <c:v>9.0864759999999993</c:v>
                </c:pt>
                <c:pt idx="64">
                  <c:v>9.3387030000000006</c:v>
                </c:pt>
                <c:pt idx="65">
                  <c:v>8.9792799999999993</c:v>
                </c:pt>
                <c:pt idx="66">
                  <c:v>9.0675589999999993</c:v>
                </c:pt>
                <c:pt idx="67">
                  <c:v>8.9288349999999994</c:v>
                </c:pt>
                <c:pt idx="68">
                  <c:v>8.9477519999999995</c:v>
                </c:pt>
                <c:pt idx="69">
                  <c:v>9.1495329999999999</c:v>
                </c:pt>
                <c:pt idx="70">
                  <c:v>9.0612519999999996</c:v>
                </c:pt>
                <c:pt idx="71">
                  <c:v>9.0297249999999991</c:v>
                </c:pt>
                <c:pt idx="72">
                  <c:v>9.0108080000000008</c:v>
                </c:pt>
                <c:pt idx="73">
                  <c:v>9.2882569999999998</c:v>
                </c:pt>
                <c:pt idx="74">
                  <c:v>9.2125889999999995</c:v>
                </c:pt>
                <c:pt idx="75">
                  <c:v>9.1243110000000005</c:v>
                </c:pt>
                <c:pt idx="76">
                  <c:v>9.0927810000000004</c:v>
                </c:pt>
                <c:pt idx="77">
                  <c:v>9.2378129999999992</c:v>
                </c:pt>
                <c:pt idx="78">
                  <c:v>9.4837330000000009</c:v>
                </c:pt>
                <c:pt idx="79">
                  <c:v>10.08277</c:v>
                </c:pt>
                <c:pt idx="80">
                  <c:v>9.6413759999999993</c:v>
                </c:pt>
                <c:pt idx="81">
                  <c:v>9.8494620000000008</c:v>
                </c:pt>
                <c:pt idx="82">
                  <c:v>10.152136</c:v>
                </c:pt>
                <c:pt idx="83">
                  <c:v>10.467418</c:v>
                </c:pt>
                <c:pt idx="84">
                  <c:v>10.341305999999999</c:v>
                </c:pt>
                <c:pt idx="85">
                  <c:v>10.839454</c:v>
                </c:pt>
                <c:pt idx="86">
                  <c:v>11.110595999999999</c:v>
                </c:pt>
                <c:pt idx="87">
                  <c:v>11.224097</c:v>
                </c:pt>
                <c:pt idx="88">
                  <c:v>11.135819</c:v>
                </c:pt>
                <c:pt idx="89">
                  <c:v>11.129512999999999</c:v>
                </c:pt>
                <c:pt idx="90">
                  <c:v>11.022316999999999</c:v>
                </c:pt>
                <c:pt idx="91">
                  <c:v>10.990788999999999</c:v>
                </c:pt>
                <c:pt idx="92">
                  <c:v>10.927733</c:v>
                </c:pt>
                <c:pt idx="93">
                  <c:v>11.028625</c:v>
                </c:pt>
                <c:pt idx="94">
                  <c:v>11.066457</c:v>
                </c:pt>
                <c:pt idx="95">
                  <c:v>11.381740000000001</c:v>
                </c:pt>
                <c:pt idx="96">
                  <c:v>11.331296999999999</c:v>
                </c:pt>
                <c:pt idx="97">
                  <c:v>11.072763</c:v>
                </c:pt>
                <c:pt idx="98">
                  <c:v>11.034929999999999</c:v>
                </c:pt>
                <c:pt idx="99">
                  <c:v>10.744868</c:v>
                </c:pt>
                <c:pt idx="100">
                  <c:v>10.908813</c:v>
                </c:pt>
                <c:pt idx="101">
                  <c:v>10.656589</c:v>
                </c:pt>
                <c:pt idx="102">
                  <c:v>11.179959999999999</c:v>
                </c:pt>
                <c:pt idx="103">
                  <c:v>10.965567999999999</c:v>
                </c:pt>
                <c:pt idx="104">
                  <c:v>10.940344</c:v>
                </c:pt>
                <c:pt idx="105">
                  <c:v>11.041233999999999</c:v>
                </c:pt>
                <c:pt idx="106">
                  <c:v>10.826841</c:v>
                </c:pt>
                <c:pt idx="107">
                  <c:v>11.129512999999999</c:v>
                </c:pt>
                <c:pt idx="108">
                  <c:v>11.022316999999999</c:v>
                </c:pt>
                <c:pt idx="109">
                  <c:v>10.997095</c:v>
                </c:pt>
                <c:pt idx="110">
                  <c:v>11.009705</c:v>
                </c:pt>
                <c:pt idx="111">
                  <c:v>11.053846</c:v>
                </c:pt>
                <c:pt idx="112">
                  <c:v>11.116902</c:v>
                </c:pt>
                <c:pt idx="113">
                  <c:v>11.04754</c:v>
                </c:pt>
                <c:pt idx="114">
                  <c:v>11.041233999999999</c:v>
                </c:pt>
                <c:pt idx="115">
                  <c:v>10.606142</c:v>
                </c:pt>
                <c:pt idx="116">
                  <c:v>10.416973</c:v>
                </c:pt>
                <c:pt idx="117">
                  <c:v>10.524171000000001</c:v>
                </c:pt>
                <c:pt idx="118">
                  <c:v>10.662893</c:v>
                </c:pt>
                <c:pt idx="119">
                  <c:v>10.751172</c:v>
                </c:pt>
                <c:pt idx="120">
                  <c:v>10.410666000000001</c:v>
                </c:pt>
                <c:pt idx="121">
                  <c:v>10.202579</c:v>
                </c:pt>
                <c:pt idx="122">
                  <c:v>10.107995000000001</c:v>
                </c:pt>
                <c:pt idx="123">
                  <c:v>10.505250999999999</c:v>
                </c:pt>
                <c:pt idx="124">
                  <c:v>10.435889</c:v>
                </c:pt>
                <c:pt idx="125">
                  <c:v>10.486336</c:v>
                </c:pt>
                <c:pt idx="126">
                  <c:v>10.49264</c:v>
                </c:pt>
                <c:pt idx="127">
                  <c:v>10.284556</c:v>
                </c:pt>
                <c:pt idx="128">
                  <c:v>10.328694</c:v>
                </c:pt>
                <c:pt idx="129">
                  <c:v>10.372833999999999</c:v>
                </c:pt>
                <c:pt idx="130">
                  <c:v>10.334997</c:v>
                </c:pt>
                <c:pt idx="131">
                  <c:v>10.442195999999999</c:v>
                </c:pt>
                <c:pt idx="132">
                  <c:v>10.404363</c:v>
                </c:pt>
                <c:pt idx="133">
                  <c:v>10.461114</c:v>
                </c:pt>
                <c:pt idx="134">
                  <c:v>10.347611000000001</c:v>
                </c:pt>
                <c:pt idx="135">
                  <c:v>10.208887000000001</c:v>
                </c:pt>
                <c:pt idx="136">
                  <c:v>10.353916</c:v>
                </c:pt>
                <c:pt idx="137">
                  <c:v>10.467418</c:v>
                </c:pt>
                <c:pt idx="138">
                  <c:v>10.341305999999999</c:v>
                </c:pt>
                <c:pt idx="139">
                  <c:v>10.240415</c:v>
                </c:pt>
                <c:pt idx="140">
                  <c:v>10.221496</c:v>
                </c:pt>
                <c:pt idx="141">
                  <c:v>10.227802000000001</c:v>
                </c:pt>
                <c:pt idx="142">
                  <c:v>10.480029999999999</c:v>
                </c:pt>
                <c:pt idx="143">
                  <c:v>10.606142</c:v>
                </c:pt>
                <c:pt idx="144">
                  <c:v>11.419575</c:v>
                </c:pt>
                <c:pt idx="145">
                  <c:v>11.621356</c:v>
                </c:pt>
                <c:pt idx="146">
                  <c:v>11.444798</c:v>
                </c:pt>
                <c:pt idx="147">
                  <c:v>11.50155</c:v>
                </c:pt>
                <c:pt idx="148">
                  <c:v>11.507854</c:v>
                </c:pt>
                <c:pt idx="149">
                  <c:v>11.482632000000001</c:v>
                </c:pt>
                <c:pt idx="150">
                  <c:v>11.293461000000001</c:v>
                </c:pt>
                <c:pt idx="151">
                  <c:v>11.495241999999999</c:v>
                </c:pt>
                <c:pt idx="152">
                  <c:v>11.362824</c:v>
                </c:pt>
                <c:pt idx="153">
                  <c:v>11.350213</c:v>
                </c:pt>
                <c:pt idx="154">
                  <c:v>11.362824</c:v>
                </c:pt>
                <c:pt idx="155">
                  <c:v>10.990788999999999</c:v>
                </c:pt>
                <c:pt idx="156">
                  <c:v>10.763783</c:v>
                </c:pt>
                <c:pt idx="157">
                  <c:v>10.612448000000001</c:v>
                </c:pt>
                <c:pt idx="158">
                  <c:v>10.700727000000001</c:v>
                </c:pt>
                <c:pt idx="159">
                  <c:v>10.574615</c:v>
                </c:pt>
                <c:pt idx="160">
                  <c:v>10.284556</c:v>
                </c:pt>
                <c:pt idx="161">
                  <c:v>10.328694</c:v>
                </c:pt>
                <c:pt idx="162">
                  <c:v>10.618753999999999</c:v>
                </c:pt>
                <c:pt idx="163">
                  <c:v>10.719645999999999</c:v>
                </c:pt>
                <c:pt idx="164">
                  <c:v>10.946650999999999</c:v>
                </c:pt>
                <c:pt idx="165">
                  <c:v>10.62506</c:v>
                </c:pt>
                <c:pt idx="166">
                  <c:v>10.385446</c:v>
                </c:pt>
                <c:pt idx="167">
                  <c:v>10.322388999999999</c:v>
                </c:pt>
                <c:pt idx="168">
                  <c:v>10.530476</c:v>
                </c:pt>
                <c:pt idx="169">
                  <c:v>10.587225999999999</c:v>
                </c:pt>
                <c:pt idx="170">
                  <c:v>10.580921999999999</c:v>
                </c:pt>
                <c:pt idx="171">
                  <c:v>10.612448000000001</c:v>
                </c:pt>
                <c:pt idx="172">
                  <c:v>10.62506</c:v>
                </c:pt>
                <c:pt idx="173">
                  <c:v>11.375437</c:v>
                </c:pt>
                <c:pt idx="174">
                  <c:v>11.217794</c:v>
                </c:pt>
                <c:pt idx="175">
                  <c:v>11.135819</c:v>
                </c:pt>
                <c:pt idx="176">
                  <c:v>11.053846</c:v>
                </c:pt>
                <c:pt idx="177">
                  <c:v>10.908813</c:v>
                </c:pt>
                <c:pt idx="178">
                  <c:v>10.196275</c:v>
                </c:pt>
                <c:pt idx="179">
                  <c:v>10.076466999999999</c:v>
                </c:pt>
                <c:pt idx="180">
                  <c:v>10.007104</c:v>
                </c:pt>
                <c:pt idx="181">
                  <c:v>10.145828</c:v>
                </c:pt>
                <c:pt idx="182">
                  <c:v>10.234108000000001</c:v>
                </c:pt>
                <c:pt idx="183">
                  <c:v>10.158441</c:v>
                </c:pt>
                <c:pt idx="184">
                  <c:v>10.423279000000001</c:v>
                </c:pt>
                <c:pt idx="185">
                  <c:v>10.517863</c:v>
                </c:pt>
                <c:pt idx="186">
                  <c:v>10.782702</c:v>
                </c:pt>
                <c:pt idx="187">
                  <c:v>11.230404</c:v>
                </c:pt>
                <c:pt idx="188">
                  <c:v>11.293461000000001</c:v>
                </c:pt>
                <c:pt idx="189">
                  <c:v>11.224097</c:v>
                </c:pt>
                <c:pt idx="190">
                  <c:v>11.198876</c:v>
                </c:pt>
                <c:pt idx="191">
                  <c:v>11.217794</c:v>
                </c:pt>
                <c:pt idx="192">
                  <c:v>11.104291999999999</c:v>
                </c:pt>
                <c:pt idx="193">
                  <c:v>11.142124000000001</c:v>
                </c:pt>
                <c:pt idx="194">
                  <c:v>11.110595999999999</c:v>
                </c:pt>
                <c:pt idx="195">
                  <c:v>10.971871999999999</c:v>
                </c:pt>
                <c:pt idx="196">
                  <c:v>10.908813</c:v>
                </c:pt>
                <c:pt idx="197">
                  <c:v>11.072763</c:v>
                </c:pt>
                <c:pt idx="198">
                  <c:v>11.589828000000001</c:v>
                </c:pt>
                <c:pt idx="199">
                  <c:v>11.621356</c:v>
                </c:pt>
                <c:pt idx="200">
                  <c:v>11.659190000000001</c:v>
                </c:pt>
                <c:pt idx="201">
                  <c:v>11.551992</c:v>
                </c:pt>
                <c:pt idx="202">
                  <c:v>11.816833000000001</c:v>
                </c:pt>
                <c:pt idx="203">
                  <c:v>11.848363000000001</c:v>
                </c:pt>
                <c:pt idx="204">
                  <c:v>11.816833000000001</c:v>
                </c:pt>
                <c:pt idx="205">
                  <c:v>11.879891000000001</c:v>
                </c:pt>
                <c:pt idx="206">
                  <c:v>11.898806</c:v>
                </c:pt>
                <c:pt idx="207">
                  <c:v>12.220395</c:v>
                </c:pt>
                <c:pt idx="208">
                  <c:v>12.321286000000001</c:v>
                </c:pt>
                <c:pt idx="209">
                  <c:v>12.264535</c:v>
                </c:pt>
                <c:pt idx="210">
                  <c:v>12.630265</c:v>
                </c:pt>
                <c:pt idx="211">
                  <c:v>12.926629999999999</c:v>
                </c:pt>
                <c:pt idx="212">
                  <c:v>13.090581</c:v>
                </c:pt>
                <c:pt idx="213">
                  <c:v>13.21669</c:v>
                </c:pt>
                <c:pt idx="214">
                  <c:v>13.380637999999999</c:v>
                </c:pt>
                <c:pt idx="215">
                  <c:v>13.21669</c:v>
                </c:pt>
                <c:pt idx="216">
                  <c:v>13.128413999999999</c:v>
                </c:pt>
                <c:pt idx="217">
                  <c:v>13.267137999999999</c:v>
                </c:pt>
                <c:pt idx="218">
                  <c:v>12.914020000000001</c:v>
                </c:pt>
                <c:pt idx="219">
                  <c:v>12.781601999999999</c:v>
                </c:pt>
                <c:pt idx="220">
                  <c:v>12.592430999999999</c:v>
                </c:pt>
                <c:pt idx="221">
                  <c:v>12.478929000000001</c:v>
                </c:pt>
                <c:pt idx="222">
                  <c:v>12.264535</c:v>
                </c:pt>
                <c:pt idx="223">
                  <c:v>12.415872999999999</c:v>
                </c:pt>
                <c:pt idx="224">
                  <c:v>12.863573000000001</c:v>
                </c:pt>
                <c:pt idx="225">
                  <c:v>12.872854</c:v>
                </c:pt>
                <c:pt idx="226">
                  <c:v>13.287684</c:v>
                </c:pt>
                <c:pt idx="227">
                  <c:v>12.813592999999999</c:v>
                </c:pt>
                <c:pt idx="228">
                  <c:v>12.523872000000001</c:v>
                </c:pt>
                <c:pt idx="229">
                  <c:v>11.753475999999999</c:v>
                </c:pt>
                <c:pt idx="230">
                  <c:v>11.47034</c:v>
                </c:pt>
                <c:pt idx="231">
                  <c:v>12.326333</c:v>
                </c:pt>
                <c:pt idx="232">
                  <c:v>12.135382</c:v>
                </c:pt>
                <c:pt idx="233">
                  <c:v>12.148552</c:v>
                </c:pt>
                <c:pt idx="234">
                  <c:v>11.937843000000001</c:v>
                </c:pt>
                <c:pt idx="235">
                  <c:v>11.595447</c:v>
                </c:pt>
                <c:pt idx="236">
                  <c:v>11.160864</c:v>
                </c:pt>
                <c:pt idx="237">
                  <c:v>11.180617</c:v>
                </c:pt>
                <c:pt idx="238">
                  <c:v>11.068680000000001</c:v>
                </c:pt>
                <c:pt idx="239">
                  <c:v>10.713112000000001</c:v>
                </c:pt>
                <c:pt idx="240">
                  <c:v>10.693358999999999</c:v>
                </c:pt>
                <c:pt idx="241">
                  <c:v>10.568251</c:v>
                </c:pt>
                <c:pt idx="242">
                  <c:v>10.212685</c:v>
                </c:pt>
                <c:pt idx="243">
                  <c:v>9.8900410000000001</c:v>
                </c:pt>
                <c:pt idx="244">
                  <c:v>10.89748</c:v>
                </c:pt>
                <c:pt idx="245">
                  <c:v>10.732863999999999</c:v>
                </c:pt>
                <c:pt idx="246">
                  <c:v>10.805296999999999</c:v>
                </c:pt>
                <c:pt idx="247">
                  <c:v>11.127942000000001</c:v>
                </c:pt>
                <c:pt idx="248">
                  <c:v>11.299142</c:v>
                </c:pt>
                <c:pt idx="249">
                  <c:v>11.009418</c:v>
                </c:pt>
                <c:pt idx="250">
                  <c:v>10.805296999999999</c:v>
                </c:pt>
                <c:pt idx="251">
                  <c:v>10.838219</c:v>
                </c:pt>
                <c:pt idx="252">
                  <c:v>11.174032</c:v>
                </c:pt>
                <c:pt idx="253">
                  <c:v>11.417662999999999</c:v>
                </c:pt>
                <c:pt idx="254">
                  <c:v>11.569107000000001</c:v>
                </c:pt>
                <c:pt idx="255">
                  <c:v>11.707386</c:v>
                </c:pt>
                <c:pt idx="256">
                  <c:v>12.043199</c:v>
                </c:pt>
                <c:pt idx="257">
                  <c:v>11.99052</c:v>
                </c:pt>
                <c:pt idx="258">
                  <c:v>11.957599999999999</c:v>
                </c:pt>
                <c:pt idx="259">
                  <c:v>12.03003</c:v>
                </c:pt>
                <c:pt idx="260">
                  <c:v>11.786398999999999</c:v>
                </c:pt>
                <c:pt idx="261">
                  <c:v>11.858831</c:v>
                </c:pt>
                <c:pt idx="262">
                  <c:v>11.713969000000001</c:v>
                </c:pt>
                <c:pt idx="263">
                  <c:v>11.549356</c:v>
                </c:pt>
                <c:pt idx="264">
                  <c:v>11.562522</c:v>
                </c:pt>
                <c:pt idx="265">
                  <c:v>11.503261999999999</c:v>
                </c:pt>
                <c:pt idx="266">
                  <c:v>10.871142000000001</c:v>
                </c:pt>
                <c:pt idx="267">
                  <c:v>10.818465</c:v>
                </c:pt>
                <c:pt idx="268">
                  <c:v>10.759206000000001</c:v>
                </c:pt>
                <c:pt idx="269">
                  <c:v>10.739452</c:v>
                </c:pt>
                <c:pt idx="270">
                  <c:v>10.831636</c:v>
                </c:pt>
                <c:pt idx="271">
                  <c:v>11.167449</c:v>
                </c:pt>
                <c:pt idx="272">
                  <c:v>11.305723</c:v>
                </c:pt>
                <c:pt idx="273">
                  <c:v>11.318892999999999</c:v>
                </c:pt>
                <c:pt idx="274">
                  <c:v>11.200372</c:v>
                </c:pt>
                <c:pt idx="275">
                  <c:v>11.523016</c:v>
                </c:pt>
                <c:pt idx="276">
                  <c:v>11.595447</c:v>
                </c:pt>
                <c:pt idx="277">
                  <c:v>11.47034</c:v>
                </c:pt>
                <c:pt idx="278">
                  <c:v>11.068680000000001</c:v>
                </c:pt>
                <c:pt idx="279">
                  <c:v>11.134524000000001</c:v>
                </c:pt>
                <c:pt idx="280">
                  <c:v>11.404491999999999</c:v>
                </c:pt>
                <c:pt idx="281">
                  <c:v>11.713969000000001</c:v>
                </c:pt>
                <c:pt idx="282">
                  <c:v>11.891752</c:v>
                </c:pt>
                <c:pt idx="283">
                  <c:v>12.194642</c:v>
                </c:pt>
                <c:pt idx="284">
                  <c:v>12.372429</c:v>
                </c:pt>
                <c:pt idx="285">
                  <c:v>12.359260000000001</c:v>
                </c:pt>
                <c:pt idx="286">
                  <c:v>12.102458</c:v>
                </c:pt>
                <c:pt idx="287">
                  <c:v>12.08929</c:v>
                </c:pt>
                <c:pt idx="288">
                  <c:v>12.016859999999999</c:v>
                </c:pt>
                <c:pt idx="289">
                  <c:v>12.194642</c:v>
                </c:pt>
                <c:pt idx="290">
                  <c:v>12.148552</c:v>
                </c:pt>
                <c:pt idx="291">
                  <c:v>12.201226</c:v>
                </c:pt>
                <c:pt idx="292">
                  <c:v>12.879438</c:v>
                </c:pt>
                <c:pt idx="293">
                  <c:v>13.129652999999999</c:v>
                </c:pt>
                <c:pt idx="294">
                  <c:v>13.254761</c:v>
                </c:pt>
                <c:pt idx="295">
                  <c:v>13.136236999999999</c:v>
                </c:pt>
                <c:pt idx="296">
                  <c:v>12.925530999999999</c:v>
                </c:pt>
                <c:pt idx="297">
                  <c:v>12.925530999999999</c:v>
                </c:pt>
                <c:pt idx="298">
                  <c:v>13.090145</c:v>
                </c:pt>
                <c:pt idx="299">
                  <c:v>13.090145</c:v>
                </c:pt>
                <c:pt idx="300">
                  <c:v>13.254761</c:v>
                </c:pt>
                <c:pt idx="301">
                  <c:v>13.597158</c:v>
                </c:pt>
                <c:pt idx="302">
                  <c:v>13.669592</c:v>
                </c:pt>
                <c:pt idx="303">
                  <c:v>13.768356000000001</c:v>
                </c:pt>
                <c:pt idx="304">
                  <c:v>13.281098999999999</c:v>
                </c:pt>
                <c:pt idx="305">
                  <c:v>12.523872000000001</c:v>
                </c:pt>
                <c:pt idx="306">
                  <c:v>12.826763</c:v>
                </c:pt>
                <c:pt idx="307">
                  <c:v>12.616056</c:v>
                </c:pt>
                <c:pt idx="308">
                  <c:v>12.418519</c:v>
                </c:pt>
                <c:pt idx="309">
                  <c:v>12.425102000000001</c:v>
                </c:pt>
                <c:pt idx="310">
                  <c:v>12.385595</c:v>
                </c:pt>
                <c:pt idx="311">
                  <c:v>12.688485999999999</c:v>
                </c:pt>
                <c:pt idx="312">
                  <c:v>12.675316</c:v>
                </c:pt>
                <c:pt idx="313">
                  <c:v>12.833347</c:v>
                </c:pt>
                <c:pt idx="314">
                  <c:v>12.569965</c:v>
                </c:pt>
                <c:pt idx="315">
                  <c:v>12.530457999999999</c:v>
                </c:pt>
                <c:pt idx="316">
                  <c:v>12.741161</c:v>
                </c:pt>
                <c:pt idx="317">
                  <c:v>12.760916</c:v>
                </c:pt>
                <c:pt idx="318">
                  <c:v>12.774086</c:v>
                </c:pt>
                <c:pt idx="319">
                  <c:v>12.734576000000001</c:v>
                </c:pt>
                <c:pt idx="320">
                  <c:v>12.583133</c:v>
                </c:pt>
                <c:pt idx="321">
                  <c:v>12.550209000000001</c:v>
                </c:pt>
                <c:pt idx="322">
                  <c:v>12.839930000000001</c:v>
                </c:pt>
                <c:pt idx="323">
                  <c:v>13.182328999999999</c:v>
                </c:pt>
                <c:pt idx="324">
                  <c:v>13.254761</c:v>
                </c:pt>
                <c:pt idx="325">
                  <c:v>13.155991</c:v>
                </c:pt>
                <c:pt idx="326">
                  <c:v>13.294269</c:v>
                </c:pt>
                <c:pt idx="327">
                  <c:v>13.518143</c:v>
                </c:pt>
                <c:pt idx="328">
                  <c:v>13.610328000000001</c:v>
                </c:pt>
                <c:pt idx="329">
                  <c:v>14.545339</c:v>
                </c:pt>
                <c:pt idx="330">
                  <c:v>14.492663</c:v>
                </c:pt>
                <c:pt idx="331">
                  <c:v>13.946141000000001</c:v>
                </c:pt>
                <c:pt idx="332">
                  <c:v>14.209524</c:v>
                </c:pt>
                <c:pt idx="333">
                  <c:v>14.308292</c:v>
                </c:pt>
                <c:pt idx="334">
                  <c:v>14.545339</c:v>
                </c:pt>
                <c:pt idx="335">
                  <c:v>14.374140000000001</c:v>
                </c:pt>
                <c:pt idx="336">
                  <c:v>14.229277</c:v>
                </c:pt>
                <c:pt idx="337">
                  <c:v>14.367556</c:v>
                </c:pt>
                <c:pt idx="338">
                  <c:v>14.393894</c:v>
                </c:pt>
                <c:pt idx="339">
                  <c:v>14.321462</c:v>
                </c:pt>
                <c:pt idx="340">
                  <c:v>14.578260999999999</c:v>
                </c:pt>
                <c:pt idx="341">
                  <c:v>14.821891000000001</c:v>
                </c:pt>
                <c:pt idx="342">
                  <c:v>14.960167</c:v>
                </c:pt>
                <c:pt idx="343">
                  <c:v>14.854815</c:v>
                </c:pt>
                <c:pt idx="344">
                  <c:v>14.505831000000001</c:v>
                </c:pt>
                <c:pt idx="345">
                  <c:v>14.775798999999999</c:v>
                </c:pt>
                <c:pt idx="346">
                  <c:v>14.867984</c:v>
                </c:pt>
                <c:pt idx="347">
                  <c:v>15.111613999999999</c:v>
                </c:pt>
                <c:pt idx="348">
                  <c:v>15.184043000000001</c:v>
                </c:pt>
                <c:pt idx="349">
                  <c:v>14.999675</c:v>
                </c:pt>
                <c:pt idx="350">
                  <c:v>16.099299999999999</c:v>
                </c:pt>
                <c:pt idx="351">
                  <c:v>15.467180000000001</c:v>
                </c:pt>
                <c:pt idx="352">
                  <c:v>15.697639000000001</c:v>
                </c:pt>
                <c:pt idx="353">
                  <c:v>15.644962</c:v>
                </c:pt>
                <c:pt idx="354">
                  <c:v>16.020285000000001</c:v>
                </c:pt>
                <c:pt idx="355">
                  <c:v>16.500959000000002</c:v>
                </c:pt>
                <c:pt idx="356">
                  <c:v>16.856521999999998</c:v>
                </c:pt>
                <c:pt idx="357">
                  <c:v>16.751176999999998</c:v>
                </c:pt>
                <c:pt idx="358">
                  <c:v>16.132223</c:v>
                </c:pt>
                <c:pt idx="359">
                  <c:v>15.855672999999999</c:v>
                </c:pt>
                <c:pt idx="360">
                  <c:v>16.593145</c:v>
                </c:pt>
                <c:pt idx="361">
                  <c:v>16.408777000000001</c:v>
                </c:pt>
                <c:pt idx="362">
                  <c:v>15.987361</c:v>
                </c:pt>
                <c:pt idx="363">
                  <c:v>15.862253000000001</c:v>
                </c:pt>
                <c:pt idx="364">
                  <c:v>15.638377999999999</c:v>
                </c:pt>
                <c:pt idx="365">
                  <c:v>15.625208000000001</c:v>
                </c:pt>
                <c:pt idx="366">
                  <c:v>16.053207</c:v>
                </c:pt>
                <c:pt idx="367">
                  <c:v>16.165144000000002</c:v>
                </c:pt>
                <c:pt idx="368">
                  <c:v>16.494373</c:v>
                </c:pt>
                <c:pt idx="369">
                  <c:v>15.835915999999999</c:v>
                </c:pt>
                <c:pt idx="370">
                  <c:v>16.145391</c:v>
                </c:pt>
                <c:pt idx="371">
                  <c:v>16.263915999999998</c:v>
                </c:pt>
                <c:pt idx="372">
                  <c:v>16.0137</c:v>
                </c:pt>
                <c:pt idx="373">
                  <c:v>15.961021000000001</c:v>
                </c:pt>
                <c:pt idx="374">
                  <c:v>16.323174999999999</c:v>
                </c:pt>
                <c:pt idx="375">
                  <c:v>16.296837</c:v>
                </c:pt>
                <c:pt idx="376">
                  <c:v>16.217818999999999</c:v>
                </c:pt>
                <c:pt idx="377">
                  <c:v>16.665575</c:v>
                </c:pt>
                <c:pt idx="378">
                  <c:v>16.349513999999999</c:v>
                </c:pt>
                <c:pt idx="379">
                  <c:v>16.448281999999999</c:v>
                </c:pt>
                <c:pt idx="380">
                  <c:v>16.454868000000001</c:v>
                </c:pt>
                <c:pt idx="381">
                  <c:v>16.790682</c:v>
                </c:pt>
                <c:pt idx="382">
                  <c:v>16.97505</c:v>
                </c:pt>
                <c:pt idx="383">
                  <c:v>16.672159000000001</c:v>
                </c:pt>
                <c:pt idx="384">
                  <c:v>16.588697</c:v>
                </c:pt>
                <c:pt idx="385">
                  <c:v>16.508202000000001</c:v>
                </c:pt>
                <c:pt idx="386">
                  <c:v>16.474661000000001</c:v>
                </c:pt>
                <c:pt idx="387">
                  <c:v>16.662485</c:v>
                </c:pt>
                <c:pt idx="388">
                  <c:v>16.581987000000002</c:v>
                </c:pt>
                <c:pt idx="389">
                  <c:v>16.675898</c:v>
                </c:pt>
                <c:pt idx="390">
                  <c:v>16.736274999999999</c:v>
                </c:pt>
                <c:pt idx="391">
                  <c:v>16.716148</c:v>
                </c:pt>
                <c:pt idx="392">
                  <c:v>16.588697</c:v>
                </c:pt>
                <c:pt idx="393">
                  <c:v>16.669194999999998</c:v>
                </c:pt>
                <c:pt idx="394">
                  <c:v>16.649070999999999</c:v>
                </c:pt>
                <c:pt idx="395">
                  <c:v>16.696021999999999</c:v>
                </c:pt>
                <c:pt idx="396">
                  <c:v>16.917384999999999</c:v>
                </c:pt>
                <c:pt idx="397">
                  <c:v>17.125333999999999</c:v>
                </c:pt>
                <c:pt idx="398">
                  <c:v>17.018004999999999</c:v>
                </c:pt>
                <c:pt idx="399">
                  <c:v>17.272907</c:v>
                </c:pt>
                <c:pt idx="400">
                  <c:v>17.205824</c:v>
                </c:pt>
                <c:pt idx="401">
                  <c:v>17.339983</c:v>
                </c:pt>
                <c:pt idx="402">
                  <c:v>17.400359999999999</c:v>
                </c:pt>
                <c:pt idx="403">
                  <c:v>17.615013000000001</c:v>
                </c:pt>
                <c:pt idx="404">
                  <c:v>17.541219999999999</c:v>
                </c:pt>
                <c:pt idx="405">
                  <c:v>17.695505000000001</c:v>
                </c:pt>
                <c:pt idx="406">
                  <c:v>18.057735000000001</c:v>
                </c:pt>
                <c:pt idx="407">
                  <c:v>17.977236000000001</c:v>
                </c:pt>
                <c:pt idx="408">
                  <c:v>17.849789000000001</c:v>
                </c:pt>
                <c:pt idx="409">
                  <c:v>17.910157999999999</c:v>
                </c:pt>
                <c:pt idx="410">
                  <c:v>17.829661999999999</c:v>
                </c:pt>
                <c:pt idx="411">
                  <c:v>17.581469999999999</c:v>
                </c:pt>
                <c:pt idx="412">
                  <c:v>17.621717</c:v>
                </c:pt>
                <c:pt idx="413">
                  <c:v>17.621717</c:v>
                </c:pt>
                <c:pt idx="414">
                  <c:v>17.024713999999999</c:v>
                </c:pt>
                <c:pt idx="415">
                  <c:v>17.319859000000001</c:v>
                </c:pt>
                <c:pt idx="416">
                  <c:v>17.668676000000001</c:v>
                </c:pt>
                <c:pt idx="417">
                  <c:v>17.554639999999999</c:v>
                </c:pt>
                <c:pt idx="418">
                  <c:v>17.729043999999998</c:v>
                </c:pt>
                <c:pt idx="419">
                  <c:v>17.541219999999999</c:v>
                </c:pt>
                <c:pt idx="420">
                  <c:v>17.668676000000001</c:v>
                </c:pt>
                <c:pt idx="421">
                  <c:v>17.635135999999999</c:v>
                </c:pt>
                <c:pt idx="422">
                  <c:v>17.440602999999999</c:v>
                </c:pt>
                <c:pt idx="423">
                  <c:v>16.991177</c:v>
                </c:pt>
                <c:pt idx="424">
                  <c:v>17.051544</c:v>
                </c:pt>
                <c:pt idx="425">
                  <c:v>17.158873</c:v>
                </c:pt>
                <c:pt idx="426">
                  <c:v>17.158873</c:v>
                </c:pt>
                <c:pt idx="427">
                  <c:v>17.286324</c:v>
                </c:pt>
                <c:pt idx="428">
                  <c:v>17.011296999999999</c:v>
                </c:pt>
                <c:pt idx="429">
                  <c:v>16.971050000000002</c:v>
                </c:pt>
                <c:pt idx="430">
                  <c:v>16.716148</c:v>
                </c:pt>
                <c:pt idx="431">
                  <c:v>15.877660000000001</c:v>
                </c:pt>
                <c:pt idx="432">
                  <c:v>15.508725999999999</c:v>
                </c:pt>
                <c:pt idx="433">
                  <c:v>15.750203000000001</c:v>
                </c:pt>
                <c:pt idx="434">
                  <c:v>15.823995999999999</c:v>
                </c:pt>
                <c:pt idx="435">
                  <c:v>15.669711</c:v>
                </c:pt>
                <c:pt idx="436">
                  <c:v>15.629462</c:v>
                </c:pt>
                <c:pt idx="437">
                  <c:v>16.078896</c:v>
                </c:pt>
                <c:pt idx="438">
                  <c:v>16.481369000000001</c:v>
                </c:pt>
                <c:pt idx="439">
                  <c:v>16.099019999999999</c:v>
                </c:pt>
                <c:pt idx="440">
                  <c:v>16.233179</c:v>
                </c:pt>
                <c:pt idx="441">
                  <c:v>16.239882999999999</c:v>
                </c:pt>
                <c:pt idx="442">
                  <c:v>15.736791</c:v>
                </c:pt>
                <c:pt idx="443">
                  <c:v>15.730083</c:v>
                </c:pt>
                <c:pt idx="444">
                  <c:v>15.676422000000001</c:v>
                </c:pt>
                <c:pt idx="445">
                  <c:v>15.857530000000001</c:v>
                </c:pt>
                <c:pt idx="446">
                  <c:v>15.401394</c:v>
                </c:pt>
                <c:pt idx="447">
                  <c:v>15.569093000000001</c:v>
                </c:pt>
                <c:pt idx="448">
                  <c:v>15.904489999999999</c:v>
                </c:pt>
                <c:pt idx="449">
                  <c:v>16.219763</c:v>
                </c:pt>
                <c:pt idx="450">
                  <c:v>16.112435999999999</c:v>
                </c:pt>
                <c:pt idx="451">
                  <c:v>16.105726000000001</c:v>
                </c:pt>
                <c:pt idx="452">
                  <c:v>16.407585000000001</c:v>
                </c:pt>
                <c:pt idx="453">
                  <c:v>16.199639999999999</c:v>
                </c:pt>
                <c:pt idx="454">
                  <c:v>16.387459</c:v>
                </c:pt>
                <c:pt idx="455">
                  <c:v>16.427706000000001</c:v>
                </c:pt>
                <c:pt idx="456">
                  <c:v>16.696021999999999</c:v>
                </c:pt>
                <c:pt idx="457">
                  <c:v>16.635653999999999</c:v>
                </c:pt>
                <c:pt idx="458">
                  <c:v>17.044836</c:v>
                </c:pt>
                <c:pt idx="459">
                  <c:v>17.239367000000001</c:v>
                </c:pt>
                <c:pt idx="460">
                  <c:v>17.178996999999999</c:v>
                </c:pt>
                <c:pt idx="461">
                  <c:v>17.199116</c:v>
                </c:pt>
                <c:pt idx="462">
                  <c:v>17.024713999999999</c:v>
                </c:pt>
                <c:pt idx="463">
                  <c:v>17.078375000000001</c:v>
                </c:pt>
                <c:pt idx="464">
                  <c:v>16.924092999999999</c:v>
                </c:pt>
                <c:pt idx="465">
                  <c:v>16.877137999999999</c:v>
                </c:pt>
                <c:pt idx="466">
                  <c:v>16.555159</c:v>
                </c:pt>
                <c:pt idx="467">
                  <c:v>16.377579000000001</c:v>
                </c:pt>
                <c:pt idx="468">
                  <c:v>16.250948000000001</c:v>
                </c:pt>
                <c:pt idx="469">
                  <c:v>15.716284</c:v>
                </c:pt>
                <c:pt idx="470">
                  <c:v>15.610758000000001</c:v>
                </c:pt>
                <c:pt idx="471">
                  <c:v>15.709249</c:v>
                </c:pt>
                <c:pt idx="472">
                  <c:v>15.920301</c:v>
                </c:pt>
                <c:pt idx="473">
                  <c:v>15.96955</c:v>
                </c:pt>
                <c:pt idx="474">
                  <c:v>15.941407</c:v>
                </c:pt>
                <c:pt idx="475">
                  <c:v>15.941407</c:v>
                </c:pt>
                <c:pt idx="476">
                  <c:v>15.99065</c:v>
                </c:pt>
                <c:pt idx="477">
                  <c:v>16.053965000000002</c:v>
                </c:pt>
                <c:pt idx="478">
                  <c:v>15.716284</c:v>
                </c:pt>
                <c:pt idx="479">
                  <c:v>16.187633999999999</c:v>
                </c:pt>
                <c:pt idx="480">
                  <c:v>16.447928999999998</c:v>
                </c:pt>
                <c:pt idx="481">
                  <c:v>16.532349</c:v>
                </c:pt>
                <c:pt idx="482">
                  <c:v>16.602701</c:v>
                </c:pt>
                <c:pt idx="483">
                  <c:v>16.708227000000001</c:v>
                </c:pt>
                <c:pt idx="484">
                  <c:v>17.158470000000001</c:v>
                </c:pt>
                <c:pt idx="485">
                  <c:v>17.010735</c:v>
                </c:pt>
                <c:pt idx="486">
                  <c:v>17.165503000000001</c:v>
                </c:pt>
                <c:pt idx="487">
                  <c:v>17.010735</c:v>
                </c:pt>
                <c:pt idx="488">
                  <c:v>16.926310999999998</c:v>
                </c:pt>
                <c:pt idx="489">
                  <c:v>17.207713999999999</c:v>
                </c:pt>
                <c:pt idx="490">
                  <c:v>17.468012000000002</c:v>
                </c:pt>
                <c:pt idx="491">
                  <c:v>17.362483999999998</c:v>
                </c:pt>
                <c:pt idx="492">
                  <c:v>17.418766000000002</c:v>
                </c:pt>
                <c:pt idx="493">
                  <c:v>17.29917</c:v>
                </c:pt>
                <c:pt idx="494">
                  <c:v>17.306206</c:v>
                </c:pt>
                <c:pt idx="495">
                  <c:v>17.383589000000001</c:v>
                </c:pt>
                <c:pt idx="496">
                  <c:v>17.263994</c:v>
                </c:pt>
                <c:pt idx="497">
                  <c:v>17.369517999999999</c:v>
                </c:pt>
                <c:pt idx="498">
                  <c:v>16.954453999999998</c:v>
                </c:pt>
                <c:pt idx="499">
                  <c:v>16.518277999999999</c:v>
                </c:pt>
                <c:pt idx="500">
                  <c:v>16.349440000000001</c:v>
                </c:pt>
                <c:pt idx="501">
                  <c:v>16.075073</c:v>
                </c:pt>
                <c:pt idx="502">
                  <c:v>16.166529000000001</c:v>
                </c:pt>
                <c:pt idx="503">
                  <c:v>16.469038000000001</c:v>
                </c:pt>
                <c:pt idx="504">
                  <c:v>16.342404999999999</c:v>
                </c:pt>
                <c:pt idx="505">
                  <c:v>16.637875000000001</c:v>
                </c:pt>
                <c:pt idx="506">
                  <c:v>16.673051999999998</c:v>
                </c:pt>
                <c:pt idx="507">
                  <c:v>16.820786999999999</c:v>
                </c:pt>
                <c:pt idx="508">
                  <c:v>17.341380999999998</c:v>
                </c:pt>
                <c:pt idx="509">
                  <c:v>17.214748</c:v>
                </c:pt>
                <c:pt idx="510">
                  <c:v>16.919277000000001</c:v>
                </c:pt>
                <c:pt idx="511">
                  <c:v>17.524291999999999</c:v>
                </c:pt>
                <c:pt idx="512">
                  <c:v>18.129303</c:v>
                </c:pt>
                <c:pt idx="513">
                  <c:v>18.143373</c:v>
                </c:pt>
                <c:pt idx="514">
                  <c:v>17.897145999999999</c:v>
                </c:pt>
                <c:pt idx="515">
                  <c:v>17.988602</c:v>
                </c:pt>
                <c:pt idx="516">
                  <c:v>17.798660000000002</c:v>
                </c:pt>
                <c:pt idx="517">
                  <c:v>18.150407999999999</c:v>
                </c:pt>
                <c:pt idx="518">
                  <c:v>18.255938</c:v>
                </c:pt>
                <c:pt idx="519">
                  <c:v>18.312215999999999</c:v>
                </c:pt>
                <c:pt idx="520">
                  <c:v>18.333321000000002</c:v>
                </c:pt>
                <c:pt idx="521">
                  <c:v>18.769490999999999</c:v>
                </c:pt>
                <c:pt idx="522">
                  <c:v>18.699144</c:v>
                </c:pt>
                <c:pt idx="523">
                  <c:v>18.706181000000001</c:v>
                </c:pt>
                <c:pt idx="524">
                  <c:v>18.459951</c:v>
                </c:pt>
                <c:pt idx="525">
                  <c:v>18.389600999999999</c:v>
                </c:pt>
                <c:pt idx="526">
                  <c:v>17.932327000000001</c:v>
                </c:pt>
                <c:pt idx="527">
                  <c:v>17.861975000000001</c:v>
                </c:pt>
                <c:pt idx="528">
                  <c:v>17.847904</c:v>
                </c:pt>
                <c:pt idx="529">
                  <c:v>17.876042999999999</c:v>
                </c:pt>
                <c:pt idx="530">
                  <c:v>18.051918000000001</c:v>
                </c:pt>
                <c:pt idx="531">
                  <c:v>17.573537999999999</c:v>
                </c:pt>
                <c:pt idx="532">
                  <c:v>17.432835000000001</c:v>
                </c:pt>
                <c:pt idx="533">
                  <c:v>17.643888</c:v>
                </c:pt>
                <c:pt idx="534">
                  <c:v>18.347393</c:v>
                </c:pt>
                <c:pt idx="535">
                  <c:v>18.319254000000001</c:v>
                </c:pt>
                <c:pt idx="536">
                  <c:v>18.080061000000001</c:v>
                </c:pt>
                <c:pt idx="537">
                  <c:v>18.241866999999999</c:v>
                </c:pt>
                <c:pt idx="538">
                  <c:v>17.784590000000001</c:v>
                </c:pt>
                <c:pt idx="539">
                  <c:v>17.721274999999999</c:v>
                </c:pt>
                <c:pt idx="540">
                  <c:v>17.791623999999999</c:v>
                </c:pt>
                <c:pt idx="541">
                  <c:v>17.981569</c:v>
                </c:pt>
                <c:pt idx="542">
                  <c:v>18.101168000000001</c:v>
                </c:pt>
                <c:pt idx="543">
                  <c:v>17.897145999999999</c:v>
                </c:pt>
                <c:pt idx="544">
                  <c:v>16.926310999999998</c:v>
                </c:pt>
                <c:pt idx="545">
                  <c:v>17.024805000000001</c:v>
                </c:pt>
                <c:pt idx="546">
                  <c:v>15.505233</c:v>
                </c:pt>
                <c:pt idx="547">
                  <c:v>16.405719999999999</c:v>
                </c:pt>
                <c:pt idx="548">
                  <c:v>15.864022</c:v>
                </c:pt>
                <c:pt idx="549">
                  <c:v>16.426825000000001</c:v>
                </c:pt>
                <c:pt idx="550">
                  <c:v>16.201699999999999</c:v>
                </c:pt>
                <c:pt idx="551">
                  <c:v>16.827819999999999</c:v>
                </c:pt>
                <c:pt idx="552">
                  <c:v>16.736367999999999</c:v>
                </c:pt>
                <c:pt idx="553">
                  <c:v>16.694154999999999</c:v>
                </c:pt>
                <c:pt idx="554">
                  <c:v>16.328334999999999</c:v>
                </c:pt>
                <c:pt idx="555">
                  <c:v>15.885127000000001</c:v>
                </c:pt>
                <c:pt idx="556">
                  <c:v>16.082108000000002</c:v>
                </c:pt>
                <c:pt idx="557">
                  <c:v>16.391646999999999</c:v>
                </c:pt>
                <c:pt idx="558">
                  <c:v>16.623805999999998</c:v>
                </c:pt>
                <c:pt idx="559">
                  <c:v>16.208739999999999</c:v>
                </c:pt>
                <c:pt idx="560">
                  <c:v>16.236877</c:v>
                </c:pt>
                <c:pt idx="561">
                  <c:v>16.462</c:v>
                </c:pt>
                <c:pt idx="562">
                  <c:v>16.321300999999998</c:v>
                </c:pt>
                <c:pt idx="563">
                  <c:v>16.272055000000002</c:v>
                </c:pt>
                <c:pt idx="564">
                  <c:v>16.229842999999999</c:v>
                </c:pt>
                <c:pt idx="565">
                  <c:v>16.032862000000002</c:v>
                </c:pt>
                <c:pt idx="566">
                  <c:v>15.463025</c:v>
                </c:pt>
                <c:pt idx="567">
                  <c:v>15.477097000000001</c:v>
                </c:pt>
                <c:pt idx="568">
                  <c:v>15.062027</c:v>
                </c:pt>
                <c:pt idx="569">
                  <c:v>14.330382</c:v>
                </c:pt>
                <c:pt idx="570">
                  <c:v>14.126365</c:v>
                </c:pt>
                <c:pt idx="571">
                  <c:v>14.168575000000001</c:v>
                </c:pt>
                <c:pt idx="572">
                  <c:v>14.421837999999999</c:v>
                </c:pt>
                <c:pt idx="573">
                  <c:v>14.358521</c:v>
                </c:pt>
                <c:pt idx="574">
                  <c:v>14.365557000000001</c:v>
                </c:pt>
                <c:pt idx="575">
                  <c:v>14.048978</c:v>
                </c:pt>
                <c:pt idx="576">
                  <c:v>14.302243000000001</c:v>
                </c:pt>
                <c:pt idx="577">
                  <c:v>13.880138000000001</c:v>
                </c:pt>
                <c:pt idx="578">
                  <c:v>13.035933999999999</c:v>
                </c:pt>
                <c:pt idx="579">
                  <c:v>13.204776000000001</c:v>
                </c:pt>
                <c:pt idx="580">
                  <c:v>13.01483</c:v>
                </c:pt>
                <c:pt idx="581">
                  <c:v>13.535422000000001</c:v>
                </c:pt>
                <c:pt idx="582">
                  <c:v>13.190706</c:v>
                </c:pt>
                <c:pt idx="583">
                  <c:v>13.317335999999999</c:v>
                </c:pt>
                <c:pt idx="584">
                  <c:v>13.106284</c:v>
                </c:pt>
                <c:pt idx="585">
                  <c:v>12.339466</c:v>
                </c:pt>
                <c:pt idx="586">
                  <c:v>12.226903999999999</c:v>
                </c:pt>
                <c:pt idx="587">
                  <c:v>12.297254000000001</c:v>
                </c:pt>
                <c:pt idx="588">
                  <c:v>12.515342</c:v>
                </c:pt>
                <c:pt idx="589">
                  <c:v>12.578656000000001</c:v>
                </c:pt>
                <c:pt idx="590">
                  <c:v>13.366579</c:v>
                </c:pt>
                <c:pt idx="591">
                  <c:v>13.155531999999999</c:v>
                </c:pt>
                <c:pt idx="592">
                  <c:v>13.535422000000001</c:v>
                </c:pt>
                <c:pt idx="593">
                  <c:v>13.732403</c:v>
                </c:pt>
                <c:pt idx="594">
                  <c:v>14.098227</c:v>
                </c:pt>
                <c:pt idx="595">
                  <c:v>14.231890999999999</c:v>
                </c:pt>
                <c:pt idx="596">
                  <c:v>14.140439000000001</c:v>
                </c:pt>
                <c:pt idx="597">
                  <c:v>13.908281000000001</c:v>
                </c:pt>
                <c:pt idx="598">
                  <c:v>13.549493</c:v>
                </c:pt>
                <c:pt idx="599">
                  <c:v>14.161542000000001</c:v>
                </c:pt>
                <c:pt idx="600">
                  <c:v>14.428874</c:v>
                </c:pt>
                <c:pt idx="601">
                  <c:v>14.224856000000001</c:v>
                </c:pt>
                <c:pt idx="602">
                  <c:v>14.618817999999999</c:v>
                </c:pt>
                <c:pt idx="603">
                  <c:v>14.935395</c:v>
                </c:pt>
                <c:pt idx="604">
                  <c:v>14.893186</c:v>
                </c:pt>
                <c:pt idx="605">
                  <c:v>14.126365</c:v>
                </c:pt>
                <c:pt idx="606">
                  <c:v>13.802754</c:v>
                </c:pt>
                <c:pt idx="607">
                  <c:v>14.168575000000001</c:v>
                </c:pt>
                <c:pt idx="608">
                  <c:v>14.133400999999999</c:v>
                </c:pt>
                <c:pt idx="609">
                  <c:v>14.302243000000001</c:v>
                </c:pt>
                <c:pt idx="610">
                  <c:v>14.274103999999999</c:v>
                </c:pt>
                <c:pt idx="611">
                  <c:v>14.112294</c:v>
                </c:pt>
                <c:pt idx="612">
                  <c:v>13.577631999999999</c:v>
                </c:pt>
                <c:pt idx="613">
                  <c:v>13.542458999999999</c:v>
                </c:pt>
                <c:pt idx="614">
                  <c:v>13.612807</c:v>
                </c:pt>
                <c:pt idx="615">
                  <c:v>13.542458999999999</c:v>
                </c:pt>
                <c:pt idx="616">
                  <c:v>13.394721000000001</c:v>
                </c:pt>
                <c:pt idx="617">
                  <c:v>13.155531999999999</c:v>
                </c:pt>
                <c:pt idx="618">
                  <c:v>12.817848</c:v>
                </c:pt>
                <c:pt idx="619">
                  <c:v>12.845986999999999</c:v>
                </c:pt>
                <c:pt idx="620">
                  <c:v>12.459059999999999</c:v>
                </c:pt>
                <c:pt idx="621">
                  <c:v>12.677147</c:v>
                </c:pt>
                <c:pt idx="622">
                  <c:v>12.325393999999999</c:v>
                </c:pt>
                <c:pt idx="623">
                  <c:v>12.156554</c:v>
                </c:pt>
                <c:pt idx="624">
                  <c:v>12.395746000000001</c:v>
                </c:pt>
                <c:pt idx="625">
                  <c:v>12.7475</c:v>
                </c:pt>
                <c:pt idx="626">
                  <c:v>13.282161</c:v>
                </c:pt>
                <c:pt idx="627">
                  <c:v>13.303267</c:v>
                </c:pt>
                <c:pt idx="628">
                  <c:v>13.197741000000001</c:v>
                </c:pt>
                <c:pt idx="629">
                  <c:v>13.570596</c:v>
                </c:pt>
                <c:pt idx="630">
                  <c:v>13.507282999999999</c:v>
                </c:pt>
                <c:pt idx="631">
                  <c:v>13.373614999999999</c:v>
                </c:pt>
                <c:pt idx="632">
                  <c:v>13.064075000000001</c:v>
                </c:pt>
                <c:pt idx="633">
                  <c:v>13.542458999999999</c:v>
                </c:pt>
                <c:pt idx="634">
                  <c:v>13.746473999999999</c:v>
                </c:pt>
                <c:pt idx="635">
                  <c:v>13.028898999999999</c:v>
                </c:pt>
                <c:pt idx="636">
                  <c:v>12.874128000000001</c:v>
                </c:pt>
                <c:pt idx="637">
                  <c:v>12.909305</c:v>
                </c:pt>
                <c:pt idx="638">
                  <c:v>12.923374000000001</c:v>
                </c:pt>
                <c:pt idx="639">
                  <c:v>12.480165</c:v>
                </c:pt>
                <c:pt idx="640">
                  <c:v>12.381675</c:v>
                </c:pt>
                <c:pt idx="641">
                  <c:v>12.705289</c:v>
                </c:pt>
                <c:pt idx="642">
                  <c:v>12.838953</c:v>
                </c:pt>
                <c:pt idx="643">
                  <c:v>12.754531</c:v>
                </c:pt>
                <c:pt idx="644">
                  <c:v>12.726392000000001</c:v>
                </c:pt>
                <c:pt idx="645">
                  <c:v>12.522375</c:v>
                </c:pt>
                <c:pt idx="646">
                  <c:v>12.606795</c:v>
                </c:pt>
                <c:pt idx="647">
                  <c:v>12.578656000000001</c:v>
                </c:pt>
                <c:pt idx="648">
                  <c:v>13.085179999999999</c:v>
                </c:pt>
                <c:pt idx="649">
                  <c:v>13.788684999999999</c:v>
                </c:pt>
                <c:pt idx="650">
                  <c:v>13.647983</c:v>
                </c:pt>
                <c:pt idx="651">
                  <c:v>13.458036</c:v>
                </c:pt>
                <c:pt idx="652">
                  <c:v>13.429898</c:v>
                </c:pt>
                <c:pt idx="653">
                  <c:v>14.260031</c:v>
                </c:pt>
                <c:pt idx="654">
                  <c:v>14.154506</c:v>
                </c:pt>
                <c:pt idx="655">
                  <c:v>14.682137000000001</c:v>
                </c:pt>
                <c:pt idx="656">
                  <c:v>14.274103999999999</c:v>
                </c:pt>
                <c:pt idx="657">
                  <c:v>14.44998</c:v>
                </c:pt>
                <c:pt idx="658">
                  <c:v>14.850974000000001</c:v>
                </c:pt>
                <c:pt idx="659">
                  <c:v>15.033886000000001</c:v>
                </c:pt>
                <c:pt idx="660">
                  <c:v>15.181622000000001</c:v>
                </c:pt>
                <c:pt idx="661">
                  <c:v>15.209764</c:v>
                </c:pt>
                <c:pt idx="662">
                  <c:v>15.301218</c:v>
                </c:pt>
                <c:pt idx="663">
                  <c:v>15.427851</c:v>
                </c:pt>
                <c:pt idx="664">
                  <c:v>15.413779</c:v>
                </c:pt>
                <c:pt idx="665">
                  <c:v>15.188658</c:v>
                </c:pt>
                <c:pt idx="666">
                  <c:v>14.822835</c:v>
                </c:pt>
                <c:pt idx="667">
                  <c:v>14.738413</c:v>
                </c:pt>
                <c:pt idx="668">
                  <c:v>15.434882999999999</c:v>
                </c:pt>
                <c:pt idx="669">
                  <c:v>15.413779</c:v>
                </c:pt>
                <c:pt idx="670">
                  <c:v>15.125343000000001</c:v>
                </c:pt>
                <c:pt idx="671">
                  <c:v>14.998711</c:v>
                </c:pt>
                <c:pt idx="672">
                  <c:v>14.442944000000001</c:v>
                </c:pt>
                <c:pt idx="673">
                  <c:v>14.260031</c:v>
                </c:pt>
                <c:pt idx="674">
                  <c:v>14.112294</c:v>
                </c:pt>
                <c:pt idx="675">
                  <c:v>14.027875</c:v>
                </c:pt>
                <c:pt idx="676">
                  <c:v>13.922349000000001</c:v>
                </c:pt>
                <c:pt idx="677">
                  <c:v>13.458036</c:v>
                </c:pt>
                <c:pt idx="678">
                  <c:v>13.472106</c:v>
                </c:pt>
                <c:pt idx="679">
                  <c:v>13.788684999999999</c:v>
                </c:pt>
                <c:pt idx="680">
                  <c:v>14.070086999999999</c:v>
                </c:pt>
                <c:pt idx="681">
                  <c:v>14.070086999999999</c:v>
                </c:pt>
                <c:pt idx="682">
                  <c:v>13.992699</c:v>
                </c:pt>
                <c:pt idx="683">
                  <c:v>13.908281000000001</c:v>
                </c:pt>
                <c:pt idx="684">
                  <c:v>13.408792</c:v>
                </c:pt>
                <c:pt idx="685">
                  <c:v>13.085179999999999</c:v>
                </c:pt>
                <c:pt idx="686">
                  <c:v>12.881162</c:v>
                </c:pt>
                <c:pt idx="687">
                  <c:v>12.986689</c:v>
                </c:pt>
                <c:pt idx="688">
                  <c:v>13.141458999999999</c:v>
                </c:pt>
                <c:pt idx="689">
                  <c:v>13.155531999999999</c:v>
                </c:pt>
                <c:pt idx="690">
                  <c:v>13.028898999999999</c:v>
                </c:pt>
                <c:pt idx="691">
                  <c:v>12.698252999999999</c:v>
                </c:pt>
                <c:pt idx="692">
                  <c:v>12.930407000000001</c:v>
                </c:pt>
                <c:pt idx="693">
                  <c:v>12.944478999999999</c:v>
                </c:pt>
                <c:pt idx="694">
                  <c:v>12.845986999999999</c:v>
                </c:pt>
                <c:pt idx="695">
                  <c:v>12.7475</c:v>
                </c:pt>
                <c:pt idx="696">
                  <c:v>12.838953</c:v>
                </c:pt>
                <c:pt idx="697">
                  <c:v>13.021865999999999</c:v>
                </c:pt>
                <c:pt idx="698">
                  <c:v>13.317335999999999</c:v>
                </c:pt>
                <c:pt idx="699">
                  <c:v>13.239952000000001</c:v>
                </c:pt>
                <c:pt idx="700">
                  <c:v>13.317335999999999</c:v>
                </c:pt>
                <c:pt idx="701">
                  <c:v>13.01483</c:v>
                </c:pt>
                <c:pt idx="702">
                  <c:v>13.261056999999999</c:v>
                </c:pt>
                <c:pt idx="703">
                  <c:v>13.380652</c:v>
                </c:pt>
                <c:pt idx="704">
                  <c:v>13.106284</c:v>
                </c:pt>
                <c:pt idx="705">
                  <c:v>12.536446</c:v>
                </c:pt>
                <c:pt idx="706">
                  <c:v>12.38871</c:v>
                </c:pt>
                <c:pt idx="707">
                  <c:v>12.318358</c:v>
                </c:pt>
                <c:pt idx="708">
                  <c:v>12.381675</c:v>
                </c:pt>
                <c:pt idx="709">
                  <c:v>12.466096</c:v>
                </c:pt>
                <c:pt idx="710">
                  <c:v>12.226903999999999</c:v>
                </c:pt>
                <c:pt idx="711">
                  <c:v>12.346500000000001</c:v>
                </c:pt>
                <c:pt idx="712">
                  <c:v>12.170623000000001</c:v>
                </c:pt>
                <c:pt idx="713">
                  <c:v>12.065099</c:v>
                </c:pt>
                <c:pt idx="714">
                  <c:v>12.029923999999999</c:v>
                </c:pt>
                <c:pt idx="715">
                  <c:v>12.093237999999999</c:v>
                </c:pt>
                <c:pt idx="716">
                  <c:v>12.198763</c:v>
                </c:pt>
                <c:pt idx="717">
                  <c:v>12.149520000000001</c:v>
                </c:pt>
                <c:pt idx="718">
                  <c:v>11.839976</c:v>
                </c:pt>
                <c:pt idx="719">
                  <c:v>11.446014</c:v>
                </c:pt>
                <c:pt idx="720">
                  <c:v>10.264127999999999</c:v>
                </c:pt>
                <c:pt idx="721">
                  <c:v>10.404828</c:v>
                </c:pt>
                <c:pt idx="722">
                  <c:v>10.334477</c:v>
                </c:pt>
                <c:pt idx="723">
                  <c:v>10.383724000000001</c:v>
                </c:pt>
                <c:pt idx="724">
                  <c:v>10.327444</c:v>
                </c:pt>
                <c:pt idx="725">
                  <c:v>10.411863</c:v>
                </c:pt>
                <c:pt idx="726">
                  <c:v>10.397793</c:v>
                </c:pt>
                <c:pt idx="727">
                  <c:v>10.327444</c:v>
                </c:pt>
                <c:pt idx="728">
                  <c:v>10.615880000000001</c:v>
                </c:pt>
                <c:pt idx="729">
                  <c:v>10.292268</c:v>
                </c:pt>
                <c:pt idx="730">
                  <c:v>10.095287000000001</c:v>
                </c:pt>
                <c:pt idx="731">
                  <c:v>9.9123739999999998</c:v>
                </c:pt>
                <c:pt idx="732">
                  <c:v>9.8490590000000005</c:v>
                </c:pt>
                <c:pt idx="733">
                  <c:v>10.046042</c:v>
                </c:pt>
                <c:pt idx="734">
                  <c:v>10.109356999999999</c:v>
                </c:pt>
                <c:pt idx="735">
                  <c:v>10.224703</c:v>
                </c:pt>
                <c:pt idx="736">
                  <c:v>10.585575</c:v>
                </c:pt>
                <c:pt idx="737">
                  <c:v>10.390102000000001</c:v>
                </c:pt>
                <c:pt idx="738">
                  <c:v>10.149521</c:v>
                </c:pt>
                <c:pt idx="739">
                  <c:v>9.6608400000000003</c:v>
                </c:pt>
                <c:pt idx="740">
                  <c:v>9.5480669999999996</c:v>
                </c:pt>
                <c:pt idx="741">
                  <c:v>9.262378</c:v>
                </c:pt>
                <c:pt idx="742">
                  <c:v>9.2398229999999995</c:v>
                </c:pt>
                <c:pt idx="743">
                  <c:v>9.2548600000000008</c:v>
                </c:pt>
                <c:pt idx="744">
                  <c:v>9.3525939999999999</c:v>
                </c:pt>
                <c:pt idx="745">
                  <c:v>9.3826689999999999</c:v>
                </c:pt>
                <c:pt idx="746">
                  <c:v>9.2924500000000005</c:v>
                </c:pt>
                <c:pt idx="747">
                  <c:v>9.4127399999999994</c:v>
                </c:pt>
                <c:pt idx="748">
                  <c:v>9.1571250000000006</c:v>
                </c:pt>
                <c:pt idx="749">
                  <c:v>9.3450780000000009</c:v>
                </c:pt>
                <c:pt idx="750">
                  <c:v>9.0819410000000005</c:v>
                </c:pt>
                <c:pt idx="751">
                  <c:v>9.104495</c:v>
                </c:pt>
                <c:pt idx="752">
                  <c:v>8.8714329999999997</c:v>
                </c:pt>
                <c:pt idx="753">
                  <c:v>8.9917230000000004</c:v>
                </c:pt>
                <c:pt idx="754">
                  <c:v>9.1646420000000006</c:v>
                </c:pt>
                <c:pt idx="755">
                  <c:v>9.1195319999999995</c:v>
                </c:pt>
                <c:pt idx="756">
                  <c:v>8.9090229999999995</c:v>
                </c:pt>
                <c:pt idx="757">
                  <c:v>8.9090229999999995</c:v>
                </c:pt>
                <c:pt idx="758">
                  <c:v>8.6458890000000004</c:v>
                </c:pt>
                <c:pt idx="759">
                  <c:v>8.3000509999999998</c:v>
                </c:pt>
                <c:pt idx="760">
                  <c:v>8.3601969999999994</c:v>
                </c:pt>
                <c:pt idx="761">
                  <c:v>8.1797620000000002</c:v>
                </c:pt>
                <c:pt idx="762">
                  <c:v>7.5181630000000004</c:v>
                </c:pt>
                <c:pt idx="763">
                  <c:v>8.2850169999999999</c:v>
                </c:pt>
                <c:pt idx="764">
                  <c:v>8.4579339999999998</c:v>
                </c:pt>
                <c:pt idx="765">
                  <c:v>8.7285880000000002</c:v>
                </c:pt>
                <c:pt idx="766">
                  <c:v>8.4353789999999993</c:v>
                </c:pt>
                <c:pt idx="767">
                  <c:v>8.9315789999999993</c:v>
                </c:pt>
                <c:pt idx="768">
                  <c:v>8.3075700000000001</c:v>
                </c:pt>
                <c:pt idx="769">
                  <c:v>8.4880069999999996</c:v>
                </c:pt>
                <c:pt idx="770">
                  <c:v>8.5331150000000004</c:v>
                </c:pt>
                <c:pt idx="771">
                  <c:v>8.6759609999999991</c:v>
                </c:pt>
                <c:pt idx="772">
                  <c:v>8.878952</c:v>
                </c:pt>
                <c:pt idx="773">
                  <c:v>8.9766870000000001</c:v>
                </c:pt>
                <c:pt idx="774">
                  <c:v>9.2473390000000002</c:v>
                </c:pt>
                <c:pt idx="775">
                  <c:v>9.104495</c:v>
                </c:pt>
                <c:pt idx="776">
                  <c:v>8.8263230000000004</c:v>
                </c:pt>
                <c:pt idx="777">
                  <c:v>8.6834790000000002</c:v>
                </c:pt>
                <c:pt idx="778">
                  <c:v>8.4579339999999998</c:v>
                </c:pt>
                <c:pt idx="779">
                  <c:v>8.9390979999999995</c:v>
                </c:pt>
                <c:pt idx="780">
                  <c:v>8.7736970000000003</c:v>
                </c:pt>
                <c:pt idx="781">
                  <c:v>8.8263230000000004</c:v>
                </c:pt>
                <c:pt idx="782">
                  <c:v>8.5331150000000004</c:v>
                </c:pt>
                <c:pt idx="783">
                  <c:v>8.548152</c:v>
                </c:pt>
                <c:pt idx="784">
                  <c:v>8.766178</c:v>
                </c:pt>
                <c:pt idx="785">
                  <c:v>8.8714329999999997</c:v>
                </c:pt>
                <c:pt idx="786">
                  <c:v>8.6534060000000004</c:v>
                </c:pt>
                <c:pt idx="787">
                  <c:v>8.3977880000000003</c:v>
                </c:pt>
                <c:pt idx="788">
                  <c:v>8.4579339999999998</c:v>
                </c:pt>
                <c:pt idx="789">
                  <c:v>8.4053079999999998</c:v>
                </c:pt>
                <c:pt idx="790">
                  <c:v>8.4804899999999996</c:v>
                </c:pt>
                <c:pt idx="791">
                  <c:v>8.6308509999999998</c:v>
                </c:pt>
                <c:pt idx="792">
                  <c:v>8.7586589999999998</c:v>
                </c:pt>
                <c:pt idx="793">
                  <c:v>9.1270509999999998</c:v>
                </c:pt>
                <c:pt idx="794">
                  <c:v>8.713552</c:v>
                </c:pt>
                <c:pt idx="795">
                  <c:v>8.6759609999999991</c:v>
                </c:pt>
                <c:pt idx="796">
                  <c:v>8.548152</c:v>
                </c:pt>
                <c:pt idx="797">
                  <c:v>8.7285880000000002</c:v>
                </c:pt>
                <c:pt idx="798">
                  <c:v>8.878952</c:v>
                </c:pt>
                <c:pt idx="799">
                  <c:v>8.9917230000000004</c:v>
                </c:pt>
                <c:pt idx="800">
                  <c:v>9.0819410000000005</c:v>
                </c:pt>
                <c:pt idx="801">
                  <c:v>9.2548600000000008</c:v>
                </c:pt>
                <c:pt idx="802">
                  <c:v>8.7887339999999998</c:v>
                </c:pt>
                <c:pt idx="803">
                  <c:v>8.9691679999999998</c:v>
                </c:pt>
                <c:pt idx="804">
                  <c:v>8.9616509999999998</c:v>
                </c:pt>
                <c:pt idx="805">
                  <c:v>9.0669059999999995</c:v>
                </c:pt>
                <c:pt idx="806">
                  <c:v>9.104495</c:v>
                </c:pt>
                <c:pt idx="807">
                  <c:v>9.2097499999999997</c:v>
                </c:pt>
                <c:pt idx="808">
                  <c:v>9.1195319999999995</c:v>
                </c:pt>
                <c:pt idx="809">
                  <c:v>9.0744249999999997</c:v>
                </c:pt>
                <c:pt idx="810">
                  <c:v>8.8488790000000002</c:v>
                </c:pt>
                <c:pt idx="811">
                  <c:v>8.8338420000000006</c:v>
                </c:pt>
                <c:pt idx="812">
                  <c:v>8.6834790000000002</c:v>
                </c:pt>
                <c:pt idx="813">
                  <c:v>8.6759609999999991</c:v>
                </c:pt>
                <c:pt idx="814">
                  <c:v>8.6458890000000004</c:v>
                </c:pt>
                <c:pt idx="815">
                  <c:v>8.4579339999999998</c:v>
                </c:pt>
                <c:pt idx="816">
                  <c:v>8.390269</c:v>
                </c:pt>
                <c:pt idx="817">
                  <c:v>8.2323889999999995</c:v>
                </c:pt>
                <c:pt idx="818">
                  <c:v>8.1120979999999996</c:v>
                </c:pt>
                <c:pt idx="819">
                  <c:v>7.6610079999999998</c:v>
                </c:pt>
                <c:pt idx="820">
                  <c:v>7.4053909999999998</c:v>
                </c:pt>
                <c:pt idx="821">
                  <c:v>7.0595559999999997</c:v>
                </c:pt>
                <c:pt idx="822">
                  <c:v>7.3903559999999997</c:v>
                </c:pt>
                <c:pt idx="823">
                  <c:v>7.5181630000000004</c:v>
                </c:pt>
                <c:pt idx="824">
                  <c:v>7.7211550000000004</c:v>
                </c:pt>
                <c:pt idx="825">
                  <c:v>8.1271350000000009</c:v>
                </c:pt>
                <c:pt idx="826">
                  <c:v>7.8038540000000003</c:v>
                </c:pt>
                <c:pt idx="827">
                  <c:v>7.7812989999999997</c:v>
                </c:pt>
                <c:pt idx="828">
                  <c:v>7.8639989999999997</c:v>
                </c:pt>
                <c:pt idx="829">
                  <c:v>7.8639989999999997</c:v>
                </c:pt>
                <c:pt idx="830">
                  <c:v>7.9241450000000002</c:v>
                </c:pt>
                <c:pt idx="831">
                  <c:v>8.1722429999999999</c:v>
                </c:pt>
                <c:pt idx="832">
                  <c:v>7.7437079999999998</c:v>
                </c:pt>
                <c:pt idx="833">
                  <c:v>7.7061159999999997</c:v>
                </c:pt>
                <c:pt idx="834">
                  <c:v>7.6835639999999996</c:v>
                </c:pt>
                <c:pt idx="835">
                  <c:v>7.5256819999999998</c:v>
                </c:pt>
                <c:pt idx="836">
                  <c:v>7.788818</c:v>
                </c:pt>
                <c:pt idx="837">
                  <c:v>7.8264069999999997</c:v>
                </c:pt>
                <c:pt idx="838">
                  <c:v>7.9316620000000002</c:v>
                </c:pt>
                <c:pt idx="839">
                  <c:v>7.9166259999999999</c:v>
                </c:pt>
                <c:pt idx="840">
                  <c:v>8.0369159999999997</c:v>
                </c:pt>
                <c:pt idx="841">
                  <c:v>7.8414450000000002</c:v>
                </c:pt>
                <c:pt idx="842">
                  <c:v>7.7662620000000002</c:v>
                </c:pt>
                <c:pt idx="843">
                  <c:v>7.7286710000000003</c:v>
                </c:pt>
                <c:pt idx="844">
                  <c:v>7.7136360000000002</c:v>
                </c:pt>
                <c:pt idx="845">
                  <c:v>7.6685270000000001</c:v>
                </c:pt>
                <c:pt idx="846">
                  <c:v>7.6459729999999997</c:v>
                </c:pt>
                <c:pt idx="847">
                  <c:v>7.788818</c:v>
                </c:pt>
                <c:pt idx="848">
                  <c:v>7.8489630000000004</c:v>
                </c:pt>
                <c:pt idx="849">
                  <c:v>7.8564809999999996</c:v>
                </c:pt>
                <c:pt idx="850">
                  <c:v>7.6835639999999996</c:v>
                </c:pt>
                <c:pt idx="851">
                  <c:v>7.788818</c:v>
                </c:pt>
                <c:pt idx="852">
                  <c:v>7.6835639999999996</c:v>
                </c:pt>
                <c:pt idx="853">
                  <c:v>7.7587440000000001</c:v>
                </c:pt>
                <c:pt idx="854">
                  <c:v>7.7963370000000003</c:v>
                </c:pt>
                <c:pt idx="855">
                  <c:v>7.5933460000000004</c:v>
                </c:pt>
                <c:pt idx="856">
                  <c:v>7.3978719999999996</c:v>
                </c:pt>
                <c:pt idx="857">
                  <c:v>7.6685270000000001</c:v>
                </c:pt>
                <c:pt idx="858">
                  <c:v>7.6158989999999998</c:v>
                </c:pt>
                <c:pt idx="859">
                  <c:v>7.533201</c:v>
                </c:pt>
                <c:pt idx="860">
                  <c:v>7.5858270000000001</c:v>
                </c:pt>
                <c:pt idx="861">
                  <c:v>7.4279460000000004</c:v>
                </c:pt>
                <c:pt idx="862">
                  <c:v>7.3302100000000001</c:v>
                </c:pt>
                <c:pt idx="863">
                  <c:v>7.375318</c:v>
                </c:pt>
                <c:pt idx="864">
                  <c:v>7.3828360000000002</c:v>
                </c:pt>
                <c:pt idx="865">
                  <c:v>7.1798460000000004</c:v>
                </c:pt>
                <c:pt idx="866">
                  <c:v>7.1272200000000003</c:v>
                </c:pt>
                <c:pt idx="867">
                  <c:v>7.2475100000000001</c:v>
                </c:pt>
                <c:pt idx="868">
                  <c:v>7.239992</c:v>
                </c:pt>
                <c:pt idx="869">
                  <c:v>7.2475100000000001</c:v>
                </c:pt>
                <c:pt idx="870">
                  <c:v>7.1422549999999996</c:v>
                </c:pt>
                <c:pt idx="871">
                  <c:v>7.0445190000000002</c:v>
                </c:pt>
                <c:pt idx="872">
                  <c:v>7.074592</c:v>
                </c:pt>
                <c:pt idx="873">
                  <c:v>7.4354639999999996</c:v>
                </c:pt>
                <c:pt idx="874">
                  <c:v>7.367801</c:v>
                </c:pt>
                <c:pt idx="875">
                  <c:v>7.3978719999999996</c:v>
                </c:pt>
                <c:pt idx="876">
                  <c:v>7.8038540000000003</c:v>
                </c:pt>
                <c:pt idx="877">
                  <c:v>7.6083809999999996</c:v>
                </c:pt>
                <c:pt idx="878">
                  <c:v>7.6158989999999998</c:v>
                </c:pt>
                <c:pt idx="879">
                  <c:v>7.630935</c:v>
                </c:pt>
                <c:pt idx="880">
                  <c:v>7.6760460000000004</c:v>
                </c:pt>
                <c:pt idx="881">
                  <c:v>7.5407169999999999</c:v>
                </c:pt>
                <c:pt idx="882">
                  <c:v>7.533201</c:v>
                </c:pt>
                <c:pt idx="883">
                  <c:v>7.8639989999999997</c:v>
                </c:pt>
                <c:pt idx="884">
                  <c:v>8.2699809999999996</c:v>
                </c:pt>
                <c:pt idx="885">
                  <c:v>8.2850169999999999</c:v>
                </c:pt>
                <c:pt idx="886">
                  <c:v>8.3000509999999998</c:v>
                </c:pt>
                <c:pt idx="887">
                  <c:v>8.5782240000000005</c:v>
                </c:pt>
                <c:pt idx="888">
                  <c:v>8.5556710000000002</c:v>
                </c:pt>
                <c:pt idx="889">
                  <c:v>9.1496049999999993</c:v>
                </c:pt>
                <c:pt idx="890">
                  <c:v>9.0518699999999992</c:v>
                </c:pt>
                <c:pt idx="891">
                  <c:v>8.9015070000000005</c:v>
                </c:pt>
                <c:pt idx="892">
                  <c:v>8.4579339999999998</c:v>
                </c:pt>
                <c:pt idx="893">
                  <c:v>8.4353789999999993</c:v>
                </c:pt>
                <c:pt idx="894">
                  <c:v>8.390269</c:v>
                </c:pt>
                <c:pt idx="895">
                  <c:v>8.713552</c:v>
                </c:pt>
                <c:pt idx="896">
                  <c:v>8.4880069999999996</c:v>
                </c:pt>
                <c:pt idx="897">
                  <c:v>8.5556710000000002</c:v>
                </c:pt>
                <c:pt idx="898">
                  <c:v>9.1195319999999995</c:v>
                </c:pt>
                <c:pt idx="899">
                  <c:v>9.2924500000000005</c:v>
                </c:pt>
                <c:pt idx="900">
                  <c:v>9.3225230000000003</c:v>
                </c:pt>
                <c:pt idx="901">
                  <c:v>9.435295</c:v>
                </c:pt>
                <c:pt idx="902">
                  <c:v>9.2849330000000005</c:v>
                </c:pt>
                <c:pt idx="903">
                  <c:v>9.3676329999999997</c:v>
                </c:pt>
                <c:pt idx="904">
                  <c:v>9.3826689999999999</c:v>
                </c:pt>
                <c:pt idx="905">
                  <c:v>9.5029579999999996</c:v>
                </c:pt>
                <c:pt idx="906">
                  <c:v>9.7660940000000007</c:v>
                </c:pt>
                <c:pt idx="907">
                  <c:v>9.9014229999999994</c:v>
                </c:pt>
                <c:pt idx="908">
                  <c:v>10.066820999999999</c:v>
                </c:pt>
                <c:pt idx="909">
                  <c:v>10.450248</c:v>
                </c:pt>
                <c:pt idx="910">
                  <c:v>10.803599999999999</c:v>
                </c:pt>
                <c:pt idx="911">
                  <c:v>10.908855000000001</c:v>
                </c:pt>
                <c:pt idx="912">
                  <c:v>11.089293</c:v>
                </c:pt>
                <c:pt idx="913">
                  <c:v>11.014108999999999</c:v>
                </c:pt>
                <c:pt idx="914">
                  <c:v>11.344908999999999</c:v>
                </c:pt>
                <c:pt idx="915">
                  <c:v>11.532863000000001</c:v>
                </c:pt>
                <c:pt idx="916">
                  <c:v>11.630599999999999</c:v>
                </c:pt>
                <c:pt idx="917">
                  <c:v>11.352428</c:v>
                </c:pt>
                <c:pt idx="918">
                  <c:v>11.931326</c:v>
                </c:pt>
                <c:pt idx="919">
                  <c:v>11.968916999999999</c:v>
                </c:pt>
                <c:pt idx="920">
                  <c:v>11.833589</c:v>
                </c:pt>
                <c:pt idx="921">
                  <c:v>11.968916999999999</c:v>
                </c:pt>
                <c:pt idx="922">
                  <c:v>11.743370000000001</c:v>
                </c:pt>
                <c:pt idx="923">
                  <c:v>11.916288</c:v>
                </c:pt>
                <c:pt idx="924">
                  <c:v>11.382498999999999</c:v>
                </c:pt>
                <c:pt idx="925">
                  <c:v>11.405055000000001</c:v>
                </c:pt>
                <c:pt idx="926">
                  <c:v>11.307320000000001</c:v>
                </c:pt>
                <c:pt idx="927">
                  <c:v>11.314836</c:v>
                </c:pt>
                <c:pt idx="928">
                  <c:v>11.096811000000001</c:v>
                </c:pt>
                <c:pt idx="929">
                  <c:v>11.141918</c:v>
                </c:pt>
                <c:pt idx="930">
                  <c:v>11.209581999999999</c:v>
                </c:pt>
                <c:pt idx="931">
                  <c:v>10.916372000000001</c:v>
                </c:pt>
                <c:pt idx="932">
                  <c:v>10.826155999999999</c:v>
                </c:pt>
                <c:pt idx="933">
                  <c:v>10.766007999999999</c:v>
                </c:pt>
                <c:pt idx="934">
                  <c:v>10.532947999999999</c:v>
                </c:pt>
                <c:pt idx="935">
                  <c:v>10.720901</c:v>
                </c:pt>
                <c:pt idx="936">
                  <c:v>10.893819000000001</c:v>
                </c:pt>
                <c:pt idx="937">
                  <c:v>9.2398229999999995</c:v>
                </c:pt>
                <c:pt idx="938">
                  <c:v>9.6382840000000005</c:v>
                </c:pt>
                <c:pt idx="939">
                  <c:v>10.630684</c:v>
                </c:pt>
                <c:pt idx="940">
                  <c:v>10.758492</c:v>
                </c:pt>
                <c:pt idx="941">
                  <c:v>10.450248</c:v>
                </c:pt>
                <c:pt idx="942">
                  <c:v>10.908855000000001</c:v>
                </c:pt>
                <c:pt idx="943">
                  <c:v>11.239654</c:v>
                </c:pt>
                <c:pt idx="944">
                  <c:v>11.202064</c:v>
                </c:pt>
                <c:pt idx="945">
                  <c:v>11.818553</c:v>
                </c:pt>
                <c:pt idx="946">
                  <c:v>11.577971</c:v>
                </c:pt>
                <c:pt idx="947">
                  <c:v>11.577971</c:v>
                </c:pt>
                <c:pt idx="948">
                  <c:v>11.420090999999999</c:v>
                </c:pt>
                <c:pt idx="949">
                  <c:v>11.352428</c:v>
                </c:pt>
                <c:pt idx="950">
                  <c:v>11.427607999999999</c:v>
                </c:pt>
                <c:pt idx="951">
                  <c:v>11.322353</c:v>
                </c:pt>
                <c:pt idx="952">
                  <c:v>11.292282999999999</c:v>
                </c:pt>
                <c:pt idx="953">
                  <c:v>11.194546000000001</c:v>
                </c:pt>
                <c:pt idx="954">
                  <c:v>11.089293</c:v>
                </c:pt>
                <c:pt idx="955">
                  <c:v>11.021627000000001</c:v>
                </c:pt>
                <c:pt idx="956">
                  <c:v>11.021627000000001</c:v>
                </c:pt>
                <c:pt idx="957">
                  <c:v>10.908855000000001</c:v>
                </c:pt>
                <c:pt idx="958">
                  <c:v>10.931409</c:v>
                </c:pt>
                <c:pt idx="959">
                  <c:v>11.006591999999999</c:v>
                </c:pt>
                <c:pt idx="960">
                  <c:v>10.841193000000001</c:v>
                </c:pt>
                <c:pt idx="961">
                  <c:v>10.976519</c:v>
                </c:pt>
                <c:pt idx="962">
                  <c:v>10.953963999999999</c:v>
                </c:pt>
                <c:pt idx="963">
                  <c:v>11.382498999999999</c:v>
                </c:pt>
                <c:pt idx="964">
                  <c:v>11.803516999999999</c:v>
                </c:pt>
                <c:pt idx="965">
                  <c:v>11.765926</c:v>
                </c:pt>
                <c:pt idx="966">
                  <c:v>11.976435</c:v>
                </c:pt>
                <c:pt idx="967">
                  <c:v>11.916288</c:v>
                </c:pt>
                <c:pt idx="968">
                  <c:v>11.562936000000001</c:v>
                </c:pt>
                <c:pt idx="969">
                  <c:v>11.577971</c:v>
                </c:pt>
                <c:pt idx="970">
                  <c:v>11.359944</c:v>
                </c:pt>
                <c:pt idx="971">
                  <c:v>11.292282999999999</c:v>
                </c:pt>
                <c:pt idx="972">
                  <c:v>11.638118</c:v>
                </c:pt>
                <c:pt idx="973">
                  <c:v>12.171906999999999</c:v>
                </c:pt>
                <c:pt idx="974">
                  <c:v>12.24709</c:v>
                </c:pt>
                <c:pt idx="975">
                  <c:v>12.149353</c:v>
                </c:pt>
                <c:pt idx="976">
                  <c:v>12.344827</c:v>
                </c:pt>
                <c:pt idx="977">
                  <c:v>12.096724999999999</c:v>
                </c:pt>
                <c:pt idx="978">
                  <c:v>12.404968999999999</c:v>
                </c:pt>
                <c:pt idx="979">
                  <c:v>12.397451999999999</c:v>
                </c:pt>
                <c:pt idx="980">
                  <c:v>12.577888</c:v>
                </c:pt>
                <c:pt idx="981">
                  <c:v>12.472633999999999</c:v>
                </c:pt>
                <c:pt idx="982">
                  <c:v>12.149353</c:v>
                </c:pt>
                <c:pt idx="983">
                  <c:v>12.367379</c:v>
                </c:pt>
                <c:pt idx="984">
                  <c:v>12.299716999999999</c:v>
                </c:pt>
                <c:pt idx="985">
                  <c:v>12.284679000000001</c:v>
                </c:pt>
                <c:pt idx="986">
                  <c:v>12.209498</c:v>
                </c:pt>
                <c:pt idx="987">
                  <c:v>11.983953</c:v>
                </c:pt>
                <c:pt idx="988">
                  <c:v>11.953879000000001</c:v>
                </c:pt>
                <c:pt idx="989">
                  <c:v>11.856142</c:v>
                </c:pt>
                <c:pt idx="990">
                  <c:v>12.021542999999999</c:v>
                </c:pt>
                <c:pt idx="991">
                  <c:v>11.99147</c:v>
                </c:pt>
                <c:pt idx="992">
                  <c:v>11.998988000000001</c:v>
                </c:pt>
                <c:pt idx="993">
                  <c:v>12.11928</c:v>
                </c:pt>
                <c:pt idx="994">
                  <c:v>12.096724999999999</c:v>
                </c:pt>
                <c:pt idx="995">
                  <c:v>11.968916999999999</c:v>
                </c:pt>
                <c:pt idx="996">
                  <c:v>11.878698999999999</c:v>
                </c:pt>
                <c:pt idx="997">
                  <c:v>11.795999</c:v>
                </c:pt>
                <c:pt idx="998">
                  <c:v>11.683227</c:v>
                </c:pt>
                <c:pt idx="999">
                  <c:v>11.773444</c:v>
                </c:pt>
                <c:pt idx="1000">
                  <c:v>11.645635</c:v>
                </c:pt>
                <c:pt idx="1001">
                  <c:v>11.397535</c:v>
                </c:pt>
                <c:pt idx="1002">
                  <c:v>11.608044</c:v>
                </c:pt>
                <c:pt idx="1003">
                  <c:v>11.841106999999999</c:v>
                </c:pt>
                <c:pt idx="1004">
                  <c:v>11.780963</c:v>
                </c:pt>
                <c:pt idx="1005">
                  <c:v>11.562936000000001</c:v>
                </c:pt>
                <c:pt idx="1006">
                  <c:v>11.946363</c:v>
                </c:pt>
                <c:pt idx="1007">
                  <c:v>12.089209</c:v>
                </c:pt>
                <c:pt idx="1008">
                  <c:v>11.826072999999999</c:v>
                </c:pt>
                <c:pt idx="1009">
                  <c:v>11.593007999999999</c:v>
                </c:pt>
                <c:pt idx="1010">
                  <c:v>11.593007999999999</c:v>
                </c:pt>
                <c:pt idx="1011">
                  <c:v>11.126882</c:v>
                </c:pt>
                <c:pt idx="1012">
                  <c:v>10.984038</c:v>
                </c:pt>
                <c:pt idx="1013">
                  <c:v>10.863746000000001</c:v>
                </c:pt>
                <c:pt idx="1014">
                  <c:v>10.720901</c:v>
                </c:pt>
                <c:pt idx="1015">
                  <c:v>10.074337999999999</c:v>
                </c:pt>
                <c:pt idx="1016">
                  <c:v>10.239739</c:v>
                </c:pt>
                <c:pt idx="1017">
                  <c:v>10.382585000000001</c:v>
                </c:pt>
                <c:pt idx="1018">
                  <c:v>10.796082</c:v>
                </c:pt>
                <c:pt idx="1019">
                  <c:v>11.021627000000001</c:v>
                </c:pt>
                <c:pt idx="1020">
                  <c:v>11.510308</c:v>
                </c:pt>
                <c:pt idx="1021">
                  <c:v>11.187025999999999</c:v>
                </c:pt>
                <c:pt idx="1022">
                  <c:v>11.480237000000001</c:v>
                </c:pt>
                <c:pt idx="1023">
                  <c:v>11.202064</c:v>
                </c:pt>
                <c:pt idx="1024">
                  <c:v>10.953963999999999</c:v>
                </c:pt>
                <c:pt idx="1025">
                  <c:v>10.713384</c:v>
                </c:pt>
                <c:pt idx="1026">
                  <c:v>10.728419000000001</c:v>
                </c:pt>
                <c:pt idx="1027">
                  <c:v>10.472802</c:v>
                </c:pt>
                <c:pt idx="1028">
                  <c:v>10.645720000000001</c:v>
                </c:pt>
                <c:pt idx="1029">
                  <c:v>10.938928000000001</c:v>
                </c:pt>
                <c:pt idx="1030">
                  <c:v>10.991555</c:v>
                </c:pt>
                <c:pt idx="1031">
                  <c:v>11.397535</c:v>
                </c:pt>
                <c:pt idx="1032">
                  <c:v>11.450162000000001</c:v>
                </c:pt>
                <c:pt idx="1033">
                  <c:v>11.871180000000001</c:v>
                </c:pt>
                <c:pt idx="1034">
                  <c:v>12.074170000000001</c:v>
                </c:pt>
                <c:pt idx="1035">
                  <c:v>12.014025</c:v>
                </c:pt>
                <c:pt idx="1036">
                  <c:v>12.126797</c:v>
                </c:pt>
                <c:pt idx="1037">
                  <c:v>12.186944</c:v>
                </c:pt>
                <c:pt idx="1038">
                  <c:v>12.074170000000001</c:v>
                </c:pt>
                <c:pt idx="1039">
                  <c:v>12.11928</c:v>
                </c:pt>
                <c:pt idx="1040">
                  <c:v>12.111762000000001</c:v>
                </c:pt>
                <c:pt idx="1041">
                  <c:v>12.059134999999999</c:v>
                </c:pt>
                <c:pt idx="1042">
                  <c:v>12.08169</c:v>
                </c:pt>
                <c:pt idx="1043">
                  <c:v>12.179425</c:v>
                </c:pt>
                <c:pt idx="1044">
                  <c:v>12.292198000000001</c:v>
                </c:pt>
                <c:pt idx="1045">
                  <c:v>12.532779</c:v>
                </c:pt>
                <c:pt idx="1046">
                  <c:v>12.502705000000001</c:v>
                </c:pt>
                <c:pt idx="1047">
                  <c:v>12.690659</c:v>
                </c:pt>
                <c:pt idx="1048">
                  <c:v>13.134233</c:v>
                </c:pt>
                <c:pt idx="1049">
                  <c:v>13.367296</c:v>
                </c:pt>
                <c:pt idx="1050">
                  <c:v>13.104158999999999</c:v>
                </c:pt>
                <c:pt idx="1051">
                  <c:v>13.645466000000001</c:v>
                </c:pt>
                <c:pt idx="1052">
                  <c:v>14.607791000000001</c:v>
                </c:pt>
                <c:pt idx="1053">
                  <c:v>15.119027000000001</c:v>
                </c:pt>
                <c:pt idx="1054">
                  <c:v>14.99122</c:v>
                </c:pt>
                <c:pt idx="1055">
                  <c:v>15.036326000000001</c:v>
                </c:pt>
                <c:pt idx="1056">
                  <c:v>14.968666000000001</c:v>
                </c:pt>
                <c:pt idx="1057">
                  <c:v>14.818300000000001</c:v>
                </c:pt>
                <c:pt idx="1058">
                  <c:v>14.645381</c:v>
                </c:pt>
                <c:pt idx="1059">
                  <c:v>14.946111</c:v>
                </c:pt>
                <c:pt idx="1060">
                  <c:v>14.600270999999999</c:v>
                </c:pt>
                <c:pt idx="1061">
                  <c:v>14.307067999999999</c:v>
                </c:pt>
                <c:pt idx="1062">
                  <c:v>14.089039</c:v>
                </c:pt>
                <c:pt idx="1063">
                  <c:v>14.149183000000001</c:v>
                </c:pt>
                <c:pt idx="1064">
                  <c:v>14.367210999999999</c:v>
                </c:pt>
                <c:pt idx="1065">
                  <c:v>14.156701</c:v>
                </c:pt>
                <c:pt idx="1066">
                  <c:v>14.314582</c:v>
                </c:pt>
                <c:pt idx="1067">
                  <c:v>14.397283</c:v>
                </c:pt>
                <c:pt idx="1068">
                  <c:v>14.682975000000001</c:v>
                </c:pt>
                <c:pt idx="1069">
                  <c:v>14.352176</c:v>
                </c:pt>
                <c:pt idx="1070">
                  <c:v>14.690493999999999</c:v>
                </c:pt>
                <c:pt idx="1071">
                  <c:v>14.938592</c:v>
                </c:pt>
                <c:pt idx="1072">
                  <c:v>15.036326000000001</c:v>
                </c:pt>
                <c:pt idx="1073">
                  <c:v>13.803349000000001</c:v>
                </c:pt>
                <c:pt idx="1074">
                  <c:v>14.562685</c:v>
                </c:pt>
                <c:pt idx="1075">
                  <c:v>14.615309999999999</c:v>
                </c:pt>
                <c:pt idx="1076">
                  <c:v>14.735602</c:v>
                </c:pt>
                <c:pt idx="1077">
                  <c:v>14.773192999999999</c:v>
                </c:pt>
                <c:pt idx="1078">
                  <c:v>14.299547</c:v>
                </c:pt>
                <c:pt idx="1079">
                  <c:v>14.434875999999999</c:v>
                </c:pt>
                <c:pt idx="1080">
                  <c:v>14.156701</c:v>
                </c:pt>
                <c:pt idx="1081">
                  <c:v>14.276992</c:v>
                </c:pt>
                <c:pt idx="1082">
                  <c:v>14.141666000000001</c:v>
                </c:pt>
                <c:pt idx="1083">
                  <c:v>13.540214000000001</c:v>
                </c:pt>
                <c:pt idx="1084">
                  <c:v>13.630428999999999</c:v>
                </c:pt>
                <c:pt idx="1085">
                  <c:v>13.495105000000001</c:v>
                </c:pt>
                <c:pt idx="1086">
                  <c:v>13.720648000000001</c:v>
                </c:pt>
                <c:pt idx="1087">
                  <c:v>13.54773</c:v>
                </c:pt>
                <c:pt idx="1088">
                  <c:v>13.239485999999999</c:v>
                </c:pt>
                <c:pt idx="1089">
                  <c:v>12.961312</c:v>
                </c:pt>
                <c:pt idx="1090">
                  <c:v>13.231968</c:v>
                </c:pt>
                <c:pt idx="1091">
                  <c:v>13.322187</c:v>
                </c:pt>
                <c:pt idx="1092">
                  <c:v>13.14175</c:v>
                </c:pt>
                <c:pt idx="1093">
                  <c:v>14.111594999999999</c:v>
                </c:pt>
                <c:pt idx="1094">
                  <c:v>14.021376</c:v>
                </c:pt>
                <c:pt idx="1095">
                  <c:v>14.547648000000001</c:v>
                </c:pt>
                <c:pt idx="1096">
                  <c:v>14.449909999999999</c:v>
                </c:pt>
                <c:pt idx="1097">
                  <c:v>14.367210999999999</c:v>
                </c:pt>
                <c:pt idx="1098">
                  <c:v>14.495020999999999</c:v>
                </c:pt>
                <c:pt idx="1099">
                  <c:v>14.833337999999999</c:v>
                </c:pt>
                <c:pt idx="1100">
                  <c:v>15.186691</c:v>
                </c:pt>
                <c:pt idx="1101">
                  <c:v>14.682975000000001</c:v>
                </c:pt>
                <c:pt idx="1102">
                  <c:v>14.03641</c:v>
                </c:pt>
                <c:pt idx="1103">
                  <c:v>14.397283</c:v>
                </c:pt>
                <c:pt idx="1104">
                  <c:v>13.810865</c:v>
                </c:pt>
                <c:pt idx="1105">
                  <c:v>13.863495</c:v>
                </c:pt>
                <c:pt idx="1106">
                  <c:v>14.013856000000001</c:v>
                </c:pt>
                <c:pt idx="1107">
                  <c:v>14.096558999999999</c:v>
                </c:pt>
                <c:pt idx="1108">
                  <c:v>14.713047</c:v>
                </c:pt>
                <c:pt idx="1109">
                  <c:v>15.141582</c:v>
                </c:pt>
                <c:pt idx="1110">
                  <c:v>15.224282000000001</c:v>
                </c:pt>
                <c:pt idx="1111">
                  <c:v>15.75807</c:v>
                </c:pt>
                <c:pt idx="1112">
                  <c:v>14.908517</c:v>
                </c:pt>
                <c:pt idx="1113">
                  <c:v>14.983700000000001</c:v>
                </c:pt>
                <c:pt idx="1114">
                  <c:v>15.066401000000001</c:v>
                </c:pt>
                <c:pt idx="1115">
                  <c:v>14.923556</c:v>
                </c:pt>
                <c:pt idx="1116">
                  <c:v>14.547648000000001</c:v>
                </c:pt>
                <c:pt idx="1117">
                  <c:v>14.374727999999999</c:v>
                </c:pt>
                <c:pt idx="1118">
                  <c:v>14.840852999999999</c:v>
                </c:pt>
                <c:pt idx="1119">
                  <c:v>15.066401000000001</c:v>
                </c:pt>
                <c:pt idx="1120">
                  <c:v>15.337054</c:v>
                </c:pt>
                <c:pt idx="1121">
                  <c:v>15.088955</c:v>
                </c:pt>
                <c:pt idx="1122">
                  <c:v>15.352092000000001</c:v>
                </c:pt>
                <c:pt idx="1123">
                  <c:v>15.224282000000001</c:v>
                </c:pt>
                <c:pt idx="1124">
                  <c:v>15.930987999999999</c:v>
                </c:pt>
                <c:pt idx="1125">
                  <c:v>15.600186000000001</c:v>
                </c:pt>
                <c:pt idx="1126">
                  <c:v>14.502537</c:v>
                </c:pt>
                <c:pt idx="1127">
                  <c:v>14.976183000000001</c:v>
                </c:pt>
                <c:pt idx="1128">
                  <c:v>15.036326000000001</c:v>
                </c:pt>
                <c:pt idx="1129">
                  <c:v>14.562685</c:v>
                </c:pt>
                <c:pt idx="1130">
                  <c:v>13.901085999999999</c:v>
                </c:pt>
                <c:pt idx="1131">
                  <c:v>14.134149000000001</c:v>
                </c:pt>
                <c:pt idx="1132">
                  <c:v>13.818386</c:v>
                </c:pt>
                <c:pt idx="1133">
                  <c:v>13.788314</c:v>
                </c:pt>
                <c:pt idx="1134">
                  <c:v>14.141666000000001</c:v>
                </c:pt>
                <c:pt idx="1135">
                  <c:v>13.991303</c:v>
                </c:pt>
                <c:pt idx="1136">
                  <c:v>13.54773</c:v>
                </c:pt>
                <c:pt idx="1137">
                  <c:v>13.645466000000001</c:v>
                </c:pt>
                <c:pt idx="1138">
                  <c:v>13.803349000000001</c:v>
                </c:pt>
                <c:pt idx="1139">
                  <c:v>13.607877</c:v>
                </c:pt>
                <c:pt idx="1140">
                  <c:v>13.968749000000001</c:v>
                </c:pt>
                <c:pt idx="1141">
                  <c:v>13.968749000000001</c:v>
                </c:pt>
                <c:pt idx="1142">
                  <c:v>13.855974</c:v>
                </c:pt>
                <c:pt idx="1143">
                  <c:v>13.457513000000001</c:v>
                </c:pt>
                <c:pt idx="1144">
                  <c:v>14.123995000000001</c:v>
                </c:pt>
                <c:pt idx="1145">
                  <c:v>13.769909</c:v>
                </c:pt>
                <c:pt idx="1146">
                  <c:v>13.746304</c:v>
                </c:pt>
                <c:pt idx="1147">
                  <c:v>14.013831</c:v>
                </c:pt>
                <c:pt idx="1148">
                  <c:v>13.455168</c:v>
                </c:pt>
                <c:pt idx="1149">
                  <c:v>13.565327</c:v>
                </c:pt>
                <c:pt idx="1150">
                  <c:v>12.762737</c:v>
                </c:pt>
                <c:pt idx="1151">
                  <c:v>12.754868999999999</c:v>
                </c:pt>
                <c:pt idx="1152">
                  <c:v>12.518813</c:v>
                </c:pt>
                <c:pt idx="1153">
                  <c:v>13.030265999999999</c:v>
                </c:pt>
                <c:pt idx="1154">
                  <c:v>12.975187999999999</c:v>
                </c:pt>
                <c:pt idx="1155">
                  <c:v>12.967320000000001</c:v>
                </c:pt>
                <c:pt idx="1156">
                  <c:v>12.967320000000001</c:v>
                </c:pt>
                <c:pt idx="1157">
                  <c:v>13.525985</c:v>
                </c:pt>
                <c:pt idx="1158">
                  <c:v>13.730563</c:v>
                </c:pt>
                <c:pt idx="1159">
                  <c:v>13.911541</c:v>
                </c:pt>
                <c:pt idx="1160">
                  <c:v>14.045306</c:v>
                </c:pt>
                <c:pt idx="1161">
                  <c:v>13.872199999999999</c:v>
                </c:pt>
                <c:pt idx="1162">
                  <c:v>13.990228999999999</c:v>
                </c:pt>
                <c:pt idx="1163">
                  <c:v>13.950886000000001</c:v>
                </c:pt>
                <c:pt idx="1164">
                  <c:v>12.825685999999999</c:v>
                </c:pt>
                <c:pt idx="1165">
                  <c:v>11.873595</c:v>
                </c:pt>
                <c:pt idx="1166">
                  <c:v>11.629671</c:v>
                </c:pt>
                <c:pt idx="1167">
                  <c:v>12.038835000000001</c:v>
                </c:pt>
                <c:pt idx="1168">
                  <c:v>11.716225</c:v>
                </c:pt>
                <c:pt idx="1169">
                  <c:v>12.030965</c:v>
                </c:pt>
                <c:pt idx="1170">
                  <c:v>11.991622</c:v>
                </c:pt>
                <c:pt idx="1171">
                  <c:v>11.826385</c:v>
                </c:pt>
                <c:pt idx="1172">
                  <c:v>12.093915000000001</c:v>
                </c:pt>
                <c:pt idx="1173">
                  <c:v>11.991622</c:v>
                </c:pt>
                <c:pt idx="1174">
                  <c:v>12.180467</c:v>
                </c:pt>
                <c:pt idx="1175">
                  <c:v>12.298494</c:v>
                </c:pt>
                <c:pt idx="1176">
                  <c:v>11.952280999999999</c:v>
                </c:pt>
                <c:pt idx="1177">
                  <c:v>11.960150000000001</c:v>
                </c:pt>
                <c:pt idx="1178">
                  <c:v>12.566025</c:v>
                </c:pt>
                <c:pt idx="1179">
                  <c:v>12.715527</c:v>
                </c:pt>
                <c:pt idx="1180">
                  <c:v>13.675485999999999</c:v>
                </c:pt>
                <c:pt idx="1181">
                  <c:v>13.502378</c:v>
                </c:pt>
                <c:pt idx="1182">
                  <c:v>13.16403</c:v>
                </c:pt>
                <c:pt idx="1183">
                  <c:v>13.407957</c:v>
                </c:pt>
                <c:pt idx="1184">
                  <c:v>13.242717000000001</c:v>
                </c:pt>
                <c:pt idx="1185">
                  <c:v>13.360744</c:v>
                </c:pt>
                <c:pt idx="1186">
                  <c:v>13.022398000000001</c:v>
                </c:pt>
                <c:pt idx="1187">
                  <c:v>12.967320000000001</c:v>
                </c:pt>
                <c:pt idx="1188">
                  <c:v>13.345008999999999</c:v>
                </c:pt>
                <c:pt idx="1189">
                  <c:v>13.321403</c:v>
                </c:pt>
                <c:pt idx="1190">
                  <c:v>12.912240000000001</c:v>
                </c:pt>
                <c:pt idx="1191">
                  <c:v>12.715527</c:v>
                </c:pt>
                <c:pt idx="1192">
                  <c:v>13.132559000000001</c:v>
                </c:pt>
                <c:pt idx="1193">
                  <c:v>13.352876999999999</c:v>
                </c:pt>
                <c:pt idx="1194">
                  <c:v>13.345008999999999</c:v>
                </c:pt>
                <c:pt idx="1195">
                  <c:v>13.108952</c:v>
                </c:pt>
                <c:pt idx="1196">
                  <c:v>13.014532000000001</c:v>
                </c:pt>
                <c:pt idx="1197">
                  <c:v>12.841422</c:v>
                </c:pt>
                <c:pt idx="1198">
                  <c:v>12.684051999999999</c:v>
                </c:pt>
                <c:pt idx="1199">
                  <c:v>12.455868000000001</c:v>
                </c:pt>
                <c:pt idx="1200">
                  <c:v>12.841422</c:v>
                </c:pt>
                <c:pt idx="1201">
                  <c:v>13.242717000000001</c:v>
                </c:pt>
                <c:pt idx="1202">
                  <c:v>13.415822</c:v>
                </c:pt>
                <c:pt idx="1203">
                  <c:v>13.667619999999999</c:v>
                </c:pt>
                <c:pt idx="1204">
                  <c:v>13.714829</c:v>
                </c:pt>
                <c:pt idx="1205">
                  <c:v>13.470905999999999</c:v>
                </c:pt>
                <c:pt idx="1206">
                  <c:v>13.817119999999999</c:v>
                </c:pt>
                <c:pt idx="1207">
                  <c:v>13.620407</c:v>
                </c:pt>
                <c:pt idx="1208">
                  <c:v>13.919411</c:v>
                </c:pt>
                <c:pt idx="1209">
                  <c:v>14.108255</c:v>
                </c:pt>
                <c:pt idx="1210">
                  <c:v>15.005265</c:v>
                </c:pt>
                <c:pt idx="1211">
                  <c:v>14.493811000000001</c:v>
                </c:pt>
                <c:pt idx="1212">
                  <c:v>14.470207</c:v>
                </c:pt>
                <c:pt idx="1213">
                  <c:v>14.147598</c:v>
                </c:pt>
                <c:pt idx="1214">
                  <c:v>14.249889</c:v>
                </c:pt>
                <c:pt idx="1215">
                  <c:v>13.982358</c:v>
                </c:pt>
                <c:pt idx="1216">
                  <c:v>14.037438</c:v>
                </c:pt>
                <c:pt idx="1217">
                  <c:v>14.430865000000001</c:v>
                </c:pt>
                <c:pt idx="1218">
                  <c:v>14.942316999999999</c:v>
                </c:pt>
                <c:pt idx="1219">
                  <c:v>14.871505000000001</c:v>
                </c:pt>
                <c:pt idx="1220">
                  <c:v>15.178371</c:v>
                </c:pt>
                <c:pt idx="1221">
                  <c:v>14.918713</c:v>
                </c:pt>
                <c:pt idx="1222">
                  <c:v>15.209846000000001</c:v>
                </c:pt>
                <c:pt idx="1223">
                  <c:v>15.320007</c:v>
                </c:pt>
                <c:pt idx="1224">
                  <c:v>15.288532</c:v>
                </c:pt>
                <c:pt idx="1225">
                  <c:v>15.540323000000001</c:v>
                </c:pt>
                <c:pt idx="1226">
                  <c:v>15.642616</c:v>
                </c:pt>
                <c:pt idx="1227">
                  <c:v>15.422299000000001</c:v>
                </c:pt>
                <c:pt idx="1228">
                  <c:v>15.264927</c:v>
                </c:pt>
                <c:pt idx="1229">
                  <c:v>16.122595</c:v>
                </c:pt>
                <c:pt idx="1230">
                  <c:v>15.807853</c:v>
                </c:pt>
                <c:pt idx="1231">
                  <c:v>16.028172999999999</c:v>
                </c:pt>
                <c:pt idx="1232">
                  <c:v>16.201283</c:v>
                </c:pt>
                <c:pt idx="1233">
                  <c:v>16.382256000000002</c:v>
                </c:pt>
                <c:pt idx="1234">
                  <c:v>16.925045000000001</c:v>
                </c:pt>
                <c:pt idx="1235">
                  <c:v>16.876940000000001</c:v>
                </c:pt>
                <c:pt idx="1236">
                  <c:v>17.47024</c:v>
                </c:pt>
                <c:pt idx="1237">
                  <c:v>16.516151000000001</c:v>
                </c:pt>
                <c:pt idx="1238">
                  <c:v>16.556238</c:v>
                </c:pt>
                <c:pt idx="1239">
                  <c:v>16.476063</c:v>
                </c:pt>
                <c:pt idx="1240">
                  <c:v>16.011043999999998</c:v>
                </c:pt>
                <c:pt idx="1241">
                  <c:v>15.714396000000001</c:v>
                </c:pt>
                <c:pt idx="1242">
                  <c:v>15.36964</c:v>
                </c:pt>
                <c:pt idx="1243">
                  <c:v>15.489902000000001</c:v>
                </c:pt>
                <c:pt idx="1244">
                  <c:v>15.73043</c:v>
                </c:pt>
                <c:pt idx="1245">
                  <c:v>15.73043</c:v>
                </c:pt>
                <c:pt idx="1246">
                  <c:v>16.259592000000001</c:v>
                </c:pt>
                <c:pt idx="1247">
                  <c:v>16.395886999999998</c:v>
                </c:pt>
                <c:pt idx="1248">
                  <c:v>16.836850999999999</c:v>
                </c:pt>
                <c:pt idx="1249">
                  <c:v>16.524170000000002</c:v>
                </c:pt>
                <c:pt idx="1250">
                  <c:v>16.484076999999999</c:v>
                </c:pt>
                <c:pt idx="1251">
                  <c:v>17.333940999999999</c:v>
                </c:pt>
                <c:pt idx="1252">
                  <c:v>17.341957000000001</c:v>
                </c:pt>
                <c:pt idx="1253">
                  <c:v>17.47024</c:v>
                </c:pt>
                <c:pt idx="1254">
                  <c:v>17.614553000000001</c:v>
                </c:pt>
                <c:pt idx="1255">
                  <c:v>17.782923</c:v>
                </c:pt>
                <c:pt idx="1256">
                  <c:v>18.292546999999999</c:v>
                </c:pt>
                <c:pt idx="1257">
                  <c:v>18.578113999999999</c:v>
                </c:pt>
                <c:pt idx="1258">
                  <c:v>18.545475</c:v>
                </c:pt>
                <c:pt idx="1259">
                  <c:v>18.333341999999998</c:v>
                </c:pt>
                <c:pt idx="1260">
                  <c:v>17.803003</c:v>
                </c:pt>
                <c:pt idx="1261">
                  <c:v>17.811163000000001</c:v>
                </c:pt>
                <c:pt idx="1262">
                  <c:v>17.639825999999999</c:v>
                </c:pt>
                <c:pt idx="1263">
                  <c:v>16.497561999999999</c:v>
                </c:pt>
                <c:pt idx="1264">
                  <c:v>16.628102999999999</c:v>
                </c:pt>
                <c:pt idx="1265">
                  <c:v>17.076853</c:v>
                </c:pt>
                <c:pt idx="1266">
                  <c:v>16.807606</c:v>
                </c:pt>
                <c:pt idx="1267">
                  <c:v>17.958027000000001</c:v>
                </c:pt>
                <c:pt idx="1268">
                  <c:v>18.888157</c:v>
                </c:pt>
                <c:pt idx="1269">
                  <c:v>19.173722999999999</c:v>
                </c:pt>
                <c:pt idx="1270">
                  <c:v>19.467445000000001</c:v>
                </c:pt>
                <c:pt idx="1271">
                  <c:v>19.369541000000002</c:v>
                </c:pt>
                <c:pt idx="1272">
                  <c:v>18.790248999999999</c:v>
                </c:pt>
                <c:pt idx="1273">
                  <c:v>19.214516</c:v>
                </c:pt>
                <c:pt idx="1274">
                  <c:v>19.336903</c:v>
                </c:pt>
                <c:pt idx="1275">
                  <c:v>19.508241999999999</c:v>
                </c:pt>
                <c:pt idx="1276">
                  <c:v>19.459288000000001</c:v>
                </c:pt>
                <c:pt idx="1277">
                  <c:v>19.328745000000001</c:v>
                </c:pt>
                <c:pt idx="1278">
                  <c:v>19.214516</c:v>
                </c:pt>
                <c:pt idx="1279">
                  <c:v>20.046738000000001</c:v>
                </c:pt>
                <c:pt idx="1280">
                  <c:v>20.283352000000001</c:v>
                </c:pt>
                <c:pt idx="1281">
                  <c:v>20.462848999999999</c:v>
                </c:pt>
                <c:pt idx="1282">
                  <c:v>20.471008000000001</c:v>
                </c:pt>
                <c:pt idx="1283">
                  <c:v>20.267036000000001</c:v>
                </c:pt>
                <c:pt idx="1284">
                  <c:v>20.038578000000001</c:v>
                </c:pt>
                <c:pt idx="1285">
                  <c:v>19.597992000000001</c:v>
                </c:pt>
                <c:pt idx="1286">
                  <c:v>20.389420000000001</c:v>
                </c:pt>
                <c:pt idx="1287">
                  <c:v>19.581672999999999</c:v>
                </c:pt>
                <c:pt idx="1288">
                  <c:v>18.765771999999998</c:v>
                </c:pt>
                <c:pt idx="1289">
                  <c:v>18.162002999999999</c:v>
                </c:pt>
                <c:pt idx="1290">
                  <c:v>18.317024</c:v>
                </c:pt>
                <c:pt idx="1291">
                  <c:v>17.835643999999998</c:v>
                </c:pt>
                <c:pt idx="1292">
                  <c:v>17.721415</c:v>
                </c:pt>
                <c:pt idx="1293">
                  <c:v>17.811163000000001</c:v>
                </c:pt>
                <c:pt idx="1294">
                  <c:v>19.475605000000002</c:v>
                </c:pt>
                <c:pt idx="1295">
                  <c:v>17.860119000000001</c:v>
                </c:pt>
                <c:pt idx="1296">
                  <c:v>17.860119000000001</c:v>
                </c:pt>
                <c:pt idx="1297">
                  <c:v>17.982506000000001</c:v>
                </c:pt>
                <c:pt idx="1298">
                  <c:v>17.036055000000001</c:v>
                </c:pt>
                <c:pt idx="1299">
                  <c:v>16.758652000000001</c:v>
                </c:pt>
                <c:pt idx="1300">
                  <c:v>16.815764999999999</c:v>
                </c:pt>
                <c:pt idx="1301">
                  <c:v>16.456764</c:v>
                </c:pt>
                <c:pt idx="1302">
                  <c:v>16.415967999999999</c:v>
                </c:pt>
                <c:pt idx="1303">
                  <c:v>16.350698000000001</c:v>
                </c:pt>
                <c:pt idx="1304">
                  <c:v>16.171199999999999</c:v>
                </c:pt>
                <c:pt idx="1305">
                  <c:v>15.959064</c:v>
                </c:pt>
                <c:pt idx="1306">
                  <c:v>15.967223000000001</c:v>
                </c:pt>
                <c:pt idx="1307">
                  <c:v>15.689814999999999</c:v>
                </c:pt>
                <c:pt idx="1308">
                  <c:v>15.396091</c:v>
                </c:pt>
                <c:pt idx="1309">
                  <c:v>15.216593</c:v>
                </c:pt>
                <c:pt idx="1310">
                  <c:v>15.453203999999999</c:v>
                </c:pt>
                <c:pt idx="1311">
                  <c:v>15.453203999999999</c:v>
                </c:pt>
                <c:pt idx="1312">
                  <c:v>15.420571000000001</c:v>
                </c:pt>
                <c:pt idx="1313">
                  <c:v>15.257388000000001</c:v>
                </c:pt>
                <c:pt idx="1314">
                  <c:v>15.265546000000001</c:v>
                </c:pt>
                <c:pt idx="1315">
                  <c:v>15.232908</c:v>
                </c:pt>
                <c:pt idx="1316">
                  <c:v>15.363455999999999</c:v>
                </c:pt>
                <c:pt idx="1317">
                  <c:v>15.689814999999999</c:v>
                </c:pt>
                <c:pt idx="1318">
                  <c:v>16.244630999999998</c:v>
                </c:pt>
                <c:pt idx="1319">
                  <c:v>15.877471999999999</c:v>
                </c:pt>
                <c:pt idx="1320">
                  <c:v>15.910111000000001</c:v>
                </c:pt>
                <c:pt idx="1321">
                  <c:v>16.138560999999999</c:v>
                </c:pt>
                <c:pt idx="1322">
                  <c:v>16.138560999999999</c:v>
                </c:pt>
                <c:pt idx="1323">
                  <c:v>16.375174000000001</c:v>
                </c:pt>
                <c:pt idx="1324">
                  <c:v>17.068693</c:v>
                </c:pt>
                <c:pt idx="1325">
                  <c:v>17.150282000000001</c:v>
                </c:pt>
                <c:pt idx="1326">
                  <c:v>16.693377000000002</c:v>
                </c:pt>
                <c:pt idx="1327">
                  <c:v>17.044215999999999</c:v>
                </c:pt>
                <c:pt idx="1328">
                  <c:v>16.968631999999999</c:v>
                </c:pt>
                <c:pt idx="1329">
                  <c:v>17.059996000000002</c:v>
                </c:pt>
                <c:pt idx="1330">
                  <c:v>17.342390000000002</c:v>
                </c:pt>
                <c:pt idx="1331">
                  <c:v>17.400534</c:v>
                </c:pt>
                <c:pt idx="1332">
                  <c:v>16.976938000000001</c:v>
                </c:pt>
                <c:pt idx="1333">
                  <c:v>16.819130000000001</c:v>
                </c:pt>
                <c:pt idx="1334">
                  <c:v>16.744381000000001</c:v>
                </c:pt>
                <c:pt idx="1335">
                  <c:v>17.359005</c:v>
                </c:pt>
                <c:pt idx="1336">
                  <c:v>16.827435999999999</c:v>
                </c:pt>
                <c:pt idx="1337">
                  <c:v>16.860657</c:v>
                </c:pt>
                <c:pt idx="1338">
                  <c:v>16.785906000000001</c:v>
                </c:pt>
                <c:pt idx="1339">
                  <c:v>16.329091999999999</c:v>
                </c:pt>
                <c:pt idx="1340">
                  <c:v>16.412151000000001</c:v>
                </c:pt>
                <c:pt idx="1341">
                  <c:v>16.611485999999999</c:v>
                </c:pt>
                <c:pt idx="1342">
                  <c:v>16.362314000000001</c:v>
                </c:pt>
                <c:pt idx="1343">
                  <c:v>16.304172999999999</c:v>
                </c:pt>
                <c:pt idx="1344">
                  <c:v>16.279259</c:v>
                </c:pt>
                <c:pt idx="1345">
                  <c:v>15.996861000000001</c:v>
                </c:pt>
                <c:pt idx="1346">
                  <c:v>15.888885999999999</c:v>
                </c:pt>
                <c:pt idx="1347">
                  <c:v>16.511816</c:v>
                </c:pt>
                <c:pt idx="1348">
                  <c:v>16.503511</c:v>
                </c:pt>
                <c:pt idx="1349">
                  <c:v>16.337395000000001</c:v>
                </c:pt>
                <c:pt idx="1350">
                  <c:v>16.852353999999998</c:v>
                </c:pt>
                <c:pt idx="1351">
                  <c:v>17.167973</c:v>
                </c:pt>
                <c:pt idx="1352">
                  <c:v>17.383921000000001</c:v>
                </c:pt>
                <c:pt idx="1353">
                  <c:v>17.350697</c:v>
                </c:pt>
                <c:pt idx="1354">
                  <c:v>17.699539000000001</c:v>
                </c:pt>
                <c:pt idx="1355">
                  <c:v>18.114827999999999</c:v>
                </c:pt>
                <c:pt idx="1356">
                  <c:v>18.330774000000002</c:v>
                </c:pt>
                <c:pt idx="1357">
                  <c:v>18.339079000000002</c:v>
                </c:pt>
                <c:pt idx="1358">
                  <c:v>17.782598</c:v>
                </c:pt>
                <c:pt idx="1359">
                  <c:v>19.211183999999999</c:v>
                </c:pt>
                <c:pt idx="1360">
                  <c:v>19.161349999999999</c:v>
                </c:pt>
                <c:pt idx="1361">
                  <c:v>19.252711999999999</c:v>
                </c:pt>
                <c:pt idx="1362">
                  <c:v>18.247719</c:v>
                </c:pt>
                <c:pt idx="1363">
                  <c:v>17.716149999999999</c:v>
                </c:pt>
                <c:pt idx="1364">
                  <c:v>18.089908999999999</c:v>
                </c:pt>
                <c:pt idx="1365">
                  <c:v>17.591564000000002</c:v>
                </c:pt>
                <c:pt idx="1366">
                  <c:v>17.574950999999999</c:v>
                </c:pt>
                <c:pt idx="1367">
                  <c:v>17.550034</c:v>
                </c:pt>
                <c:pt idx="1368">
                  <c:v>17.558340000000001</c:v>
                </c:pt>
                <c:pt idx="1369">
                  <c:v>18.098215</c:v>
                </c:pt>
                <c:pt idx="1370">
                  <c:v>18.397220999999998</c:v>
                </c:pt>
                <c:pt idx="1371">
                  <c:v>18.388914</c:v>
                </c:pt>
                <c:pt idx="1372">
                  <c:v>18.513500000000001</c:v>
                </c:pt>
                <c:pt idx="1373">
                  <c:v>18.729451999999998</c:v>
                </c:pt>
                <c:pt idx="1374">
                  <c:v>18.064990999999999</c:v>
                </c:pt>
                <c:pt idx="1375">
                  <c:v>18.563334999999999</c:v>
                </c:pt>
                <c:pt idx="1376">
                  <c:v>18.098215</c:v>
                </c:pt>
                <c:pt idx="1377">
                  <c:v>18.222801</c:v>
                </c:pt>
                <c:pt idx="1378">
                  <c:v>18.596556</c:v>
                </c:pt>
                <c:pt idx="1379">
                  <c:v>18.214494999999999</c:v>
                </c:pt>
                <c:pt idx="1380">
                  <c:v>18.064990999999999</c:v>
                </c:pt>
                <c:pt idx="1381">
                  <c:v>18.322469999999999</c:v>
                </c:pt>
                <c:pt idx="1382">
                  <c:v>18.189577</c:v>
                </c:pt>
                <c:pt idx="1383">
                  <c:v>18.314160999999999</c:v>
                </c:pt>
                <c:pt idx="1384">
                  <c:v>18.181269</c:v>
                </c:pt>
                <c:pt idx="1385">
                  <c:v>18.023461999999999</c:v>
                </c:pt>
                <c:pt idx="1386">
                  <c:v>17.782598</c:v>
                </c:pt>
                <c:pt idx="1387">
                  <c:v>17.051691000000002</c:v>
                </c:pt>
                <c:pt idx="1388">
                  <c:v>17.026772999999999</c:v>
                </c:pt>
                <c:pt idx="1389">
                  <c:v>16.320784</c:v>
                </c:pt>
                <c:pt idx="1390">
                  <c:v>16.071612999999999</c:v>
                </c:pt>
                <c:pt idx="1391">
                  <c:v>16.395536</c:v>
                </c:pt>
                <c:pt idx="1392">
                  <c:v>16.711155000000002</c:v>
                </c:pt>
                <c:pt idx="1393">
                  <c:v>16.628098000000001</c:v>
                </c:pt>
                <c:pt idx="1394">
                  <c:v>16.719460000000002</c:v>
                </c:pt>
                <c:pt idx="1395">
                  <c:v>16.719460000000002</c:v>
                </c:pt>
                <c:pt idx="1396">
                  <c:v>16.860657</c:v>
                </c:pt>
                <c:pt idx="1397">
                  <c:v>16.835740999999999</c:v>
                </c:pt>
                <c:pt idx="1398">
                  <c:v>16.835740999999999</c:v>
                </c:pt>
                <c:pt idx="1399">
                  <c:v>16.752683999999999</c:v>
                </c:pt>
                <c:pt idx="1400">
                  <c:v>16.171282000000001</c:v>
                </c:pt>
                <c:pt idx="1401">
                  <c:v>16.071612999999999</c:v>
                </c:pt>
                <c:pt idx="1402">
                  <c:v>15.772606</c:v>
                </c:pt>
                <c:pt idx="1403">
                  <c:v>15.656326</c:v>
                </c:pt>
                <c:pt idx="1404">
                  <c:v>15.697857000000001</c:v>
                </c:pt>
                <c:pt idx="1405">
                  <c:v>15.947029000000001</c:v>
                </c:pt>
                <c:pt idx="1406">
                  <c:v>16.071612999999999</c:v>
                </c:pt>
                <c:pt idx="1407">
                  <c:v>15.880582</c:v>
                </c:pt>
                <c:pt idx="1408">
                  <c:v>15.780912000000001</c:v>
                </c:pt>
                <c:pt idx="1409">
                  <c:v>16.279259</c:v>
                </c:pt>
                <c:pt idx="1410">
                  <c:v>16.304172999999999</c:v>
                </c:pt>
                <c:pt idx="1411">
                  <c:v>16.312479</c:v>
                </c:pt>
                <c:pt idx="1412">
                  <c:v>16.254339000000002</c:v>
                </c:pt>
                <c:pt idx="1413">
                  <c:v>16.345700999999998</c:v>
                </c:pt>
                <c:pt idx="1414">
                  <c:v>17.051691000000002</c:v>
                </c:pt>
                <c:pt idx="1415">
                  <c:v>17.084911000000002</c:v>
                </c:pt>
                <c:pt idx="1416">
                  <c:v>17.242722000000001</c:v>
                </c:pt>
                <c:pt idx="1417">
                  <c:v>17.035077999999999</c:v>
                </c:pt>
                <c:pt idx="1418">
                  <c:v>17.001856</c:v>
                </c:pt>
                <c:pt idx="1419">
                  <c:v>16.229424000000002</c:v>
                </c:pt>
                <c:pt idx="1420">
                  <c:v>16.162977000000001</c:v>
                </c:pt>
                <c:pt idx="1421">
                  <c:v>15.830746</c:v>
                </c:pt>
                <c:pt idx="1422">
                  <c:v>15.731078999999999</c:v>
                </c:pt>
                <c:pt idx="1423">
                  <c:v>16.221117</c:v>
                </c:pt>
                <c:pt idx="1424">
                  <c:v>16.312479</c:v>
                </c:pt>
                <c:pt idx="1425">
                  <c:v>16.66132</c:v>
                </c:pt>
                <c:pt idx="1426">
                  <c:v>16.611485999999999</c:v>
                </c:pt>
                <c:pt idx="1427">
                  <c:v>16.611485999999999</c:v>
                </c:pt>
                <c:pt idx="1428">
                  <c:v>16.868960999999999</c:v>
                </c:pt>
                <c:pt idx="1429">
                  <c:v>17.001856</c:v>
                </c:pt>
                <c:pt idx="1430">
                  <c:v>16.985247000000001</c:v>
                </c:pt>
                <c:pt idx="1431">
                  <c:v>17.500198000000001</c:v>
                </c:pt>
                <c:pt idx="1432">
                  <c:v>17.932098</c:v>
                </c:pt>
                <c:pt idx="1433">
                  <c:v>18.272635999999999</c:v>
                </c:pt>
                <c:pt idx="1434">
                  <c:v>18.671309999999998</c:v>
                </c:pt>
                <c:pt idx="1435">
                  <c:v>18.696225999999999</c:v>
                </c:pt>
                <c:pt idx="1436">
                  <c:v>19.377298</c:v>
                </c:pt>
                <c:pt idx="1437">
                  <c:v>19.468664</c:v>
                </c:pt>
                <c:pt idx="1438">
                  <c:v>19.319157000000001</c:v>
                </c:pt>
                <c:pt idx="1439">
                  <c:v>19.402214000000001</c:v>
                </c:pt>
                <c:pt idx="1440">
                  <c:v>18.646393</c:v>
                </c:pt>
                <c:pt idx="1441">
                  <c:v>18.471972000000001</c:v>
                </c:pt>
                <c:pt idx="1442">
                  <c:v>18.962011</c:v>
                </c:pt>
                <c:pt idx="1443">
                  <c:v>18.712838999999999</c:v>
                </c:pt>
                <c:pt idx="1444">
                  <c:v>19.252711999999999</c:v>
                </c:pt>
                <c:pt idx="1445">
                  <c:v>19.177961</c:v>
                </c:pt>
                <c:pt idx="1446">
                  <c:v>19.086597000000001</c:v>
                </c:pt>
                <c:pt idx="1447">
                  <c:v>18.721146000000001</c:v>
                </c:pt>
                <c:pt idx="1448">
                  <c:v>19.161349999999999</c:v>
                </c:pt>
                <c:pt idx="1449">
                  <c:v>19.219487999999998</c:v>
                </c:pt>
                <c:pt idx="1450">
                  <c:v>19.161349999999999</c:v>
                </c:pt>
                <c:pt idx="1451">
                  <c:v>20.481960000000001</c:v>
                </c:pt>
                <c:pt idx="1452">
                  <c:v>21.378979000000001</c:v>
                </c:pt>
                <c:pt idx="1453">
                  <c:v>21.628157000000002</c:v>
                </c:pt>
                <c:pt idx="1454">
                  <c:v>21.237784999999999</c:v>
                </c:pt>
                <c:pt idx="1455">
                  <c:v>21.055057999999999</c:v>
                </c:pt>
                <c:pt idx="1456">
                  <c:v>19.933782999999998</c:v>
                </c:pt>
                <c:pt idx="1457">
                  <c:v>19.717834</c:v>
                </c:pt>
                <c:pt idx="1458">
                  <c:v>19.676306</c:v>
                </c:pt>
                <c:pt idx="1459">
                  <c:v>18.447056</c:v>
                </c:pt>
                <c:pt idx="1460">
                  <c:v>18.912178000000001</c:v>
                </c:pt>
                <c:pt idx="1461">
                  <c:v>19.119821999999999</c:v>
                </c:pt>
                <c:pt idx="1462">
                  <c:v>18.862341000000001</c:v>
                </c:pt>
                <c:pt idx="1463">
                  <c:v>18.671309999999998</c:v>
                </c:pt>
                <c:pt idx="1464">
                  <c:v>18.638086000000001</c:v>
                </c:pt>
                <c:pt idx="1465">
                  <c:v>18.704535</c:v>
                </c:pt>
                <c:pt idx="1466">
                  <c:v>18.837425</c:v>
                </c:pt>
                <c:pt idx="1467">
                  <c:v>18.995236999999999</c:v>
                </c:pt>
                <c:pt idx="1468">
                  <c:v>18.779285000000002</c:v>
                </c:pt>
                <c:pt idx="1469">
                  <c:v>18.962011</c:v>
                </c:pt>
                <c:pt idx="1470">
                  <c:v>18.754367999999999</c:v>
                </c:pt>
                <c:pt idx="1471">
                  <c:v>18.654699000000001</c:v>
                </c:pt>
                <c:pt idx="1472">
                  <c:v>17.815819000000001</c:v>
                </c:pt>
                <c:pt idx="1473">
                  <c:v>17.732761</c:v>
                </c:pt>
                <c:pt idx="1474">
                  <c:v>17.691233</c:v>
                </c:pt>
                <c:pt idx="1475">
                  <c:v>18.006851000000001</c:v>
                </c:pt>
                <c:pt idx="1476">
                  <c:v>18.222801</c:v>
                </c:pt>
                <c:pt idx="1477">
                  <c:v>18.272635999999999</c:v>
                </c:pt>
                <c:pt idx="1478">
                  <c:v>18.056685999999999</c:v>
                </c:pt>
                <c:pt idx="1479">
                  <c:v>17.832432000000001</c:v>
                </c:pt>
                <c:pt idx="1480">
                  <c:v>18.006851000000001</c:v>
                </c:pt>
                <c:pt idx="1481">
                  <c:v>17.932098</c:v>
                </c:pt>
                <c:pt idx="1482">
                  <c:v>17.599869000000002</c:v>
                </c:pt>
                <c:pt idx="1483">
                  <c:v>17.325780999999999</c:v>
                </c:pt>
                <c:pt idx="1484">
                  <c:v>17.450367</c:v>
                </c:pt>
                <c:pt idx="1485">
                  <c:v>17.433755999999999</c:v>
                </c:pt>
                <c:pt idx="1486">
                  <c:v>17.325780999999999</c:v>
                </c:pt>
                <c:pt idx="1487">
                  <c:v>17.74614</c:v>
                </c:pt>
                <c:pt idx="1488">
                  <c:v>17.831092999999999</c:v>
                </c:pt>
                <c:pt idx="1489">
                  <c:v>17.499783999999998</c:v>
                </c:pt>
                <c:pt idx="1490">
                  <c:v>17.890554000000002</c:v>
                </c:pt>
                <c:pt idx="1491">
                  <c:v>17.45731</c:v>
                </c:pt>
                <c:pt idx="1492">
                  <c:v>17.559252000000001</c:v>
                </c:pt>
                <c:pt idx="1493">
                  <c:v>17.627209000000001</c:v>
                </c:pt>
                <c:pt idx="1494">
                  <c:v>17.720655000000001</c:v>
                </c:pt>
                <c:pt idx="1495">
                  <c:v>17.924536</c:v>
                </c:pt>
                <c:pt idx="1496">
                  <c:v>17.856577000000001</c:v>
                </c:pt>
                <c:pt idx="1497">
                  <c:v>17.703666999999999</c:v>
                </c:pt>
                <c:pt idx="1498">
                  <c:v>17.550753</c:v>
                </c:pt>
                <c:pt idx="1499">
                  <c:v>17.644200999999999</c:v>
                </c:pt>
                <c:pt idx="1500">
                  <c:v>17.295904</c:v>
                </c:pt>
                <c:pt idx="1501">
                  <c:v>17.007072000000001</c:v>
                </c:pt>
                <c:pt idx="1502">
                  <c:v>16.803191999999999</c:v>
                </c:pt>
                <c:pt idx="1503">
                  <c:v>16.675764000000001</c:v>
                </c:pt>
                <c:pt idx="1504">
                  <c:v>16.505865</c:v>
                </c:pt>
                <c:pt idx="1505">
                  <c:v>17.202456000000002</c:v>
                </c:pt>
                <c:pt idx="1506">
                  <c:v>17.159983</c:v>
                </c:pt>
                <c:pt idx="1507">
                  <c:v>17.312892999999999</c:v>
                </c:pt>
                <c:pt idx="1508">
                  <c:v>16.930613999999998</c:v>
                </c:pt>
                <c:pt idx="1509">
                  <c:v>16.726734</c:v>
                </c:pt>
                <c:pt idx="1510">
                  <c:v>16.777704</c:v>
                </c:pt>
                <c:pt idx="1511">
                  <c:v>16.709743</c:v>
                </c:pt>
                <c:pt idx="1512">
                  <c:v>16.650282000000001</c:v>
                </c:pt>
                <c:pt idx="1513">
                  <c:v>16.463387999999998</c:v>
                </c:pt>
                <c:pt idx="1514">
                  <c:v>16.208538000000001</c:v>
                </c:pt>
                <c:pt idx="1515">
                  <c:v>15.953687</c:v>
                </c:pt>
                <c:pt idx="1516">
                  <c:v>15.494954999999999</c:v>
                </c:pt>
                <c:pt idx="1517">
                  <c:v>15.359033999999999</c:v>
                </c:pt>
                <c:pt idx="1518">
                  <c:v>15.325054</c:v>
                </c:pt>
                <c:pt idx="1519">
                  <c:v>15.911210000000001</c:v>
                </c:pt>
                <c:pt idx="1520">
                  <c:v>16.115093000000002</c:v>
                </c:pt>
                <c:pt idx="1521">
                  <c:v>16.013152999999999</c:v>
                </c:pt>
                <c:pt idx="1522">
                  <c:v>15.647864999999999</c:v>
                </c:pt>
                <c:pt idx="1523">
                  <c:v>15.698833</c:v>
                </c:pt>
                <c:pt idx="1524">
                  <c:v>15.248601000000001</c:v>
                </c:pt>
                <c:pt idx="1525">
                  <c:v>15.282578000000001</c:v>
                </c:pt>
                <c:pt idx="1526">
                  <c:v>15.410005</c:v>
                </c:pt>
                <c:pt idx="1527">
                  <c:v>15.112679</c:v>
                </c:pt>
                <c:pt idx="1528">
                  <c:v>14.985250000000001</c:v>
                </c:pt>
                <c:pt idx="1529">
                  <c:v>15.197628</c:v>
                </c:pt>
                <c:pt idx="1530">
                  <c:v>14.50953</c:v>
                </c:pt>
                <c:pt idx="1531">
                  <c:v>14.348122999999999</c:v>
                </c:pt>
                <c:pt idx="1532">
                  <c:v>15.520439</c:v>
                </c:pt>
                <c:pt idx="1533">
                  <c:v>15.494954999999999</c:v>
                </c:pt>
                <c:pt idx="1534">
                  <c:v>15.868736999999999</c:v>
                </c:pt>
                <c:pt idx="1535">
                  <c:v>15.877231999999999</c:v>
                </c:pt>
                <c:pt idx="1536">
                  <c:v>15.860239999999999</c:v>
                </c:pt>
                <c:pt idx="1537">
                  <c:v>15.486461</c:v>
                </c:pt>
                <c:pt idx="1538">
                  <c:v>14.866323</c:v>
                </c:pt>
                <c:pt idx="1539">
                  <c:v>14.407590000000001</c:v>
                </c:pt>
                <c:pt idx="1540">
                  <c:v>14.450065</c:v>
                </c:pt>
                <c:pt idx="1541">
                  <c:v>14.450065</c:v>
                </c:pt>
                <c:pt idx="1542">
                  <c:v>13.940362</c:v>
                </c:pt>
                <c:pt idx="1543">
                  <c:v>13.75347</c:v>
                </c:pt>
                <c:pt idx="1544">
                  <c:v>13.761967</c:v>
                </c:pt>
                <c:pt idx="1545">
                  <c:v>13.694006</c:v>
                </c:pt>
                <c:pt idx="1546">
                  <c:v>13.626046000000001</c:v>
                </c:pt>
                <c:pt idx="1547">
                  <c:v>13.60056</c:v>
                </c:pt>
                <c:pt idx="1548">
                  <c:v>13.795947</c:v>
                </c:pt>
                <c:pt idx="1549">
                  <c:v>13.838423000000001</c:v>
                </c:pt>
                <c:pt idx="1550">
                  <c:v>14.178224</c:v>
                </c:pt>
                <c:pt idx="1551">
                  <c:v>14.832338999999999</c:v>
                </c:pt>
                <c:pt idx="1552">
                  <c:v>14.568994999999999</c:v>
                </c:pt>
                <c:pt idx="1553">
                  <c:v>15.342044</c:v>
                </c:pt>
                <c:pt idx="1554">
                  <c:v>14.619965000000001</c:v>
                </c:pt>
                <c:pt idx="1555">
                  <c:v>14.152737999999999</c:v>
                </c:pt>
                <c:pt idx="1556">
                  <c:v>14.314142</c:v>
                </c:pt>
                <c:pt idx="1557">
                  <c:v>14.093273</c:v>
                </c:pt>
                <c:pt idx="1558">
                  <c:v>13.991331000000001</c:v>
                </c:pt>
                <c:pt idx="1559">
                  <c:v>13.795947</c:v>
                </c:pt>
                <c:pt idx="1560">
                  <c:v>13.727985</c:v>
                </c:pt>
                <c:pt idx="1561">
                  <c:v>13.558083999999999</c:v>
                </c:pt>
                <c:pt idx="1562">
                  <c:v>13.43066</c:v>
                </c:pt>
                <c:pt idx="1563">
                  <c:v>12.734067</c:v>
                </c:pt>
                <c:pt idx="1564">
                  <c:v>12.181889999999999</c:v>
                </c:pt>
                <c:pt idx="1565">
                  <c:v>13.260759</c:v>
                </c:pt>
                <c:pt idx="1566">
                  <c:v>13.56658</c:v>
                </c:pt>
                <c:pt idx="1567">
                  <c:v>13.464639</c:v>
                </c:pt>
                <c:pt idx="1568">
                  <c:v>13.643034999999999</c:v>
                </c:pt>
                <c:pt idx="1569">
                  <c:v>13.294739</c:v>
                </c:pt>
                <c:pt idx="1570">
                  <c:v>13.405174000000001</c:v>
                </c:pt>
                <c:pt idx="1571">
                  <c:v>13.634539999999999</c:v>
                </c:pt>
                <c:pt idx="1572">
                  <c:v>13.515610000000001</c:v>
                </c:pt>
                <c:pt idx="1573">
                  <c:v>13.541095</c:v>
                </c:pt>
                <c:pt idx="1574">
                  <c:v>13.498620000000001</c:v>
                </c:pt>
                <c:pt idx="1575">
                  <c:v>13.634539999999999</c:v>
                </c:pt>
                <c:pt idx="1576">
                  <c:v>14.016817</c:v>
                </c:pt>
                <c:pt idx="1577">
                  <c:v>13.668521</c:v>
                </c:pt>
                <c:pt idx="1578">
                  <c:v>13.439154</c:v>
                </c:pt>
                <c:pt idx="1579">
                  <c:v>13.515610000000001</c:v>
                </c:pt>
                <c:pt idx="1580">
                  <c:v>13.58357</c:v>
                </c:pt>
                <c:pt idx="1581">
                  <c:v>13.201293</c:v>
                </c:pt>
                <c:pt idx="1582">
                  <c:v>13.005907000000001</c:v>
                </c:pt>
                <c:pt idx="1583">
                  <c:v>12.725571</c:v>
                </c:pt>
                <c:pt idx="1584">
                  <c:v>12.802027000000001</c:v>
                </c:pt>
                <c:pt idx="1585">
                  <c:v>12.683096000000001</c:v>
                </c:pt>
                <c:pt idx="1586">
                  <c:v>12.683096000000001</c:v>
                </c:pt>
                <c:pt idx="1587">
                  <c:v>11.765632</c:v>
                </c:pt>
                <c:pt idx="1588">
                  <c:v>12.334799</c:v>
                </c:pt>
                <c:pt idx="1589">
                  <c:v>12.368779999999999</c:v>
                </c:pt>
                <c:pt idx="1590">
                  <c:v>12.173393000000001</c:v>
                </c:pt>
                <c:pt idx="1591">
                  <c:v>11.808106</c:v>
                </c:pt>
                <c:pt idx="1592">
                  <c:v>12.385769</c:v>
                </c:pt>
                <c:pt idx="1593">
                  <c:v>12.300819000000001</c:v>
                </c:pt>
                <c:pt idx="1594">
                  <c:v>12.232858999999999</c:v>
                </c:pt>
                <c:pt idx="1595">
                  <c:v>12.368779999999999</c:v>
                </c:pt>
                <c:pt idx="1596">
                  <c:v>12.581156999999999</c:v>
                </c:pt>
                <c:pt idx="1597">
                  <c:v>12.725571</c:v>
                </c:pt>
                <c:pt idx="1598">
                  <c:v>12.45373</c:v>
                </c:pt>
                <c:pt idx="1599">
                  <c:v>12.632126</c:v>
                </c:pt>
                <c:pt idx="1600">
                  <c:v>12.606641</c:v>
                </c:pt>
                <c:pt idx="1601">
                  <c:v>12.555669999999999</c:v>
                </c:pt>
                <c:pt idx="1602">
                  <c:v>12.317809</c:v>
                </c:pt>
                <c:pt idx="1603">
                  <c:v>12.360283000000001</c:v>
                </c:pt>
                <c:pt idx="1604">
                  <c:v>12.088443</c:v>
                </c:pt>
                <c:pt idx="1605">
                  <c:v>12.411254</c:v>
                </c:pt>
                <c:pt idx="1606">
                  <c:v>12.649115999999999</c:v>
                </c:pt>
                <c:pt idx="1607">
                  <c:v>14.076283</c:v>
                </c:pt>
                <c:pt idx="1608">
                  <c:v>14.568994999999999</c:v>
                </c:pt>
                <c:pt idx="1609">
                  <c:v>15.996162</c:v>
                </c:pt>
                <c:pt idx="1610">
                  <c:v>16.310479999999998</c:v>
                </c:pt>
                <c:pt idx="1611">
                  <c:v>16.573823999999998</c:v>
                </c:pt>
                <c:pt idx="1612">
                  <c:v>16.896633000000001</c:v>
                </c:pt>
                <c:pt idx="1613">
                  <c:v>16.981584999999999</c:v>
                </c:pt>
                <c:pt idx="1614">
                  <c:v>16.055630000000001</c:v>
                </c:pt>
                <c:pt idx="1615">
                  <c:v>15.919707000000001</c:v>
                </c:pt>
                <c:pt idx="1616">
                  <c:v>15.77529</c:v>
                </c:pt>
                <c:pt idx="1617">
                  <c:v>15.588400999999999</c:v>
                </c:pt>
                <c:pt idx="1618">
                  <c:v>15.605389000000001</c:v>
                </c:pt>
                <c:pt idx="1619">
                  <c:v>15.630875</c:v>
                </c:pt>
                <c:pt idx="1620">
                  <c:v>15.613885</c:v>
                </c:pt>
                <c:pt idx="1621">
                  <c:v>15.274082999999999</c:v>
                </c:pt>
                <c:pt idx="1622">
                  <c:v>15.715825000000001</c:v>
                </c:pt>
                <c:pt idx="1623">
                  <c:v>15.460976</c:v>
                </c:pt>
                <c:pt idx="1624">
                  <c:v>15.766795</c:v>
                </c:pt>
                <c:pt idx="1625">
                  <c:v>15.732817000000001</c:v>
                </c:pt>
                <c:pt idx="1626">
                  <c:v>16.081112000000001</c:v>
                </c:pt>
                <c:pt idx="1627">
                  <c:v>15.452479</c:v>
                </c:pt>
                <c:pt idx="1628">
                  <c:v>15.189133999999999</c:v>
                </c:pt>
                <c:pt idx="1629">
                  <c:v>14.568994999999999</c:v>
                </c:pt>
                <c:pt idx="1630">
                  <c:v>14.866323</c:v>
                </c:pt>
                <c:pt idx="1631">
                  <c:v>14.636953999999999</c:v>
                </c:pt>
                <c:pt idx="1632">
                  <c:v>14.594481</c:v>
                </c:pt>
                <c:pt idx="1633">
                  <c:v>14.416083</c:v>
                </c:pt>
                <c:pt idx="1634">
                  <c:v>14.314142</c:v>
                </c:pt>
                <c:pt idx="1635">
                  <c:v>14.127252</c:v>
                </c:pt>
                <c:pt idx="1636">
                  <c:v>13.75347</c:v>
                </c:pt>
                <c:pt idx="1637">
                  <c:v>13.727985</c:v>
                </c:pt>
                <c:pt idx="1638">
                  <c:v>13.872401</c:v>
                </c:pt>
                <c:pt idx="1639">
                  <c:v>13.634539999999999</c:v>
                </c:pt>
                <c:pt idx="1640">
                  <c:v>13.294739</c:v>
                </c:pt>
                <c:pt idx="1641">
                  <c:v>13.37969</c:v>
                </c:pt>
                <c:pt idx="1642">
                  <c:v>13.43066</c:v>
                </c:pt>
                <c:pt idx="1643">
                  <c:v>13.422164</c:v>
                </c:pt>
                <c:pt idx="1644">
                  <c:v>13.974342999999999</c:v>
                </c:pt>
                <c:pt idx="1645">
                  <c:v>13.863906</c:v>
                </c:pt>
                <c:pt idx="1646">
                  <c:v>14.280163999999999</c:v>
                </c:pt>
                <c:pt idx="1647">
                  <c:v>13.957352</c:v>
                </c:pt>
                <c:pt idx="1648">
                  <c:v>14.118758</c:v>
                </c:pt>
                <c:pt idx="1649">
                  <c:v>14.305649000000001</c:v>
                </c:pt>
                <c:pt idx="1650">
                  <c:v>14.059291</c:v>
                </c:pt>
                <c:pt idx="1651">
                  <c:v>14.042303</c:v>
                </c:pt>
                <c:pt idx="1652">
                  <c:v>14.110263</c:v>
                </c:pt>
                <c:pt idx="1653">
                  <c:v>13.651529999999999</c:v>
                </c:pt>
                <c:pt idx="1654">
                  <c:v>13.320224</c:v>
                </c:pt>
                <c:pt idx="1655">
                  <c:v>13.863906</c:v>
                </c:pt>
                <c:pt idx="1656">
                  <c:v>13.846916</c:v>
                </c:pt>
                <c:pt idx="1657">
                  <c:v>13.498620000000001</c:v>
                </c:pt>
                <c:pt idx="1658">
                  <c:v>13.388185</c:v>
                </c:pt>
                <c:pt idx="1659">
                  <c:v>13.252264</c:v>
                </c:pt>
                <c:pt idx="1660">
                  <c:v>13.345708999999999</c:v>
                </c:pt>
                <c:pt idx="1661">
                  <c:v>13.269253000000001</c:v>
                </c:pt>
                <c:pt idx="1662">
                  <c:v>13.099354</c:v>
                </c:pt>
                <c:pt idx="1663">
                  <c:v>13.082362</c:v>
                </c:pt>
                <c:pt idx="1664">
                  <c:v>12.598145000000001</c:v>
                </c:pt>
                <c:pt idx="1665">
                  <c:v>12.309314000000001</c:v>
                </c:pt>
                <c:pt idx="1666">
                  <c:v>12.487709000000001</c:v>
                </c:pt>
                <c:pt idx="1667">
                  <c:v>12.708582</c:v>
                </c:pt>
                <c:pt idx="1668">
                  <c:v>12.266838</c:v>
                </c:pt>
                <c:pt idx="1669">
                  <c:v>12.428245</c:v>
                </c:pt>
                <c:pt idx="1670">
                  <c:v>12.988917000000001</c:v>
                </c:pt>
                <c:pt idx="1671">
                  <c:v>13.141829</c:v>
                </c:pt>
                <c:pt idx="1672">
                  <c:v>13.294739</c:v>
                </c:pt>
                <c:pt idx="1673">
                  <c:v>13.439154</c:v>
                </c:pt>
                <c:pt idx="1674">
                  <c:v>13.345708999999999</c:v>
                </c:pt>
                <c:pt idx="1675">
                  <c:v>13.345708999999999</c:v>
                </c:pt>
                <c:pt idx="1676">
                  <c:v>13.643034999999999</c:v>
                </c:pt>
                <c:pt idx="1677">
                  <c:v>13.515610000000001</c:v>
                </c:pt>
                <c:pt idx="1678">
                  <c:v>13.354203999999999</c:v>
                </c:pt>
                <c:pt idx="1679">
                  <c:v>12.988917000000001</c:v>
                </c:pt>
                <c:pt idx="1680">
                  <c:v>13.175808</c:v>
                </c:pt>
                <c:pt idx="1681">
                  <c:v>12.776541999999999</c:v>
                </c:pt>
                <c:pt idx="1682">
                  <c:v>12.785036</c:v>
                </c:pt>
                <c:pt idx="1683">
                  <c:v>13.133331999999999</c:v>
                </c:pt>
                <c:pt idx="1684">
                  <c:v>13.524105</c:v>
                </c:pt>
                <c:pt idx="1685">
                  <c:v>13.829926</c:v>
                </c:pt>
                <c:pt idx="1686">
                  <c:v>14.084777000000001</c:v>
                </c:pt>
                <c:pt idx="1687">
                  <c:v>14.925787</c:v>
                </c:pt>
                <c:pt idx="1688">
                  <c:v>15.061707</c:v>
                </c:pt>
                <c:pt idx="1689">
                  <c:v>15.104184999999999</c:v>
                </c:pt>
                <c:pt idx="1690">
                  <c:v>15.393015</c:v>
                </c:pt>
                <c:pt idx="1691">
                  <c:v>15.622381000000001</c:v>
                </c:pt>
                <c:pt idx="1692">
                  <c:v>15.681846999999999</c:v>
                </c:pt>
                <c:pt idx="1693">
                  <c:v>15.800776000000001</c:v>
                </c:pt>
                <c:pt idx="1694">
                  <c:v>15.970677</c:v>
                </c:pt>
                <c:pt idx="1695">
                  <c:v>15.911210000000001</c:v>
                </c:pt>
                <c:pt idx="1696">
                  <c:v>16.013152999999999</c:v>
                </c:pt>
                <c:pt idx="1697">
                  <c:v>16.225527</c:v>
                </c:pt>
                <c:pt idx="1698">
                  <c:v>16.225527</c:v>
                </c:pt>
                <c:pt idx="1699">
                  <c:v>16.217033000000001</c:v>
                </c:pt>
                <c:pt idx="1700">
                  <c:v>15.987665</c:v>
                </c:pt>
                <c:pt idx="1701">
                  <c:v>16.072617000000001</c:v>
                </c:pt>
                <c:pt idx="1702">
                  <c:v>15.843252</c:v>
                </c:pt>
                <c:pt idx="1703">
                  <c:v>15.571412</c:v>
                </c:pt>
                <c:pt idx="1704">
                  <c:v>15.630875</c:v>
                </c:pt>
                <c:pt idx="1705">
                  <c:v>15.605389000000001</c:v>
                </c:pt>
                <c:pt idx="1706">
                  <c:v>15.996162</c:v>
                </c:pt>
                <c:pt idx="1707">
                  <c:v>15.911210000000001</c:v>
                </c:pt>
                <c:pt idx="1708">
                  <c:v>16.174555000000002</c:v>
                </c:pt>
                <c:pt idx="1709">
                  <c:v>15.970677</c:v>
                </c:pt>
                <c:pt idx="1710">
                  <c:v>16.064121</c:v>
                </c:pt>
                <c:pt idx="1711">
                  <c:v>15.681846999999999</c:v>
                </c:pt>
                <c:pt idx="1712">
                  <c:v>15.325054</c:v>
                </c:pt>
                <c:pt idx="1713">
                  <c:v>15.308063000000001</c:v>
                </c:pt>
                <c:pt idx="1714">
                  <c:v>15.197628</c:v>
                </c:pt>
                <c:pt idx="1715">
                  <c:v>14.764381</c:v>
                </c:pt>
                <c:pt idx="1716">
                  <c:v>14.985250000000001</c:v>
                </c:pt>
                <c:pt idx="1717">
                  <c:v>14.891807999999999</c:v>
                </c:pt>
                <c:pt idx="1718">
                  <c:v>14.789865000000001</c:v>
                </c:pt>
                <c:pt idx="1719">
                  <c:v>14.416083</c:v>
                </c:pt>
                <c:pt idx="1720">
                  <c:v>14.450065</c:v>
                </c:pt>
                <c:pt idx="1721">
                  <c:v>14.229193</c:v>
                </c:pt>
                <c:pt idx="1722">
                  <c:v>14.951271999999999</c:v>
                </c:pt>
                <c:pt idx="1723">
                  <c:v>15.257092</c:v>
                </c:pt>
                <c:pt idx="1724">
                  <c:v>15.036222</c:v>
                </c:pt>
                <c:pt idx="1725">
                  <c:v>14.968263</c:v>
                </c:pt>
                <c:pt idx="1726">
                  <c:v>14.993746</c:v>
                </c:pt>
                <c:pt idx="1727">
                  <c:v>15.877231999999999</c:v>
                </c:pt>
                <c:pt idx="1728">
                  <c:v>16.352955000000001</c:v>
                </c:pt>
                <c:pt idx="1729">
                  <c:v>16.582318999999998</c:v>
                </c:pt>
                <c:pt idx="1730">
                  <c:v>16.463387999999998</c:v>
                </c:pt>
                <c:pt idx="1731">
                  <c:v>15.970677</c:v>
                </c:pt>
                <c:pt idx="1732">
                  <c:v>16.089607000000001</c:v>
                </c:pt>
                <c:pt idx="1733">
                  <c:v>16.234022</c:v>
                </c:pt>
                <c:pt idx="1734">
                  <c:v>16.259508</c:v>
                </c:pt>
                <c:pt idx="1735">
                  <c:v>15.902715000000001</c:v>
                </c:pt>
                <c:pt idx="1736">
                  <c:v>15.707331999999999</c:v>
                </c:pt>
                <c:pt idx="1737">
                  <c:v>15.308063000000001</c:v>
                </c:pt>
                <c:pt idx="1738">
                  <c:v>15.511945000000001</c:v>
                </c:pt>
                <c:pt idx="1739">
                  <c:v>15.63937</c:v>
                </c:pt>
                <c:pt idx="1740">
                  <c:v>15.554418</c:v>
                </c:pt>
                <c:pt idx="1741">
                  <c:v>15.511945000000001</c:v>
                </c:pt>
                <c:pt idx="1742">
                  <c:v>15.869357000000001</c:v>
                </c:pt>
                <c:pt idx="1743">
                  <c:v>16.222584000000001</c:v>
                </c:pt>
                <c:pt idx="1744">
                  <c:v>16.463812000000001</c:v>
                </c:pt>
                <c:pt idx="1745">
                  <c:v>16.050280000000001</c:v>
                </c:pt>
                <c:pt idx="1746">
                  <c:v>16.033051</c:v>
                </c:pt>
                <c:pt idx="1747">
                  <c:v>15.964127</c:v>
                </c:pt>
                <c:pt idx="1748">
                  <c:v>15.989971000000001</c:v>
                </c:pt>
                <c:pt idx="1749">
                  <c:v>15.421360999999999</c:v>
                </c:pt>
                <c:pt idx="1750">
                  <c:v>15.343824</c:v>
                </c:pt>
                <c:pt idx="1751">
                  <c:v>15.231828</c:v>
                </c:pt>
                <c:pt idx="1752">
                  <c:v>15.309362999999999</c:v>
                </c:pt>
                <c:pt idx="1753">
                  <c:v>15.421360999999999</c:v>
                </c:pt>
                <c:pt idx="1754">
                  <c:v>15.516132000000001</c:v>
                </c:pt>
                <c:pt idx="1755">
                  <c:v>15.671206</c:v>
                </c:pt>
                <c:pt idx="1756">
                  <c:v>15.137058</c:v>
                </c:pt>
                <c:pt idx="1757">
                  <c:v>15.662591000000001</c:v>
                </c:pt>
                <c:pt idx="1758">
                  <c:v>15.619515</c:v>
                </c:pt>
                <c:pt idx="1759">
                  <c:v>15.662591000000001</c:v>
                </c:pt>
                <c:pt idx="1760">
                  <c:v>16.024432999999998</c:v>
                </c:pt>
                <c:pt idx="1761">
                  <c:v>16.506886999999999</c:v>
                </c:pt>
                <c:pt idx="1762">
                  <c:v>16.515502999999999</c:v>
                </c:pt>
                <c:pt idx="1763">
                  <c:v>16.730888</c:v>
                </c:pt>
                <c:pt idx="1764">
                  <c:v>16.033051</c:v>
                </c:pt>
                <c:pt idx="1765">
                  <c:v>16.145046000000001</c:v>
                </c:pt>
                <c:pt idx="1766">
                  <c:v>16.282889999999998</c:v>
                </c:pt>
                <c:pt idx="1767">
                  <c:v>16.429352000000002</c:v>
                </c:pt>
                <c:pt idx="1768">
                  <c:v>16.291508</c:v>
                </c:pt>
                <c:pt idx="1769">
                  <c:v>16.317354000000002</c:v>
                </c:pt>
                <c:pt idx="1770">
                  <c:v>16.627503999999998</c:v>
                </c:pt>
                <c:pt idx="1771">
                  <c:v>16.644732000000001</c:v>
                </c:pt>
                <c:pt idx="1772">
                  <c:v>16.377659000000001</c:v>
                </c:pt>
                <c:pt idx="1773">
                  <c:v>16.498276000000001</c:v>
                </c:pt>
                <c:pt idx="1774">
                  <c:v>15.550592</c:v>
                </c:pt>
                <c:pt idx="1775">
                  <c:v>15.395517999999999</c:v>
                </c:pt>
                <c:pt idx="1776">
                  <c:v>15.938281</c:v>
                </c:pt>
                <c:pt idx="1777">
                  <c:v>16.093357000000001</c:v>
                </c:pt>
                <c:pt idx="1778">
                  <c:v>15.79182</c:v>
                </c:pt>
                <c:pt idx="1779">
                  <c:v>16.110586000000001</c:v>
                </c:pt>
                <c:pt idx="1780">
                  <c:v>15.748745</c:v>
                </c:pt>
                <c:pt idx="1781">
                  <c:v>15.77459</c:v>
                </c:pt>
                <c:pt idx="1782">
                  <c:v>15.860744</c:v>
                </c:pt>
                <c:pt idx="1783">
                  <c:v>16.119199999999999</c:v>
                </c:pt>
                <c:pt idx="1784">
                  <c:v>16.325968</c:v>
                </c:pt>
                <c:pt idx="1785">
                  <c:v>16.386274</c:v>
                </c:pt>
                <c:pt idx="1786">
                  <c:v>16.498276000000001</c:v>
                </c:pt>
                <c:pt idx="1787">
                  <c:v>16.799809</c:v>
                </c:pt>
                <c:pt idx="1788">
                  <c:v>16.765347999999999</c:v>
                </c:pt>
                <c:pt idx="1789">
                  <c:v>16.575811000000002</c:v>
                </c:pt>
                <c:pt idx="1790">
                  <c:v>16.558579999999999</c:v>
                </c:pt>
                <c:pt idx="1791">
                  <c:v>16.291508</c:v>
                </c:pt>
                <c:pt idx="1792">
                  <c:v>16.498276000000001</c:v>
                </c:pt>
                <c:pt idx="1793">
                  <c:v>16.351811999999999</c:v>
                </c:pt>
                <c:pt idx="1794">
                  <c:v>16.239815</c:v>
                </c:pt>
                <c:pt idx="1795">
                  <c:v>16.248429999999999</c:v>
                </c:pt>
                <c:pt idx="1796">
                  <c:v>16.722270999999999</c:v>
                </c:pt>
                <c:pt idx="1797">
                  <c:v>16.179507999999998</c:v>
                </c:pt>
                <c:pt idx="1798">
                  <c:v>16.291508</c:v>
                </c:pt>
                <c:pt idx="1799">
                  <c:v>16.024432999999998</c:v>
                </c:pt>
                <c:pt idx="1800">
                  <c:v>15.679824</c:v>
                </c:pt>
                <c:pt idx="1801">
                  <c:v>15.877972</c:v>
                </c:pt>
                <c:pt idx="1802">
                  <c:v>15.817667999999999</c:v>
                </c:pt>
                <c:pt idx="1803">
                  <c:v>15.697050000000001</c:v>
                </c:pt>
                <c:pt idx="1804">
                  <c:v>15.800435999999999</c:v>
                </c:pt>
                <c:pt idx="1805">
                  <c:v>15.645357000000001</c:v>
                </c:pt>
                <c:pt idx="1806">
                  <c:v>15.852126999999999</c:v>
                </c:pt>
                <c:pt idx="1807">
                  <c:v>15.765973000000001</c:v>
                </c:pt>
                <c:pt idx="1808">
                  <c:v>15.653975000000001</c:v>
                </c:pt>
                <c:pt idx="1809">
                  <c:v>15.645357000000001</c:v>
                </c:pt>
                <c:pt idx="1810">
                  <c:v>15.653975000000001</c:v>
                </c:pt>
                <c:pt idx="1811">
                  <c:v>15.636746</c:v>
                </c:pt>
                <c:pt idx="1812">
                  <c:v>15.516132000000001</c:v>
                </c:pt>
                <c:pt idx="1813">
                  <c:v>15.507515</c:v>
                </c:pt>
                <c:pt idx="1814">
                  <c:v>15.722898000000001</c:v>
                </c:pt>
                <c:pt idx="1815">
                  <c:v>15.970606999999999</c:v>
                </c:pt>
                <c:pt idx="1816">
                  <c:v>15.935276</c:v>
                </c:pt>
                <c:pt idx="1817">
                  <c:v>16.005939000000001</c:v>
                </c:pt>
                <c:pt idx="1818">
                  <c:v>15.723273000000001</c:v>
                </c:pt>
                <c:pt idx="1819">
                  <c:v>15.899940000000001</c:v>
                </c:pt>
                <c:pt idx="1820">
                  <c:v>16.058938999999999</c:v>
                </c:pt>
                <c:pt idx="1821">
                  <c:v>15.581939999999999</c:v>
                </c:pt>
                <c:pt idx="1822">
                  <c:v>15.917607</c:v>
                </c:pt>
                <c:pt idx="1823">
                  <c:v>15.846940999999999</c:v>
                </c:pt>
                <c:pt idx="1824">
                  <c:v>16.597771000000002</c:v>
                </c:pt>
                <c:pt idx="1825">
                  <c:v>16.694936999999999</c:v>
                </c:pt>
                <c:pt idx="1826">
                  <c:v>16.588937999999999</c:v>
                </c:pt>
                <c:pt idx="1827">
                  <c:v>16.023605</c:v>
                </c:pt>
                <c:pt idx="1828">
                  <c:v>16.262104000000001</c:v>
                </c:pt>
                <c:pt idx="1829">
                  <c:v>15.979438999999999</c:v>
                </c:pt>
                <c:pt idx="1830">
                  <c:v>16.120771000000001</c:v>
                </c:pt>
                <c:pt idx="1831">
                  <c:v>16.359272000000001</c:v>
                </c:pt>
                <c:pt idx="1832">
                  <c:v>16.447604999999999</c:v>
                </c:pt>
                <c:pt idx="1833">
                  <c:v>16.323937999999998</c:v>
                </c:pt>
                <c:pt idx="1834">
                  <c:v>16.315104000000002</c:v>
                </c:pt>
                <c:pt idx="1835">
                  <c:v>16.447604999999999</c:v>
                </c:pt>
                <c:pt idx="1836">
                  <c:v>16.544771000000001</c:v>
                </c:pt>
                <c:pt idx="1837">
                  <c:v>16.535936</c:v>
                </c:pt>
                <c:pt idx="1838">
                  <c:v>16.270941000000001</c:v>
                </c:pt>
                <c:pt idx="1839">
                  <c:v>16.182607999999998</c:v>
                </c:pt>
                <c:pt idx="1840">
                  <c:v>16.253273</c:v>
                </c:pt>
                <c:pt idx="1841">
                  <c:v>16.138439000000002</c:v>
                </c:pt>
                <c:pt idx="1842">
                  <c:v>16.164940000000001</c:v>
                </c:pt>
                <c:pt idx="1843">
                  <c:v>16.297440999999999</c:v>
                </c:pt>
                <c:pt idx="1844">
                  <c:v>16.553604</c:v>
                </c:pt>
                <c:pt idx="1845">
                  <c:v>16.535936</c:v>
                </c:pt>
                <c:pt idx="1846">
                  <c:v>16.553604</c:v>
                </c:pt>
                <c:pt idx="1847">
                  <c:v>16.553604</c:v>
                </c:pt>
                <c:pt idx="1848">
                  <c:v>16.491773999999999</c:v>
                </c:pt>
                <c:pt idx="1849">
                  <c:v>16.509437999999999</c:v>
                </c:pt>
                <c:pt idx="1850">
                  <c:v>16.297440999999999</c:v>
                </c:pt>
                <c:pt idx="1851">
                  <c:v>16.315104000000002</c:v>
                </c:pt>
                <c:pt idx="1852">
                  <c:v>16.350436999999999</c:v>
                </c:pt>
                <c:pt idx="1853">
                  <c:v>16.182607999999998</c:v>
                </c:pt>
                <c:pt idx="1854">
                  <c:v>16.005939000000001</c:v>
                </c:pt>
                <c:pt idx="1855">
                  <c:v>15.952938</c:v>
                </c:pt>
                <c:pt idx="1856">
                  <c:v>16.262104000000001</c:v>
                </c:pt>
                <c:pt idx="1857">
                  <c:v>16.535936</c:v>
                </c:pt>
                <c:pt idx="1858">
                  <c:v>16.527103</c:v>
                </c:pt>
                <c:pt idx="1859">
                  <c:v>16.429936999999999</c:v>
                </c:pt>
                <c:pt idx="1860">
                  <c:v>16.456436</c:v>
                </c:pt>
                <c:pt idx="1861">
                  <c:v>16.474104000000001</c:v>
                </c:pt>
                <c:pt idx="1862">
                  <c:v>16.491773999999999</c:v>
                </c:pt>
                <c:pt idx="1863">
                  <c:v>16.624269000000002</c:v>
                </c:pt>
                <c:pt idx="1864">
                  <c:v>16.527103</c:v>
                </c:pt>
                <c:pt idx="1865">
                  <c:v>16.270941000000001</c:v>
                </c:pt>
                <c:pt idx="1866">
                  <c:v>16.279772000000001</c:v>
                </c:pt>
                <c:pt idx="1867">
                  <c:v>16.076606999999999</c:v>
                </c:pt>
                <c:pt idx="1868">
                  <c:v>16.306270999999999</c:v>
                </c:pt>
                <c:pt idx="1869">
                  <c:v>16.376937999999999</c:v>
                </c:pt>
                <c:pt idx="1870">
                  <c:v>16.235600999999999</c:v>
                </c:pt>
                <c:pt idx="1871">
                  <c:v>15.988275</c:v>
                </c:pt>
                <c:pt idx="1872">
                  <c:v>15.785106000000001</c:v>
                </c:pt>
                <c:pt idx="1873">
                  <c:v>15.369942</c:v>
                </c:pt>
                <c:pt idx="1874">
                  <c:v>15.670272000000001</c:v>
                </c:pt>
                <c:pt idx="1875">
                  <c:v>15.696774</c:v>
                </c:pt>
                <c:pt idx="1876">
                  <c:v>15.917607</c:v>
                </c:pt>
                <c:pt idx="1877">
                  <c:v>15.864604999999999</c:v>
                </c:pt>
                <c:pt idx="1878">
                  <c:v>16.306270999999999</c:v>
                </c:pt>
                <c:pt idx="1879">
                  <c:v>16.200271999999998</c:v>
                </c:pt>
                <c:pt idx="1880">
                  <c:v>15.855775</c:v>
                </c:pt>
                <c:pt idx="1881">
                  <c:v>16.032437999999999</c:v>
                </c:pt>
                <c:pt idx="1882">
                  <c:v>16.306270999999999</c:v>
                </c:pt>
                <c:pt idx="1883">
                  <c:v>16.288605</c:v>
                </c:pt>
                <c:pt idx="1884">
                  <c:v>15.899940000000001</c:v>
                </c:pt>
                <c:pt idx="1885">
                  <c:v>16.341604</c:v>
                </c:pt>
                <c:pt idx="1886">
                  <c:v>16.385773</c:v>
                </c:pt>
                <c:pt idx="1887">
                  <c:v>16.385773</c:v>
                </c:pt>
                <c:pt idx="1888">
                  <c:v>16.129605999999999</c:v>
                </c:pt>
                <c:pt idx="1889">
                  <c:v>16.226772</c:v>
                </c:pt>
                <c:pt idx="1890">
                  <c:v>16.120771000000001</c:v>
                </c:pt>
                <c:pt idx="1891">
                  <c:v>15.997107</c:v>
                </c:pt>
                <c:pt idx="1892">
                  <c:v>15.891106000000001</c:v>
                </c:pt>
                <c:pt idx="1893">
                  <c:v>16.076606999999999</c:v>
                </c:pt>
                <c:pt idx="1894">
                  <c:v>16.032437999999999</c:v>
                </c:pt>
                <c:pt idx="1895">
                  <c:v>15.793939999999999</c:v>
                </c:pt>
                <c:pt idx="1896">
                  <c:v>15.820442</c:v>
                </c:pt>
                <c:pt idx="1897">
                  <c:v>15.511274</c:v>
                </c:pt>
                <c:pt idx="1898">
                  <c:v>15.458276</c:v>
                </c:pt>
                <c:pt idx="1899">
                  <c:v>15.891106000000001</c:v>
                </c:pt>
                <c:pt idx="1900">
                  <c:v>15.793939999999999</c:v>
                </c:pt>
                <c:pt idx="1901">
                  <c:v>15.979438999999999</c:v>
                </c:pt>
                <c:pt idx="1902">
                  <c:v>15.952938</c:v>
                </c:pt>
                <c:pt idx="1903">
                  <c:v>16.120771000000001</c:v>
                </c:pt>
                <c:pt idx="1904">
                  <c:v>16.120771000000001</c:v>
                </c:pt>
                <c:pt idx="1905">
                  <c:v>16.050108000000002</c:v>
                </c:pt>
                <c:pt idx="1906">
                  <c:v>15.899940000000001</c:v>
                </c:pt>
                <c:pt idx="1907">
                  <c:v>15.944106</c:v>
                </c:pt>
                <c:pt idx="1908">
                  <c:v>15.899940000000001</c:v>
                </c:pt>
                <c:pt idx="1909">
                  <c:v>16.429936999999999</c:v>
                </c:pt>
                <c:pt idx="1910">
                  <c:v>16.712605</c:v>
                </c:pt>
                <c:pt idx="1911">
                  <c:v>16.959935999999999</c:v>
                </c:pt>
                <c:pt idx="1912">
                  <c:v>17.313268999999998</c:v>
                </c:pt>
                <c:pt idx="1913">
                  <c:v>17.180769000000002</c:v>
                </c:pt>
                <c:pt idx="1914">
                  <c:v>17.048266999999999</c:v>
                </c:pt>
                <c:pt idx="1915">
                  <c:v>17.313268999999998</c:v>
                </c:pt>
                <c:pt idx="1916">
                  <c:v>17.171935999999999</c:v>
                </c:pt>
                <c:pt idx="1917">
                  <c:v>17.039434</c:v>
                </c:pt>
                <c:pt idx="1918">
                  <c:v>17.295601000000001</c:v>
                </c:pt>
                <c:pt idx="1919">
                  <c:v>17.163101000000001</c:v>
                </c:pt>
                <c:pt idx="1920">
                  <c:v>17.233768000000001</c:v>
                </c:pt>
                <c:pt idx="1921">
                  <c:v>17.074770000000001</c:v>
                </c:pt>
                <c:pt idx="1922">
                  <c:v>16.809771000000001</c:v>
                </c:pt>
                <c:pt idx="1923">
                  <c:v>16.871603</c:v>
                </c:pt>
                <c:pt idx="1924">
                  <c:v>16.898102000000002</c:v>
                </c:pt>
                <c:pt idx="1925">
                  <c:v>17.048266999999999</c:v>
                </c:pt>
                <c:pt idx="1926">
                  <c:v>17.949265</c:v>
                </c:pt>
                <c:pt idx="1927">
                  <c:v>18.417431000000001</c:v>
                </c:pt>
                <c:pt idx="1928">
                  <c:v>20.051591999999999</c:v>
                </c:pt>
                <c:pt idx="1929">
                  <c:v>19.636423000000001</c:v>
                </c:pt>
                <c:pt idx="1930">
                  <c:v>19.521591000000001</c:v>
                </c:pt>
                <c:pt idx="1931">
                  <c:v>19.521591000000001</c:v>
                </c:pt>
                <c:pt idx="1932">
                  <c:v>20.237089000000001</c:v>
                </c:pt>
                <c:pt idx="1933">
                  <c:v>19.989756</c:v>
                </c:pt>
                <c:pt idx="1934">
                  <c:v>20.113423999999998</c:v>
                </c:pt>
                <c:pt idx="1935">
                  <c:v>20.201757000000001</c:v>
                </c:pt>
                <c:pt idx="1936">
                  <c:v>21.182252999999999</c:v>
                </c:pt>
                <c:pt idx="1937">
                  <c:v>20.740589</c:v>
                </c:pt>
                <c:pt idx="1938">
                  <c:v>20.881920000000001</c:v>
                </c:pt>
                <c:pt idx="1939">
                  <c:v>20.290091</c:v>
                </c:pt>
                <c:pt idx="1940">
                  <c:v>20.316590999999999</c:v>
                </c:pt>
                <c:pt idx="1941">
                  <c:v>20.139923</c:v>
                </c:pt>
                <c:pt idx="1942">
                  <c:v>19.64526</c:v>
                </c:pt>
                <c:pt idx="1943">
                  <c:v>19.415592</c:v>
                </c:pt>
                <c:pt idx="1944">
                  <c:v>18.691262999999999</c:v>
                </c:pt>
                <c:pt idx="1945">
                  <c:v>19.238928000000001</c:v>
                </c:pt>
                <c:pt idx="1946">
                  <c:v>18.947430000000001</c:v>
                </c:pt>
                <c:pt idx="1947">
                  <c:v>19.124093999999999</c:v>
                </c:pt>
                <c:pt idx="1948">
                  <c:v>19.654091000000001</c:v>
                </c:pt>
                <c:pt idx="1949">
                  <c:v>19.194761</c:v>
                </c:pt>
                <c:pt idx="1950">
                  <c:v>19.168261999999999</c:v>
                </c:pt>
                <c:pt idx="1951">
                  <c:v>19.344926999999998</c:v>
                </c:pt>
                <c:pt idx="1952">
                  <c:v>19.786591000000001</c:v>
                </c:pt>
                <c:pt idx="1953">
                  <c:v>20.316590999999999</c:v>
                </c:pt>
                <c:pt idx="1954">
                  <c:v>19.839592</c:v>
                </c:pt>
                <c:pt idx="1955">
                  <c:v>20.449089000000001</c:v>
                </c:pt>
                <c:pt idx="1956">
                  <c:v>20.581586999999999</c:v>
                </c:pt>
                <c:pt idx="1957">
                  <c:v>20.254759</c:v>
                </c:pt>
                <c:pt idx="1958">
                  <c:v>19.945591</c:v>
                </c:pt>
                <c:pt idx="1959">
                  <c:v>19.874925999999999</c:v>
                </c:pt>
                <c:pt idx="1960">
                  <c:v>19.662924</c:v>
                </c:pt>
                <c:pt idx="1961">
                  <c:v>19.362594999999999</c:v>
                </c:pt>
                <c:pt idx="1962">
                  <c:v>19.618759000000001</c:v>
                </c:pt>
                <c:pt idx="1963">
                  <c:v>19.662924</c:v>
                </c:pt>
                <c:pt idx="1964">
                  <c:v>19.583427</c:v>
                </c:pt>
                <c:pt idx="1965">
                  <c:v>19.910259</c:v>
                </c:pt>
                <c:pt idx="1966">
                  <c:v>20.095758</c:v>
                </c:pt>
                <c:pt idx="1967">
                  <c:v>19.601092999999999</c:v>
                </c:pt>
                <c:pt idx="1968">
                  <c:v>20.060423</c:v>
                </c:pt>
                <c:pt idx="1969">
                  <c:v>19.972090000000001</c:v>
                </c:pt>
                <c:pt idx="1970">
                  <c:v>20.316590999999999</c:v>
                </c:pt>
                <c:pt idx="1971">
                  <c:v>20.184092</c:v>
                </c:pt>
                <c:pt idx="1972">
                  <c:v>20.139923</c:v>
                </c:pt>
                <c:pt idx="1973">
                  <c:v>19.910259</c:v>
                </c:pt>
                <c:pt idx="1974">
                  <c:v>19.786591000000001</c:v>
                </c:pt>
                <c:pt idx="1975">
                  <c:v>19.654091000000001</c:v>
                </c:pt>
                <c:pt idx="1976">
                  <c:v>19.715924999999999</c:v>
                </c:pt>
                <c:pt idx="1977">
                  <c:v>19.760093999999999</c:v>
                </c:pt>
                <c:pt idx="1978">
                  <c:v>19.733592999999999</c:v>
                </c:pt>
                <c:pt idx="1979">
                  <c:v>19.813092999999999</c:v>
                </c:pt>
                <c:pt idx="1980">
                  <c:v>20.228255999999998</c:v>
                </c:pt>
                <c:pt idx="1981">
                  <c:v>20.263591999999999</c:v>
                </c:pt>
                <c:pt idx="1982">
                  <c:v>20.228255999999998</c:v>
                </c:pt>
                <c:pt idx="1983">
                  <c:v>20.34309</c:v>
                </c:pt>
                <c:pt idx="1984">
                  <c:v>20.378423999999999</c:v>
                </c:pt>
                <c:pt idx="1985">
                  <c:v>20.457922</c:v>
                </c:pt>
                <c:pt idx="1986">
                  <c:v>20.016255999999998</c:v>
                </c:pt>
                <c:pt idx="1987">
                  <c:v>20.095758</c:v>
                </c:pt>
                <c:pt idx="1988">
                  <c:v>20.899588000000001</c:v>
                </c:pt>
                <c:pt idx="1989">
                  <c:v>21.288253999999998</c:v>
                </c:pt>
                <c:pt idx="1990">
                  <c:v>21.102754999999998</c:v>
                </c:pt>
                <c:pt idx="1991">
                  <c:v>21.111585999999999</c:v>
                </c:pt>
                <c:pt idx="1992">
                  <c:v>21.102754999999998</c:v>
                </c:pt>
                <c:pt idx="1993">
                  <c:v>20.979088000000001</c:v>
                </c:pt>
                <c:pt idx="1994">
                  <c:v>20.979088000000001</c:v>
                </c:pt>
                <c:pt idx="1995">
                  <c:v>21.51792</c:v>
                </c:pt>
                <c:pt idx="1996">
                  <c:v>21.703419</c:v>
                </c:pt>
                <c:pt idx="1997">
                  <c:v>22.074417</c:v>
                </c:pt>
                <c:pt idx="1998">
                  <c:v>22.030251</c:v>
                </c:pt>
                <c:pt idx="1999">
                  <c:v>21.500252</c:v>
                </c:pt>
                <c:pt idx="2000">
                  <c:v>20.934923000000001</c:v>
                </c:pt>
                <c:pt idx="2001">
                  <c:v>21.500252</c:v>
                </c:pt>
                <c:pt idx="2002">
                  <c:v>21.438419</c:v>
                </c:pt>
                <c:pt idx="2003">
                  <c:v>21.191088000000001</c:v>
                </c:pt>
                <c:pt idx="2004">
                  <c:v>21.429586</c:v>
                </c:pt>
                <c:pt idx="2005">
                  <c:v>21.632750999999999</c:v>
                </c:pt>
                <c:pt idx="2006">
                  <c:v>22.145081999999999</c:v>
                </c:pt>
                <c:pt idx="2007">
                  <c:v>22.401249</c:v>
                </c:pt>
                <c:pt idx="2008">
                  <c:v>22.763415999999999</c:v>
                </c:pt>
                <c:pt idx="2009">
                  <c:v>22.825247000000001</c:v>
                </c:pt>
                <c:pt idx="2010">
                  <c:v>22.736913999999999</c:v>
                </c:pt>
                <c:pt idx="2011">
                  <c:v>22.436582999999999</c:v>
                </c:pt>
                <c:pt idx="2012">
                  <c:v>22.622084000000001</c:v>
                </c:pt>
                <c:pt idx="2013">
                  <c:v>22.569082000000002</c:v>
                </c:pt>
                <c:pt idx="2014">
                  <c:v>22.145081999999999</c:v>
                </c:pt>
                <c:pt idx="2015">
                  <c:v>22.454248</c:v>
                </c:pt>
                <c:pt idx="2016">
                  <c:v>22.851748000000001</c:v>
                </c:pt>
                <c:pt idx="2017">
                  <c:v>22.745747000000001</c:v>
                </c:pt>
                <c:pt idx="2018">
                  <c:v>22.595583000000001</c:v>
                </c:pt>
                <c:pt idx="2019">
                  <c:v>21.862418999999999</c:v>
                </c:pt>
                <c:pt idx="2020">
                  <c:v>22.021415999999999</c:v>
                </c:pt>
                <c:pt idx="2021">
                  <c:v>22.675079</c:v>
                </c:pt>
                <c:pt idx="2022">
                  <c:v>22.42775</c:v>
                </c:pt>
                <c:pt idx="2023">
                  <c:v>21.30592</c:v>
                </c:pt>
                <c:pt idx="2024">
                  <c:v>22.100918</c:v>
                </c:pt>
                <c:pt idx="2025">
                  <c:v>21.535585000000001</c:v>
                </c:pt>
                <c:pt idx="2026">
                  <c:v>21.464915999999999</c:v>
                </c:pt>
                <c:pt idx="2027">
                  <c:v>21.350086000000001</c:v>
                </c:pt>
                <c:pt idx="2028">
                  <c:v>21.51792</c:v>
                </c:pt>
                <c:pt idx="2029">
                  <c:v>21.615086000000002</c:v>
                </c:pt>
                <c:pt idx="2030">
                  <c:v>22.383581</c:v>
                </c:pt>
                <c:pt idx="2031">
                  <c:v>26.022901999999998</c:v>
                </c:pt>
                <c:pt idx="2032">
                  <c:v>25.545904</c:v>
                </c:pt>
                <c:pt idx="2033">
                  <c:v>25.404572000000002</c:v>
                </c:pt>
                <c:pt idx="2034">
                  <c:v>24.989407</c:v>
                </c:pt>
                <c:pt idx="2035">
                  <c:v>25.183738999999999</c:v>
                </c:pt>
                <c:pt idx="2036">
                  <c:v>25.749071000000001</c:v>
                </c:pt>
                <c:pt idx="2037">
                  <c:v>25.236737999999999</c:v>
                </c:pt>
                <c:pt idx="2038">
                  <c:v>25.051241000000001</c:v>
                </c:pt>
                <c:pt idx="2039">
                  <c:v>25.166073000000001</c:v>
                </c:pt>
                <c:pt idx="2040">
                  <c:v>24.839238999999999</c:v>
                </c:pt>
                <c:pt idx="2041">
                  <c:v>24.070741999999999</c:v>
                </c:pt>
                <c:pt idx="2042">
                  <c:v>24.538907999999999</c:v>
                </c:pt>
                <c:pt idx="2043">
                  <c:v>24.777405000000002</c:v>
                </c:pt>
                <c:pt idx="2044">
                  <c:v>24.733239999999999</c:v>
                </c:pt>
                <c:pt idx="2045">
                  <c:v>24.57424</c:v>
                </c:pt>
                <c:pt idx="2046">
                  <c:v>24.415239</c:v>
                </c:pt>
                <c:pt idx="2047">
                  <c:v>24.220907</c:v>
                </c:pt>
                <c:pt idx="2048">
                  <c:v>24.097242000000001</c:v>
                </c:pt>
                <c:pt idx="2049">
                  <c:v>23.841076000000001</c:v>
                </c:pt>
                <c:pt idx="2050">
                  <c:v>23.311077000000001</c:v>
                </c:pt>
                <c:pt idx="2051">
                  <c:v>23.540742999999999</c:v>
                </c:pt>
                <c:pt idx="2052">
                  <c:v>23.558413000000002</c:v>
                </c:pt>
                <c:pt idx="2053">
                  <c:v>24.503571999999998</c:v>
                </c:pt>
                <c:pt idx="2054">
                  <c:v>24.627238999999999</c:v>
                </c:pt>
                <c:pt idx="2055">
                  <c:v>24.980571999999999</c:v>
                </c:pt>
                <c:pt idx="2056">
                  <c:v>24.980571999999999</c:v>
                </c:pt>
                <c:pt idx="2057">
                  <c:v>24.521242000000001</c:v>
                </c:pt>
                <c:pt idx="2058">
                  <c:v>23.858744000000002</c:v>
                </c:pt>
                <c:pt idx="2059">
                  <c:v>24.856907</c:v>
                </c:pt>
                <c:pt idx="2060">
                  <c:v>26.517565000000001</c:v>
                </c:pt>
                <c:pt idx="2061">
                  <c:v>26.190735</c:v>
                </c:pt>
                <c:pt idx="2062">
                  <c:v>26.376234</c:v>
                </c:pt>
                <c:pt idx="2063">
                  <c:v>26.941562999999999</c:v>
                </c:pt>
                <c:pt idx="2064">
                  <c:v>27.480395999999999</c:v>
                </c:pt>
                <c:pt idx="2065">
                  <c:v>27.798394999999999</c:v>
                </c:pt>
                <c:pt idx="2066">
                  <c:v>27.259563</c:v>
                </c:pt>
                <c:pt idx="2067">
                  <c:v>26.402730999999999</c:v>
                </c:pt>
                <c:pt idx="2068">
                  <c:v>26.252566999999999</c:v>
                </c:pt>
                <c:pt idx="2069">
                  <c:v>26.058235</c:v>
                </c:pt>
                <c:pt idx="2070">
                  <c:v>27.471563</c:v>
                </c:pt>
                <c:pt idx="2071">
                  <c:v>27.100565</c:v>
                </c:pt>
                <c:pt idx="2072">
                  <c:v>27.506895</c:v>
                </c:pt>
                <c:pt idx="2073">
                  <c:v>26.455734</c:v>
                </c:pt>
                <c:pt idx="2074">
                  <c:v>26.915064000000001</c:v>
                </c:pt>
                <c:pt idx="2075">
                  <c:v>27.966227</c:v>
                </c:pt>
                <c:pt idx="2076">
                  <c:v>27.648228</c:v>
                </c:pt>
                <c:pt idx="2077">
                  <c:v>27.621728999999998</c:v>
                </c:pt>
                <c:pt idx="2078">
                  <c:v>26.906230999999998</c:v>
                </c:pt>
                <c:pt idx="2079">
                  <c:v>27.983893999999999</c:v>
                </c:pt>
                <c:pt idx="2080">
                  <c:v>27.992726999999999</c:v>
                </c:pt>
                <c:pt idx="2081">
                  <c:v>27.277228999999998</c:v>
                </c:pt>
                <c:pt idx="2082">
                  <c:v>26.976897999999998</c:v>
                </c:pt>
                <c:pt idx="2083">
                  <c:v>27.321397999999999</c:v>
                </c:pt>
                <c:pt idx="2084">
                  <c:v>27.144729999999999</c:v>
                </c:pt>
                <c:pt idx="2085">
                  <c:v>27.100565</c:v>
                </c:pt>
                <c:pt idx="2086">
                  <c:v>27.029897999999999</c:v>
                </c:pt>
                <c:pt idx="2087">
                  <c:v>26.809065</c:v>
                </c:pt>
                <c:pt idx="2088">
                  <c:v>26.994564</c:v>
                </c:pt>
                <c:pt idx="2089">
                  <c:v>26.535233999999999</c:v>
                </c:pt>
                <c:pt idx="2090">
                  <c:v>26.703066</c:v>
                </c:pt>
                <c:pt idx="2091">
                  <c:v>26.676566999999999</c:v>
                </c:pt>
                <c:pt idx="2092">
                  <c:v>26.959230000000002</c:v>
                </c:pt>
                <c:pt idx="2093">
                  <c:v>27.241897999999999</c:v>
                </c:pt>
                <c:pt idx="2094">
                  <c:v>26.879732000000001</c:v>
                </c:pt>
                <c:pt idx="2095">
                  <c:v>27.250730999999998</c:v>
                </c:pt>
                <c:pt idx="2096">
                  <c:v>27.736560999999998</c:v>
                </c:pt>
                <c:pt idx="2097">
                  <c:v>28.001560000000001</c:v>
                </c:pt>
                <c:pt idx="2098">
                  <c:v>28.116394</c:v>
                </c:pt>
                <c:pt idx="2099">
                  <c:v>27.727727999999999</c:v>
                </c:pt>
                <c:pt idx="2100">
                  <c:v>27.763062000000001</c:v>
                </c:pt>
                <c:pt idx="2101">
                  <c:v>27.453896</c:v>
                </c:pt>
                <c:pt idx="2102">
                  <c:v>27.701229000000001</c:v>
                </c:pt>
                <c:pt idx="2103">
                  <c:v>27.780730999999999</c:v>
                </c:pt>
                <c:pt idx="2104">
                  <c:v>27.692395999999999</c:v>
                </c:pt>
                <c:pt idx="2105">
                  <c:v>27.780730999999999</c:v>
                </c:pt>
                <c:pt idx="2106">
                  <c:v>27.992726999999999</c:v>
                </c:pt>
                <c:pt idx="2107">
                  <c:v>28.390224</c:v>
                </c:pt>
                <c:pt idx="2108">
                  <c:v>28.001560000000001</c:v>
                </c:pt>
                <c:pt idx="2109">
                  <c:v>29.856556000000001</c:v>
                </c:pt>
                <c:pt idx="2110">
                  <c:v>29.618054999999998</c:v>
                </c:pt>
                <c:pt idx="2111">
                  <c:v>29.600386</c:v>
                </c:pt>
                <c:pt idx="2112">
                  <c:v>29.644556000000001</c:v>
                </c:pt>
                <c:pt idx="2113">
                  <c:v>29.317720000000001</c:v>
                </c:pt>
                <c:pt idx="2114">
                  <c:v>28.770056</c:v>
                </c:pt>
                <c:pt idx="2115">
                  <c:v>28.805391</c:v>
                </c:pt>
                <c:pt idx="2116">
                  <c:v>29.830055000000002</c:v>
                </c:pt>
                <c:pt idx="2117">
                  <c:v>30.130388</c:v>
                </c:pt>
                <c:pt idx="2118">
                  <c:v>29.591555</c:v>
                </c:pt>
                <c:pt idx="2119">
                  <c:v>29.185223000000001</c:v>
                </c:pt>
                <c:pt idx="2120">
                  <c:v>28.840727000000001</c:v>
                </c:pt>
                <c:pt idx="2121">
                  <c:v>30.174553</c:v>
                </c:pt>
                <c:pt idx="2122">
                  <c:v>29.370722000000001</c:v>
                </c:pt>
                <c:pt idx="2123">
                  <c:v>29.185223000000001</c:v>
                </c:pt>
                <c:pt idx="2124">
                  <c:v>28.761227000000002</c:v>
                </c:pt>
                <c:pt idx="2125">
                  <c:v>27.259563</c:v>
                </c:pt>
                <c:pt idx="2126">
                  <c:v>28.575724000000001</c:v>
                </c:pt>
                <c:pt idx="2127">
                  <c:v>29.494389999999999</c:v>
                </c:pt>
                <c:pt idx="2128">
                  <c:v>29.865386999999998</c:v>
                </c:pt>
                <c:pt idx="2129">
                  <c:v>30.148052</c:v>
                </c:pt>
                <c:pt idx="2130">
                  <c:v>30.404216999999999</c:v>
                </c:pt>
                <c:pt idx="2131">
                  <c:v>30.890055</c:v>
                </c:pt>
                <c:pt idx="2132">
                  <c:v>30.872385000000001</c:v>
                </c:pt>
                <c:pt idx="2133">
                  <c:v>30.669215999999999</c:v>
                </c:pt>
                <c:pt idx="2134">
                  <c:v>30.669215999999999</c:v>
                </c:pt>
                <c:pt idx="2135">
                  <c:v>30.810552999999999</c:v>
                </c:pt>
                <c:pt idx="2136">
                  <c:v>30.731051999999998</c:v>
                </c:pt>
                <c:pt idx="2137">
                  <c:v>31.870552</c:v>
                </c:pt>
                <c:pt idx="2138">
                  <c:v>31.791048</c:v>
                </c:pt>
                <c:pt idx="2139">
                  <c:v>32.771545000000003</c:v>
                </c:pt>
                <c:pt idx="2140">
                  <c:v>32.700873999999999</c:v>
                </c:pt>
                <c:pt idx="2141">
                  <c:v>32.877544</c:v>
                </c:pt>
                <c:pt idx="2142">
                  <c:v>33.107208</c:v>
                </c:pt>
                <c:pt idx="2143">
                  <c:v>33.257378000000003</c:v>
                </c:pt>
                <c:pt idx="2144">
                  <c:v>33.310375000000001</c:v>
                </c:pt>
                <c:pt idx="2145">
                  <c:v>33.990535999999999</c:v>
                </c:pt>
                <c:pt idx="2146">
                  <c:v>33.584206000000002</c:v>
                </c:pt>
                <c:pt idx="2147">
                  <c:v>33.434040000000003</c:v>
                </c:pt>
                <c:pt idx="2148">
                  <c:v>33.654873000000002</c:v>
                </c:pt>
                <c:pt idx="2149">
                  <c:v>33.928707000000003</c:v>
                </c:pt>
                <c:pt idx="2150">
                  <c:v>35.068202999999997</c:v>
                </c:pt>
                <c:pt idx="2151">
                  <c:v>34.370373000000001</c:v>
                </c:pt>
                <c:pt idx="2152">
                  <c:v>34.131869999999999</c:v>
                </c:pt>
                <c:pt idx="2153">
                  <c:v>34.096535000000003</c:v>
                </c:pt>
                <c:pt idx="2154">
                  <c:v>33.893687999999997</c:v>
                </c:pt>
                <c:pt idx="2155">
                  <c:v>33.347602999999999</c:v>
                </c:pt>
                <c:pt idx="2156">
                  <c:v>33.338501000000001</c:v>
                </c:pt>
                <c:pt idx="2157">
                  <c:v>33.911884000000001</c:v>
                </c:pt>
                <c:pt idx="2158">
                  <c:v>34.166728999999997</c:v>
                </c:pt>
                <c:pt idx="2159">
                  <c:v>34.403365999999998</c:v>
                </c:pt>
                <c:pt idx="2160">
                  <c:v>34.612698000000002</c:v>
                </c:pt>
                <c:pt idx="2161">
                  <c:v>35.586548000000001</c:v>
                </c:pt>
                <c:pt idx="2162">
                  <c:v>35.522838999999998</c:v>
                </c:pt>
                <c:pt idx="2163">
                  <c:v>35.586548000000001</c:v>
                </c:pt>
                <c:pt idx="2164">
                  <c:v>35.632057000000003</c:v>
                </c:pt>
                <c:pt idx="2165">
                  <c:v>35.286200999999998</c:v>
                </c:pt>
                <c:pt idx="2166">
                  <c:v>35.013160999999997</c:v>
                </c:pt>
                <c:pt idx="2167">
                  <c:v>35.122379000000002</c:v>
                </c:pt>
                <c:pt idx="2168">
                  <c:v>35.886893999999998</c:v>
                </c:pt>
                <c:pt idx="2169">
                  <c:v>35.058666000000002</c:v>
                </c:pt>
                <c:pt idx="2170">
                  <c:v>35.941504999999999</c:v>
                </c:pt>
                <c:pt idx="2171">
                  <c:v>35.750374000000001</c:v>
                </c:pt>
                <c:pt idx="2172">
                  <c:v>35.996113000000001</c:v>
                </c:pt>
                <c:pt idx="2173">
                  <c:v>35.040466000000002</c:v>
                </c:pt>
                <c:pt idx="2174">
                  <c:v>34.867534999999997</c:v>
                </c:pt>
                <c:pt idx="2175">
                  <c:v>33.720756999999999</c:v>
                </c:pt>
                <c:pt idx="2176">
                  <c:v>33.438614000000001</c:v>
                </c:pt>
                <c:pt idx="2177">
                  <c:v>34.002903000000003</c:v>
                </c:pt>
                <c:pt idx="2178">
                  <c:v>34.649104999999999</c:v>
                </c:pt>
                <c:pt idx="2179">
                  <c:v>33.520527000000001</c:v>
                </c:pt>
                <c:pt idx="2180">
                  <c:v>31.845866999999998</c:v>
                </c:pt>
                <c:pt idx="2181">
                  <c:v>32.965342999999997</c:v>
                </c:pt>
                <c:pt idx="2182">
                  <c:v>31.791257999999999</c:v>
                </c:pt>
                <c:pt idx="2183">
                  <c:v>30.489754000000001</c:v>
                </c:pt>
                <c:pt idx="2184">
                  <c:v>30.216712999999999</c:v>
                </c:pt>
                <c:pt idx="2185">
                  <c:v>31.481812000000001</c:v>
                </c:pt>
                <c:pt idx="2186">
                  <c:v>30.937391000000002</c:v>
                </c:pt>
                <c:pt idx="2187">
                  <c:v>32.279181999999999</c:v>
                </c:pt>
                <c:pt idx="2188">
                  <c:v>32.164993000000003</c:v>
                </c:pt>
                <c:pt idx="2189">
                  <c:v>32.640804000000003</c:v>
                </c:pt>
                <c:pt idx="2190">
                  <c:v>32.621772999999997</c:v>
                </c:pt>
                <c:pt idx="2191">
                  <c:v>32.440964000000001</c:v>
                </c:pt>
                <c:pt idx="2192">
                  <c:v>31.641596</c:v>
                </c:pt>
                <c:pt idx="2193">
                  <c:v>31.831921000000001</c:v>
                </c:pt>
                <c:pt idx="2194">
                  <c:v>32.241123000000002</c:v>
                </c:pt>
                <c:pt idx="2195">
                  <c:v>31.9937</c:v>
                </c:pt>
                <c:pt idx="2196">
                  <c:v>31.698694</c:v>
                </c:pt>
                <c:pt idx="2197">
                  <c:v>30.994489999999999</c:v>
                </c:pt>
                <c:pt idx="2198">
                  <c:v>29.909635999999999</c:v>
                </c:pt>
                <c:pt idx="2199">
                  <c:v>29.681246000000002</c:v>
                </c:pt>
                <c:pt idx="2200">
                  <c:v>30.147542999999999</c:v>
                </c:pt>
                <c:pt idx="2201">
                  <c:v>31.717731000000001</c:v>
                </c:pt>
                <c:pt idx="2202">
                  <c:v>32.602741000000002</c:v>
                </c:pt>
                <c:pt idx="2203">
                  <c:v>33.430655999999999</c:v>
                </c:pt>
                <c:pt idx="2204">
                  <c:v>32.907265000000002</c:v>
                </c:pt>
                <c:pt idx="2205">
                  <c:v>31.965150999999999</c:v>
                </c:pt>
                <c:pt idx="2206">
                  <c:v>32.031761000000003</c:v>
                </c:pt>
                <c:pt idx="2207">
                  <c:v>32.117409000000002</c:v>
                </c:pt>
                <c:pt idx="2208">
                  <c:v>32.193542000000001</c:v>
                </c:pt>
                <c:pt idx="2209">
                  <c:v>31.908693</c:v>
                </c:pt>
                <c:pt idx="2210">
                  <c:v>31.285132999999998</c:v>
                </c:pt>
                <c:pt idx="2211">
                  <c:v>31.070785999999998</c:v>
                </c:pt>
                <c:pt idx="2212">
                  <c:v>31.177959000000001</c:v>
                </c:pt>
                <c:pt idx="2213">
                  <c:v>31.022069999999999</c:v>
                </c:pt>
                <c:pt idx="2214">
                  <c:v>31.275389000000001</c:v>
                </c:pt>
                <c:pt idx="2215">
                  <c:v>30.301079000000001</c:v>
                </c:pt>
                <c:pt idx="2216">
                  <c:v>30.291336000000001</c:v>
                </c:pt>
                <c:pt idx="2217">
                  <c:v>30.525171</c:v>
                </c:pt>
                <c:pt idx="2218">
                  <c:v>30.106216</c:v>
                </c:pt>
                <c:pt idx="2219">
                  <c:v>29.492401000000001</c:v>
                </c:pt>
                <c:pt idx="2220">
                  <c:v>29.433941000000001</c:v>
                </c:pt>
                <c:pt idx="2221">
                  <c:v>29.735979</c:v>
                </c:pt>
                <c:pt idx="2222">
                  <c:v>30.164674999999999</c:v>
                </c:pt>
                <c:pt idx="2223">
                  <c:v>30.125703999999999</c:v>
                </c:pt>
                <c:pt idx="2224">
                  <c:v>30.184162000000001</c:v>
                </c:pt>
                <c:pt idx="2225">
                  <c:v>30.340052</c:v>
                </c:pt>
                <c:pt idx="2226">
                  <c:v>30.252362999999999</c:v>
                </c:pt>
                <c:pt idx="2227">
                  <c:v>29.911356000000001</c:v>
                </c:pt>
                <c:pt idx="2228">
                  <c:v>29.862638</c:v>
                </c:pt>
                <c:pt idx="2229">
                  <c:v>29.882126</c:v>
                </c:pt>
                <c:pt idx="2230">
                  <c:v>29.755465999999998</c:v>
                </c:pt>
                <c:pt idx="2231">
                  <c:v>29.735979</c:v>
                </c:pt>
                <c:pt idx="2232">
                  <c:v>29.687263000000002</c:v>
                </c:pt>
                <c:pt idx="2233">
                  <c:v>29.472916000000001</c:v>
                </c:pt>
                <c:pt idx="2234">
                  <c:v>29.472916000000001</c:v>
                </c:pt>
                <c:pt idx="2235">
                  <c:v>29.511889</c:v>
                </c:pt>
                <c:pt idx="2236">
                  <c:v>28.693466000000001</c:v>
                </c:pt>
                <c:pt idx="2237">
                  <c:v>29.122161999999999</c:v>
                </c:pt>
                <c:pt idx="2238">
                  <c:v>29.268311000000001</c:v>
                </c:pt>
                <c:pt idx="2239">
                  <c:v>29.180622</c:v>
                </c:pt>
                <c:pt idx="2240">
                  <c:v>28.196567999999999</c:v>
                </c:pt>
                <c:pt idx="2241">
                  <c:v>26.686384</c:v>
                </c:pt>
                <c:pt idx="2242">
                  <c:v>27.290458999999998</c:v>
                </c:pt>
                <c:pt idx="2243">
                  <c:v>26.423321000000001</c:v>
                </c:pt>
                <c:pt idx="2244">
                  <c:v>24.065488999999999</c:v>
                </c:pt>
                <c:pt idx="2245">
                  <c:v>23.870625</c:v>
                </c:pt>
                <c:pt idx="2246">
                  <c:v>23.695250000000001</c:v>
                </c:pt>
                <c:pt idx="2247">
                  <c:v>21.629708999999998</c:v>
                </c:pt>
                <c:pt idx="2248">
                  <c:v>21.483561999999999</c:v>
                </c:pt>
                <c:pt idx="2249">
                  <c:v>22.964516</c:v>
                </c:pt>
                <c:pt idx="2250">
                  <c:v>22.009691</c:v>
                </c:pt>
                <c:pt idx="2251">
                  <c:v>22.516332999999999</c:v>
                </c:pt>
                <c:pt idx="2252">
                  <c:v>22.477360000000001</c:v>
                </c:pt>
                <c:pt idx="2253">
                  <c:v>22.828112000000001</c:v>
                </c:pt>
                <c:pt idx="2254">
                  <c:v>22.857340000000001</c:v>
                </c:pt>
                <c:pt idx="2255">
                  <c:v>22.224039000000001</c:v>
                </c:pt>
                <c:pt idx="2256">
                  <c:v>21.999949000000001</c:v>
                </c:pt>
                <c:pt idx="2257">
                  <c:v>21.980460999999998</c:v>
                </c:pt>
                <c:pt idx="2258">
                  <c:v>21.376389</c:v>
                </c:pt>
                <c:pt idx="2259">
                  <c:v>21.337416000000001</c:v>
                </c:pt>
                <c:pt idx="2260">
                  <c:v>21.464077</c:v>
                </c:pt>
                <c:pt idx="2261">
                  <c:v>21.317927999999998</c:v>
                </c:pt>
                <c:pt idx="2262">
                  <c:v>21.542023</c:v>
                </c:pt>
                <c:pt idx="2263">
                  <c:v>22.243525000000002</c:v>
                </c:pt>
                <c:pt idx="2264">
                  <c:v>22.185068000000001</c:v>
                </c:pt>
                <c:pt idx="2265">
                  <c:v>22.370186</c:v>
                </c:pt>
                <c:pt idx="2266">
                  <c:v>22.379929000000001</c:v>
                </c:pt>
                <c:pt idx="2267">
                  <c:v>22.428643999999998</c:v>
                </c:pt>
                <c:pt idx="2268">
                  <c:v>22.214293999999999</c:v>
                </c:pt>
                <c:pt idx="2269">
                  <c:v>21.619966999999999</c:v>
                </c:pt>
                <c:pt idx="2270">
                  <c:v>20.898976999999999</c:v>
                </c:pt>
                <c:pt idx="2271">
                  <c:v>21.308187</c:v>
                </c:pt>
                <c:pt idx="2272">
                  <c:v>20.216958999999999</c:v>
                </c:pt>
                <c:pt idx="2273">
                  <c:v>20.665140000000001</c:v>
                </c:pt>
                <c:pt idx="2274">
                  <c:v>20.255932000000001</c:v>
                </c:pt>
                <c:pt idx="2275">
                  <c:v>20.830772</c:v>
                </c:pt>
                <c:pt idx="2276">
                  <c:v>20.762571000000001</c:v>
                </c:pt>
                <c:pt idx="2277">
                  <c:v>20.421562000000002</c:v>
                </c:pt>
                <c:pt idx="2278">
                  <c:v>20.148755999999999</c:v>
                </c:pt>
                <c:pt idx="2279">
                  <c:v>19.388794000000001</c:v>
                </c:pt>
                <c:pt idx="2280">
                  <c:v>19.077013000000001</c:v>
                </c:pt>
                <c:pt idx="2281">
                  <c:v>17.284281</c:v>
                </c:pt>
                <c:pt idx="2282">
                  <c:v>16.767894999999999</c:v>
                </c:pt>
                <c:pt idx="2283">
                  <c:v>17.907838999999999</c:v>
                </c:pt>
                <c:pt idx="2284">
                  <c:v>17.742207000000001</c:v>
                </c:pt>
                <c:pt idx="2285">
                  <c:v>17.586317000000001</c:v>
                </c:pt>
                <c:pt idx="2286">
                  <c:v>17.966298999999999</c:v>
                </c:pt>
                <c:pt idx="2287">
                  <c:v>17.781179000000002</c:v>
                </c:pt>
                <c:pt idx="2288">
                  <c:v>17.820153999999999</c:v>
                </c:pt>
                <c:pt idx="2289">
                  <c:v>17.927326000000001</c:v>
                </c:pt>
                <c:pt idx="2290">
                  <c:v>18.005272000000001</c:v>
                </c:pt>
                <c:pt idx="2291">
                  <c:v>18.365767000000002</c:v>
                </c:pt>
                <c:pt idx="2292">
                  <c:v>18.648316999999999</c:v>
                </c:pt>
                <c:pt idx="2293">
                  <c:v>19.671344999999999</c:v>
                </c:pt>
                <c:pt idx="2294">
                  <c:v>19.310848</c:v>
                </c:pt>
                <c:pt idx="2295">
                  <c:v>19.398537000000001</c:v>
                </c:pt>
                <c:pt idx="2296">
                  <c:v>19.271877</c:v>
                </c:pt>
                <c:pt idx="2297">
                  <c:v>19.398537000000001</c:v>
                </c:pt>
                <c:pt idx="2298">
                  <c:v>19.534939000000001</c:v>
                </c:pt>
                <c:pt idx="2299">
                  <c:v>19.418023999999999</c:v>
                </c:pt>
                <c:pt idx="2300">
                  <c:v>19.476479999999999</c:v>
                </c:pt>
                <c:pt idx="2301">
                  <c:v>19.456994999999999</c:v>
                </c:pt>
                <c:pt idx="2302">
                  <c:v>19.554425999999999</c:v>
                </c:pt>
                <c:pt idx="2303">
                  <c:v>19.583656000000001</c:v>
                </c:pt>
                <c:pt idx="2304">
                  <c:v>19.476479999999999</c:v>
                </c:pt>
                <c:pt idx="2305">
                  <c:v>19.690828</c:v>
                </c:pt>
                <c:pt idx="2306">
                  <c:v>19.6616</c:v>
                </c:pt>
                <c:pt idx="2307">
                  <c:v>19.554425999999999</c:v>
                </c:pt>
                <c:pt idx="2308">
                  <c:v>18.940611000000001</c:v>
                </c:pt>
                <c:pt idx="2309">
                  <c:v>17.654520000000002</c:v>
                </c:pt>
                <c:pt idx="2310">
                  <c:v>16.884813000000001</c:v>
                </c:pt>
                <c:pt idx="2311">
                  <c:v>16.777639000000001</c:v>
                </c:pt>
                <c:pt idx="2312">
                  <c:v>17.332998</c:v>
                </c:pt>
                <c:pt idx="2313">
                  <c:v>17.937069000000001</c:v>
                </c:pt>
                <c:pt idx="2314">
                  <c:v>17.868867999999999</c:v>
                </c:pt>
                <c:pt idx="2315">
                  <c:v>17.118649000000001</c:v>
                </c:pt>
                <c:pt idx="2316">
                  <c:v>17.294024</c:v>
                </c:pt>
                <c:pt idx="2317">
                  <c:v>17.547346000000001</c:v>
                </c:pt>
                <c:pt idx="2318">
                  <c:v>17.576575999999999</c:v>
                </c:pt>
                <c:pt idx="2319">
                  <c:v>17.790924</c:v>
                </c:pt>
                <c:pt idx="2320">
                  <c:v>17.381712</c:v>
                </c:pt>
                <c:pt idx="2321">
                  <c:v>17.147879</c:v>
                </c:pt>
                <c:pt idx="2322">
                  <c:v>17.18685</c:v>
                </c:pt>
                <c:pt idx="2323">
                  <c:v>16.689951000000001</c:v>
                </c:pt>
                <c:pt idx="2324">
                  <c:v>15.744869</c:v>
                </c:pt>
                <c:pt idx="2325">
                  <c:v>16.105366</c:v>
                </c:pt>
                <c:pt idx="2326">
                  <c:v>15.501291</c:v>
                </c:pt>
                <c:pt idx="2327">
                  <c:v>15.900759000000001</c:v>
                </c:pt>
                <c:pt idx="2328">
                  <c:v>17.069932999999999</c:v>
                </c:pt>
                <c:pt idx="2329">
                  <c:v>16.845842000000001</c:v>
                </c:pt>
                <c:pt idx="2330">
                  <c:v>16.573034</c:v>
                </c:pt>
                <c:pt idx="2331">
                  <c:v>16.261254999999998</c:v>
                </c:pt>
                <c:pt idx="2332">
                  <c:v>16.845842000000001</c:v>
                </c:pt>
                <c:pt idx="2333">
                  <c:v>17.001732000000001</c:v>
                </c:pt>
                <c:pt idx="2334">
                  <c:v>17.069932999999999</c:v>
                </c:pt>
                <c:pt idx="2335">
                  <c:v>16.972501999999999</c:v>
                </c:pt>
                <c:pt idx="2336">
                  <c:v>17.050446999999998</c:v>
                </c:pt>
                <c:pt idx="2337">
                  <c:v>17.976044000000002</c:v>
                </c:pt>
                <c:pt idx="2338">
                  <c:v>18.385254</c:v>
                </c:pt>
                <c:pt idx="2339">
                  <c:v>19.164701000000001</c:v>
                </c:pt>
                <c:pt idx="2340">
                  <c:v>18.492425999999998</c:v>
                </c:pt>
                <c:pt idx="2341">
                  <c:v>18.531400999999999</c:v>
                </c:pt>
                <c:pt idx="2342">
                  <c:v>18.209876999999999</c:v>
                </c:pt>
                <c:pt idx="2343">
                  <c:v>17.868867999999999</c:v>
                </c:pt>
                <c:pt idx="2344">
                  <c:v>16.972501999999999</c:v>
                </c:pt>
                <c:pt idx="2345">
                  <c:v>17.342739000000002</c:v>
                </c:pt>
                <c:pt idx="2346">
                  <c:v>17.966298999999999</c:v>
                </c:pt>
                <c:pt idx="2347">
                  <c:v>18.044245</c:v>
                </c:pt>
                <c:pt idx="2348">
                  <c:v>17.761693999999999</c:v>
                </c:pt>
                <c:pt idx="2349">
                  <c:v>17.868867999999999</c:v>
                </c:pt>
                <c:pt idx="2350">
                  <c:v>18.229361999999998</c:v>
                </c:pt>
                <c:pt idx="2351">
                  <c:v>18.170904</c:v>
                </c:pt>
                <c:pt idx="2352">
                  <c:v>17.518115999999999</c:v>
                </c:pt>
                <c:pt idx="2353">
                  <c:v>17.147879</c:v>
                </c:pt>
                <c:pt idx="2354">
                  <c:v>17.24531</c:v>
                </c:pt>
                <c:pt idx="2355">
                  <c:v>17.440169999999998</c:v>
                </c:pt>
                <c:pt idx="2356">
                  <c:v>17.449915000000001</c:v>
                </c:pt>
                <c:pt idx="2357">
                  <c:v>17.225822000000001</c:v>
                </c:pt>
                <c:pt idx="2358">
                  <c:v>16.865328000000002</c:v>
                </c:pt>
                <c:pt idx="2359">
                  <c:v>16.962758999999998</c:v>
                </c:pt>
                <c:pt idx="2360">
                  <c:v>16.689951000000001</c:v>
                </c:pt>
                <c:pt idx="2361">
                  <c:v>16.514576000000002</c:v>
                </c:pt>
                <c:pt idx="2362">
                  <c:v>16.076136000000002</c:v>
                </c:pt>
                <c:pt idx="2363">
                  <c:v>16.465859999999999</c:v>
                </c:pt>
                <c:pt idx="2364">
                  <c:v>17.08942</c:v>
                </c:pt>
                <c:pt idx="2365">
                  <c:v>16.972501999999999</c:v>
                </c:pt>
                <c:pt idx="2366">
                  <c:v>17.255051000000002</c:v>
                </c:pt>
                <c:pt idx="2367">
                  <c:v>17.644777000000001</c:v>
                </c:pt>
                <c:pt idx="2368">
                  <c:v>18.385254</c:v>
                </c:pt>
                <c:pt idx="2369">
                  <c:v>18.463197999999998</c:v>
                </c:pt>
                <c:pt idx="2370">
                  <c:v>18.414482</c:v>
                </c:pt>
                <c:pt idx="2371">
                  <c:v>18.287822999999999</c:v>
                </c:pt>
                <c:pt idx="2372">
                  <c:v>18.326794</c:v>
                </c:pt>
                <c:pt idx="2373">
                  <c:v>18.015014999999998</c:v>
                </c:pt>
                <c:pt idx="2374">
                  <c:v>17.498629000000001</c:v>
                </c:pt>
                <c:pt idx="2375">
                  <c:v>16.709436</c:v>
                </c:pt>
                <c:pt idx="2376">
                  <c:v>16.485346</c:v>
                </c:pt>
                <c:pt idx="2377">
                  <c:v>17.18685</c:v>
                </c:pt>
                <c:pt idx="2378">
                  <c:v>17.206337000000001</c:v>
                </c:pt>
                <c:pt idx="2379">
                  <c:v>16.787382000000001</c:v>
                </c:pt>
                <c:pt idx="2380">
                  <c:v>16.660723000000001</c:v>
                </c:pt>
                <c:pt idx="2381">
                  <c:v>16.573034</c:v>
                </c:pt>
                <c:pt idx="2382">
                  <c:v>16.719180999999999</c:v>
                </c:pt>
                <c:pt idx="2383">
                  <c:v>16.387915</c:v>
                </c:pt>
                <c:pt idx="2384">
                  <c:v>17.060189999999999</c:v>
                </c:pt>
                <c:pt idx="2385">
                  <c:v>16.875070999999998</c:v>
                </c:pt>
                <c:pt idx="2386">
                  <c:v>17.060189999999999</c:v>
                </c:pt>
                <c:pt idx="2387">
                  <c:v>16.758154000000001</c:v>
                </c:pt>
                <c:pt idx="2388">
                  <c:v>16.738667</c:v>
                </c:pt>
                <c:pt idx="2389">
                  <c:v>16.563292000000001</c:v>
                </c:pt>
                <c:pt idx="2390">
                  <c:v>16.212537999999999</c:v>
                </c:pt>
                <c:pt idx="2391">
                  <c:v>16.514576000000002</c:v>
                </c:pt>
                <c:pt idx="2392">
                  <c:v>16.007935</c:v>
                </c:pt>
                <c:pt idx="2393">
                  <c:v>15.793583999999999</c:v>
                </c:pt>
                <c:pt idx="2394">
                  <c:v>16.446373000000001</c:v>
                </c:pt>
                <c:pt idx="2395">
                  <c:v>16.222282</c:v>
                </c:pt>
                <c:pt idx="2396">
                  <c:v>15.959217000000001</c:v>
                </c:pt>
                <c:pt idx="2397">
                  <c:v>15.647437999999999</c:v>
                </c:pt>
                <c:pt idx="2398">
                  <c:v>15.296685999999999</c:v>
                </c:pt>
                <c:pt idx="2399">
                  <c:v>15.423347</c:v>
                </c:pt>
                <c:pt idx="2400">
                  <c:v>14.52698</c:v>
                </c:pt>
                <c:pt idx="2401">
                  <c:v>14.419805999999999</c:v>
                </c:pt>
                <c:pt idx="2402">
                  <c:v>14.020339</c:v>
                </c:pt>
                <c:pt idx="2403">
                  <c:v>13.835219</c:v>
                </c:pt>
                <c:pt idx="2404">
                  <c:v>14.08854</c:v>
                </c:pt>
                <c:pt idx="2405">
                  <c:v>14.419805999999999</c:v>
                </c:pt>
                <c:pt idx="2406">
                  <c:v>14.58544</c:v>
                </c:pt>
                <c:pt idx="2407">
                  <c:v>15.160283</c:v>
                </c:pt>
                <c:pt idx="2408">
                  <c:v>14.916705</c:v>
                </c:pt>
                <c:pt idx="2409">
                  <c:v>14.410062999999999</c:v>
                </c:pt>
                <c:pt idx="2410">
                  <c:v>14.799787999999999</c:v>
                </c:pt>
                <c:pt idx="2411">
                  <c:v>14.565951999999999</c:v>
                </c:pt>
                <c:pt idx="2412">
                  <c:v>14.838759</c:v>
                </c:pt>
                <c:pt idx="2413">
                  <c:v>15.189512000000001</c:v>
                </c:pt>
                <c:pt idx="2414">
                  <c:v>15.705897999999999</c:v>
                </c:pt>
                <c:pt idx="2415">
                  <c:v>15.569493</c:v>
                </c:pt>
                <c:pt idx="2416">
                  <c:v>15.783842999999999</c:v>
                </c:pt>
                <c:pt idx="2417">
                  <c:v>15.871530999999999</c:v>
                </c:pt>
                <c:pt idx="2418">
                  <c:v>15.988447000000001</c:v>
                </c:pt>
                <c:pt idx="2419">
                  <c:v>16.076136000000002</c:v>
                </c:pt>
                <c:pt idx="2420">
                  <c:v>15.988447000000001</c:v>
                </c:pt>
                <c:pt idx="2421">
                  <c:v>15.881271999999999</c:v>
                </c:pt>
                <c:pt idx="2422">
                  <c:v>15.774099</c:v>
                </c:pt>
                <c:pt idx="2423">
                  <c:v>15.832558000000001</c:v>
                </c:pt>
                <c:pt idx="2424">
                  <c:v>15.920246000000001</c:v>
                </c:pt>
                <c:pt idx="2425">
                  <c:v>16.017676999999999</c:v>
                </c:pt>
                <c:pt idx="2426">
                  <c:v>16.076136000000002</c:v>
                </c:pt>
                <c:pt idx="2427">
                  <c:v>15.861788000000001</c:v>
                </c:pt>
                <c:pt idx="2428">
                  <c:v>16.066393000000001</c:v>
                </c:pt>
                <c:pt idx="2429">
                  <c:v>16.173566999999998</c:v>
                </c:pt>
                <c:pt idx="2430">
                  <c:v>16.134594</c:v>
                </c:pt>
                <c:pt idx="2431">
                  <c:v>16.193054</c:v>
                </c:pt>
                <c:pt idx="2432">
                  <c:v>15.530519999999999</c:v>
                </c:pt>
                <c:pt idx="2433">
                  <c:v>15.452576000000001</c:v>
                </c:pt>
                <c:pt idx="2434">
                  <c:v>15.813071000000001</c:v>
                </c:pt>
                <c:pt idx="2435">
                  <c:v>15.793583999999999</c:v>
                </c:pt>
                <c:pt idx="2436">
                  <c:v>15.813071000000001</c:v>
                </c:pt>
                <c:pt idx="2437">
                  <c:v>15.666924</c:v>
                </c:pt>
                <c:pt idx="2438">
                  <c:v>15.764355999999999</c:v>
                </c:pt>
                <c:pt idx="2439">
                  <c:v>15.540264000000001</c:v>
                </c:pt>
                <c:pt idx="2440">
                  <c:v>14.790044999999999</c:v>
                </c:pt>
                <c:pt idx="2441">
                  <c:v>14.916705</c:v>
                </c:pt>
                <c:pt idx="2442">
                  <c:v>14.96542</c:v>
                </c:pt>
                <c:pt idx="2443">
                  <c:v>15.023879000000001</c:v>
                </c:pt>
                <c:pt idx="2444">
                  <c:v>14.809530000000001</c:v>
                </c:pt>
                <c:pt idx="2445">
                  <c:v>15.004393</c:v>
                </c:pt>
                <c:pt idx="2446">
                  <c:v>14.58544</c:v>
                </c:pt>
                <c:pt idx="2447">
                  <c:v>14.507495</c:v>
                </c:pt>
                <c:pt idx="2448">
                  <c:v>14.517237</c:v>
                </c:pt>
                <c:pt idx="2449">
                  <c:v>14.643898</c:v>
                </c:pt>
                <c:pt idx="2450">
                  <c:v>14.955678000000001</c:v>
                </c:pt>
                <c:pt idx="2451">
                  <c:v>14.565951999999999</c:v>
                </c:pt>
                <c:pt idx="2452">
                  <c:v>14.400320000000001</c:v>
                </c:pt>
                <c:pt idx="2453">
                  <c:v>14.429550000000001</c:v>
                </c:pt>
                <c:pt idx="2454">
                  <c:v>14.741329</c:v>
                </c:pt>
                <c:pt idx="2455">
                  <c:v>14.867990000000001</c:v>
                </c:pt>
                <c:pt idx="2456">
                  <c:v>14.945933999999999</c:v>
                </c:pt>
                <c:pt idx="2457">
                  <c:v>14.809530000000001</c:v>
                </c:pt>
                <c:pt idx="2458">
                  <c:v>14.780301</c:v>
                </c:pt>
                <c:pt idx="2459">
                  <c:v>15.267457</c:v>
                </c:pt>
                <c:pt idx="2460">
                  <c:v>15.131053</c:v>
                </c:pt>
                <c:pt idx="2461">
                  <c:v>15.101824000000001</c:v>
                </c:pt>
                <c:pt idx="2462">
                  <c:v>14.984907</c:v>
                </c:pt>
                <c:pt idx="2463">
                  <c:v>14.604925</c:v>
                </c:pt>
                <c:pt idx="2464">
                  <c:v>14.867990000000001</c:v>
                </c:pt>
                <c:pt idx="2465">
                  <c:v>14.595181</c:v>
                </c:pt>
                <c:pt idx="2466">
                  <c:v>14.039823999999999</c:v>
                </c:pt>
                <c:pt idx="2467">
                  <c:v>14.146998999999999</c:v>
                </c:pt>
                <c:pt idx="2468">
                  <c:v>14.224944000000001</c:v>
                </c:pt>
                <c:pt idx="2469">
                  <c:v>14.254173</c:v>
                </c:pt>
                <c:pt idx="2470">
                  <c:v>14.030082</c:v>
                </c:pt>
                <c:pt idx="2471">
                  <c:v>14.020339</c:v>
                </c:pt>
                <c:pt idx="2472">
                  <c:v>13.815734000000001</c:v>
                </c:pt>
                <c:pt idx="2473">
                  <c:v>13.767016999999999</c:v>
                </c:pt>
                <c:pt idx="2474">
                  <c:v>14.020339</c:v>
                </c:pt>
                <c:pt idx="2475">
                  <c:v>13.961880000000001</c:v>
                </c:pt>
                <c:pt idx="2476">
                  <c:v>14.010595</c:v>
                </c:pt>
                <c:pt idx="2477">
                  <c:v>13.718302</c:v>
                </c:pt>
                <c:pt idx="2478">
                  <c:v>13.971622999999999</c:v>
                </c:pt>
                <c:pt idx="2479">
                  <c:v>14.069054</c:v>
                </c:pt>
                <c:pt idx="2480">
                  <c:v>14.341862000000001</c:v>
                </c:pt>
                <c:pt idx="2481">
                  <c:v>14.565951999999999</c:v>
                </c:pt>
                <c:pt idx="2482">
                  <c:v>14.098284</c:v>
                </c:pt>
                <c:pt idx="2483">
                  <c:v>13.932651</c:v>
                </c:pt>
                <c:pt idx="2484">
                  <c:v>13.961880000000001</c:v>
                </c:pt>
                <c:pt idx="2485">
                  <c:v>13.669586000000001</c:v>
                </c:pt>
                <c:pt idx="2486">
                  <c:v>13.055770000000001</c:v>
                </c:pt>
                <c:pt idx="2487">
                  <c:v>12.95834</c:v>
                </c:pt>
                <c:pt idx="2488">
                  <c:v>12.792706000000001</c:v>
                </c:pt>
                <c:pt idx="2489">
                  <c:v>12.812192</c:v>
                </c:pt>
                <c:pt idx="2490">
                  <c:v>12.870651000000001</c:v>
                </c:pt>
                <c:pt idx="2491">
                  <c:v>13.085000000000001</c:v>
                </c:pt>
                <c:pt idx="2492">
                  <c:v>13.92</c:v>
                </c:pt>
                <c:pt idx="2493">
                  <c:v>14.29</c:v>
                </c:pt>
                <c:pt idx="2494">
                  <c:v>14.73</c:v>
                </c:pt>
                <c:pt idx="2495">
                  <c:v>15.57</c:v>
                </c:pt>
                <c:pt idx="2496">
                  <c:v>15.51</c:v>
                </c:pt>
                <c:pt idx="2497">
                  <c:v>14.85</c:v>
                </c:pt>
                <c:pt idx="2498">
                  <c:v>14.38</c:v>
                </c:pt>
                <c:pt idx="2499">
                  <c:v>14.53</c:v>
                </c:pt>
                <c:pt idx="2500">
                  <c:v>14.72</c:v>
                </c:pt>
                <c:pt idx="2501">
                  <c:v>15.04</c:v>
                </c:pt>
                <c:pt idx="2502">
                  <c:v>14.98</c:v>
                </c:pt>
                <c:pt idx="2503">
                  <c:v>14.81</c:v>
                </c:pt>
                <c:pt idx="2504">
                  <c:v>15.41</c:v>
                </c:pt>
                <c:pt idx="2505">
                  <c:v>15.77</c:v>
                </c:pt>
                <c:pt idx="2506">
                  <c:v>15.58</c:v>
                </c:pt>
                <c:pt idx="2507">
                  <c:v>15.77</c:v>
                </c:pt>
                <c:pt idx="2508">
                  <c:v>15.58</c:v>
                </c:pt>
                <c:pt idx="2509">
                  <c:v>14.81</c:v>
                </c:pt>
                <c:pt idx="2510">
                  <c:v>14.6</c:v>
                </c:pt>
                <c:pt idx="2511">
                  <c:v>14.83</c:v>
                </c:pt>
                <c:pt idx="2512">
                  <c:v>14.9</c:v>
                </c:pt>
                <c:pt idx="2513">
                  <c:v>14.98</c:v>
                </c:pt>
                <c:pt idx="2514">
                  <c:v>15.52</c:v>
                </c:pt>
                <c:pt idx="2515">
                  <c:v>15.45</c:v>
                </c:pt>
                <c:pt idx="2516">
                  <c:v>15.34</c:v>
                </c:pt>
              </c:numCache>
            </c:numRef>
          </c:val>
          <c:smooth val="0"/>
          <c:extLst>
            <c:ext xmlns:c16="http://schemas.microsoft.com/office/drawing/2014/chart" uri="{C3380CC4-5D6E-409C-BE32-E72D297353CC}">
              <c16:uniqueId val="{00000000-0CBD-48B0-8C04-EB0E02AC62AA}"/>
            </c:ext>
          </c:extLst>
        </c:ser>
        <c:ser>
          <c:idx val="2"/>
          <c:order val="1"/>
          <c:tx>
            <c:strRef>
              <c:f>'Stock Price Data'!$H$2</c:f>
              <c:strCache>
                <c:ptCount val="1"/>
                <c:pt idx="0">
                  <c:v>Sell Target</c:v>
                </c:pt>
              </c:strCache>
            </c:strRef>
          </c:tx>
          <c:spPr>
            <a:ln w="19050" cmpd="sng">
              <a:solidFill>
                <a:srgbClr val="38761D"/>
              </a:solidFill>
            </a:ln>
          </c:spPr>
          <c:marker>
            <c:symbol val="none"/>
          </c:marker>
          <c:cat>
            <c:numRef>
              <c:f>'Stock Price Data'!$A$3:$A$2519</c:f>
              <c:numCache>
                <c:formatCode>m/d/yy</c:formatCode>
                <c:ptCount val="2517"/>
                <c:pt idx="0">
                  <c:v>39973</c:v>
                </c:pt>
                <c:pt idx="1">
                  <c:v>39974</c:v>
                </c:pt>
                <c:pt idx="2">
                  <c:v>39975</c:v>
                </c:pt>
                <c:pt idx="3">
                  <c:v>39976</c:v>
                </c:pt>
                <c:pt idx="4">
                  <c:v>39979</c:v>
                </c:pt>
                <c:pt idx="5">
                  <c:v>39980</c:v>
                </c:pt>
                <c:pt idx="6">
                  <c:v>39981</c:v>
                </c:pt>
                <c:pt idx="7">
                  <c:v>39982</c:v>
                </c:pt>
                <c:pt idx="8">
                  <c:v>39983</c:v>
                </c:pt>
                <c:pt idx="9">
                  <c:v>39986</c:v>
                </c:pt>
                <c:pt idx="10">
                  <c:v>39987</c:v>
                </c:pt>
                <c:pt idx="11">
                  <c:v>39988</c:v>
                </c:pt>
                <c:pt idx="12">
                  <c:v>39989</c:v>
                </c:pt>
                <c:pt idx="13">
                  <c:v>39990</c:v>
                </c:pt>
                <c:pt idx="14">
                  <c:v>39993</c:v>
                </c:pt>
                <c:pt idx="15">
                  <c:v>39994</c:v>
                </c:pt>
                <c:pt idx="16">
                  <c:v>39995</c:v>
                </c:pt>
                <c:pt idx="17">
                  <c:v>39996</c:v>
                </c:pt>
                <c:pt idx="18">
                  <c:v>40000</c:v>
                </c:pt>
                <c:pt idx="19">
                  <c:v>40001</c:v>
                </c:pt>
                <c:pt idx="20">
                  <c:v>40002</c:v>
                </c:pt>
                <c:pt idx="21">
                  <c:v>40003</c:v>
                </c:pt>
                <c:pt idx="22">
                  <c:v>40004</c:v>
                </c:pt>
                <c:pt idx="23">
                  <c:v>40007</c:v>
                </c:pt>
                <c:pt idx="24">
                  <c:v>40008</c:v>
                </c:pt>
                <c:pt idx="25">
                  <c:v>40009</c:v>
                </c:pt>
                <c:pt idx="26">
                  <c:v>40010</c:v>
                </c:pt>
                <c:pt idx="27">
                  <c:v>40011</c:v>
                </c:pt>
                <c:pt idx="28">
                  <c:v>40014</c:v>
                </c:pt>
                <c:pt idx="29">
                  <c:v>40015</c:v>
                </c:pt>
                <c:pt idx="30">
                  <c:v>40016</c:v>
                </c:pt>
                <c:pt idx="31">
                  <c:v>40017</c:v>
                </c:pt>
                <c:pt idx="32">
                  <c:v>40018</c:v>
                </c:pt>
                <c:pt idx="33">
                  <c:v>40021</c:v>
                </c:pt>
                <c:pt idx="34">
                  <c:v>40022</c:v>
                </c:pt>
                <c:pt idx="35">
                  <c:v>40023</c:v>
                </c:pt>
                <c:pt idx="36">
                  <c:v>40024</c:v>
                </c:pt>
                <c:pt idx="37">
                  <c:v>40025</c:v>
                </c:pt>
                <c:pt idx="38">
                  <c:v>40028</c:v>
                </c:pt>
                <c:pt idx="39">
                  <c:v>40029</c:v>
                </c:pt>
                <c:pt idx="40">
                  <c:v>40030</c:v>
                </c:pt>
                <c:pt idx="41">
                  <c:v>40031</c:v>
                </c:pt>
                <c:pt idx="42">
                  <c:v>40032</c:v>
                </c:pt>
                <c:pt idx="43">
                  <c:v>40035</c:v>
                </c:pt>
                <c:pt idx="44">
                  <c:v>40036</c:v>
                </c:pt>
                <c:pt idx="45">
                  <c:v>40037</c:v>
                </c:pt>
                <c:pt idx="46">
                  <c:v>40038</c:v>
                </c:pt>
                <c:pt idx="47">
                  <c:v>40039</c:v>
                </c:pt>
                <c:pt idx="48">
                  <c:v>40042</c:v>
                </c:pt>
                <c:pt idx="49">
                  <c:v>40043</c:v>
                </c:pt>
                <c:pt idx="50">
                  <c:v>40044</c:v>
                </c:pt>
                <c:pt idx="51">
                  <c:v>40045</c:v>
                </c:pt>
                <c:pt idx="52">
                  <c:v>40046</c:v>
                </c:pt>
                <c:pt idx="53">
                  <c:v>40049</c:v>
                </c:pt>
                <c:pt idx="54">
                  <c:v>40050</c:v>
                </c:pt>
                <c:pt idx="55">
                  <c:v>40051</c:v>
                </c:pt>
                <c:pt idx="56">
                  <c:v>40052</c:v>
                </c:pt>
                <c:pt idx="57">
                  <c:v>40053</c:v>
                </c:pt>
                <c:pt idx="58">
                  <c:v>40056</c:v>
                </c:pt>
                <c:pt idx="59">
                  <c:v>40057</c:v>
                </c:pt>
                <c:pt idx="60">
                  <c:v>40058</c:v>
                </c:pt>
                <c:pt idx="61">
                  <c:v>40059</c:v>
                </c:pt>
                <c:pt idx="62">
                  <c:v>40060</c:v>
                </c:pt>
                <c:pt idx="63">
                  <c:v>40064</c:v>
                </c:pt>
                <c:pt idx="64">
                  <c:v>40065</c:v>
                </c:pt>
                <c:pt idx="65">
                  <c:v>40066</c:v>
                </c:pt>
                <c:pt idx="66">
                  <c:v>40067</c:v>
                </c:pt>
                <c:pt idx="67">
                  <c:v>40070</c:v>
                </c:pt>
                <c:pt idx="68">
                  <c:v>40071</c:v>
                </c:pt>
                <c:pt idx="69">
                  <c:v>40072</c:v>
                </c:pt>
                <c:pt idx="70">
                  <c:v>40073</c:v>
                </c:pt>
                <c:pt idx="71">
                  <c:v>40074</c:v>
                </c:pt>
                <c:pt idx="72">
                  <c:v>40077</c:v>
                </c:pt>
                <c:pt idx="73">
                  <c:v>40078</c:v>
                </c:pt>
                <c:pt idx="74">
                  <c:v>40079</c:v>
                </c:pt>
                <c:pt idx="75">
                  <c:v>40080</c:v>
                </c:pt>
                <c:pt idx="76">
                  <c:v>40081</c:v>
                </c:pt>
                <c:pt idx="77">
                  <c:v>40084</c:v>
                </c:pt>
                <c:pt idx="78">
                  <c:v>40085</c:v>
                </c:pt>
                <c:pt idx="79">
                  <c:v>40086</c:v>
                </c:pt>
                <c:pt idx="80">
                  <c:v>40087</c:v>
                </c:pt>
                <c:pt idx="81">
                  <c:v>40088</c:v>
                </c:pt>
                <c:pt idx="82">
                  <c:v>40091</c:v>
                </c:pt>
                <c:pt idx="83">
                  <c:v>40092</c:v>
                </c:pt>
                <c:pt idx="84">
                  <c:v>40093</c:v>
                </c:pt>
                <c:pt idx="85">
                  <c:v>40094</c:v>
                </c:pt>
                <c:pt idx="86">
                  <c:v>40095</c:v>
                </c:pt>
                <c:pt idx="87">
                  <c:v>40098</c:v>
                </c:pt>
                <c:pt idx="88">
                  <c:v>40099</c:v>
                </c:pt>
                <c:pt idx="89">
                  <c:v>40100</c:v>
                </c:pt>
                <c:pt idx="90">
                  <c:v>40101</c:v>
                </c:pt>
                <c:pt idx="91">
                  <c:v>40102</c:v>
                </c:pt>
                <c:pt idx="92">
                  <c:v>40105</c:v>
                </c:pt>
                <c:pt idx="93">
                  <c:v>40106</c:v>
                </c:pt>
                <c:pt idx="94">
                  <c:v>40107</c:v>
                </c:pt>
                <c:pt idx="95">
                  <c:v>40108</c:v>
                </c:pt>
                <c:pt idx="96">
                  <c:v>40109</c:v>
                </c:pt>
                <c:pt idx="97">
                  <c:v>40112</c:v>
                </c:pt>
                <c:pt idx="98">
                  <c:v>40113</c:v>
                </c:pt>
                <c:pt idx="99">
                  <c:v>40114</c:v>
                </c:pt>
                <c:pt idx="100">
                  <c:v>40115</c:v>
                </c:pt>
                <c:pt idx="101">
                  <c:v>40116</c:v>
                </c:pt>
                <c:pt idx="102">
                  <c:v>40119</c:v>
                </c:pt>
                <c:pt idx="103">
                  <c:v>40120</c:v>
                </c:pt>
                <c:pt idx="104">
                  <c:v>40121</c:v>
                </c:pt>
                <c:pt idx="105">
                  <c:v>40122</c:v>
                </c:pt>
                <c:pt idx="106">
                  <c:v>40123</c:v>
                </c:pt>
                <c:pt idx="107">
                  <c:v>40126</c:v>
                </c:pt>
                <c:pt idx="108">
                  <c:v>40127</c:v>
                </c:pt>
                <c:pt idx="109">
                  <c:v>40128</c:v>
                </c:pt>
                <c:pt idx="110">
                  <c:v>40129</c:v>
                </c:pt>
                <c:pt idx="111">
                  <c:v>40130</c:v>
                </c:pt>
                <c:pt idx="112">
                  <c:v>40133</c:v>
                </c:pt>
                <c:pt idx="113">
                  <c:v>40134</c:v>
                </c:pt>
                <c:pt idx="114">
                  <c:v>40135</c:v>
                </c:pt>
                <c:pt idx="115">
                  <c:v>40136</c:v>
                </c:pt>
                <c:pt idx="116">
                  <c:v>40137</c:v>
                </c:pt>
                <c:pt idx="117">
                  <c:v>40140</c:v>
                </c:pt>
                <c:pt idx="118">
                  <c:v>40141</c:v>
                </c:pt>
                <c:pt idx="119">
                  <c:v>40142</c:v>
                </c:pt>
                <c:pt idx="120">
                  <c:v>40144</c:v>
                </c:pt>
                <c:pt idx="121">
                  <c:v>40147</c:v>
                </c:pt>
                <c:pt idx="122">
                  <c:v>40148</c:v>
                </c:pt>
                <c:pt idx="123">
                  <c:v>40149</c:v>
                </c:pt>
                <c:pt idx="124">
                  <c:v>40150</c:v>
                </c:pt>
                <c:pt idx="125">
                  <c:v>40151</c:v>
                </c:pt>
                <c:pt idx="126">
                  <c:v>40154</c:v>
                </c:pt>
                <c:pt idx="127">
                  <c:v>40155</c:v>
                </c:pt>
                <c:pt idx="128">
                  <c:v>40156</c:v>
                </c:pt>
                <c:pt idx="129">
                  <c:v>40157</c:v>
                </c:pt>
                <c:pt idx="130">
                  <c:v>40158</c:v>
                </c:pt>
                <c:pt idx="131">
                  <c:v>40161</c:v>
                </c:pt>
                <c:pt idx="132">
                  <c:v>40162</c:v>
                </c:pt>
                <c:pt idx="133">
                  <c:v>40163</c:v>
                </c:pt>
                <c:pt idx="134">
                  <c:v>40164</c:v>
                </c:pt>
                <c:pt idx="135">
                  <c:v>40165</c:v>
                </c:pt>
                <c:pt idx="136">
                  <c:v>40168</c:v>
                </c:pt>
                <c:pt idx="137">
                  <c:v>40169</c:v>
                </c:pt>
                <c:pt idx="138">
                  <c:v>40170</c:v>
                </c:pt>
                <c:pt idx="139">
                  <c:v>40171</c:v>
                </c:pt>
                <c:pt idx="140">
                  <c:v>40175</c:v>
                </c:pt>
                <c:pt idx="141">
                  <c:v>40176</c:v>
                </c:pt>
                <c:pt idx="142">
                  <c:v>40177</c:v>
                </c:pt>
                <c:pt idx="143">
                  <c:v>40178</c:v>
                </c:pt>
                <c:pt idx="144">
                  <c:v>40182</c:v>
                </c:pt>
                <c:pt idx="145">
                  <c:v>40183</c:v>
                </c:pt>
                <c:pt idx="146">
                  <c:v>40184</c:v>
                </c:pt>
                <c:pt idx="147">
                  <c:v>40185</c:v>
                </c:pt>
                <c:pt idx="148">
                  <c:v>40186</c:v>
                </c:pt>
                <c:pt idx="149">
                  <c:v>40189</c:v>
                </c:pt>
                <c:pt idx="150">
                  <c:v>40190</c:v>
                </c:pt>
                <c:pt idx="151">
                  <c:v>40191</c:v>
                </c:pt>
                <c:pt idx="152">
                  <c:v>40192</c:v>
                </c:pt>
                <c:pt idx="153">
                  <c:v>40193</c:v>
                </c:pt>
                <c:pt idx="154">
                  <c:v>40197</c:v>
                </c:pt>
                <c:pt idx="155">
                  <c:v>40198</c:v>
                </c:pt>
                <c:pt idx="156">
                  <c:v>40199</c:v>
                </c:pt>
                <c:pt idx="157">
                  <c:v>40200</c:v>
                </c:pt>
                <c:pt idx="158">
                  <c:v>40203</c:v>
                </c:pt>
                <c:pt idx="159">
                  <c:v>40204</c:v>
                </c:pt>
                <c:pt idx="160">
                  <c:v>40205</c:v>
                </c:pt>
                <c:pt idx="161">
                  <c:v>40206</c:v>
                </c:pt>
                <c:pt idx="162">
                  <c:v>40207</c:v>
                </c:pt>
                <c:pt idx="163">
                  <c:v>40210</c:v>
                </c:pt>
                <c:pt idx="164">
                  <c:v>40211</c:v>
                </c:pt>
                <c:pt idx="165">
                  <c:v>40212</c:v>
                </c:pt>
                <c:pt idx="166">
                  <c:v>40213</c:v>
                </c:pt>
                <c:pt idx="167">
                  <c:v>40214</c:v>
                </c:pt>
                <c:pt idx="168">
                  <c:v>40217</c:v>
                </c:pt>
                <c:pt idx="169">
                  <c:v>40218</c:v>
                </c:pt>
                <c:pt idx="170">
                  <c:v>40219</c:v>
                </c:pt>
                <c:pt idx="171">
                  <c:v>40220</c:v>
                </c:pt>
                <c:pt idx="172">
                  <c:v>40221</c:v>
                </c:pt>
                <c:pt idx="173">
                  <c:v>40225</c:v>
                </c:pt>
                <c:pt idx="174">
                  <c:v>40226</c:v>
                </c:pt>
                <c:pt idx="175">
                  <c:v>40227</c:v>
                </c:pt>
                <c:pt idx="176">
                  <c:v>40228</c:v>
                </c:pt>
                <c:pt idx="177">
                  <c:v>40231</c:v>
                </c:pt>
                <c:pt idx="178">
                  <c:v>40232</c:v>
                </c:pt>
                <c:pt idx="179">
                  <c:v>40233</c:v>
                </c:pt>
                <c:pt idx="180">
                  <c:v>40234</c:v>
                </c:pt>
                <c:pt idx="181">
                  <c:v>40235</c:v>
                </c:pt>
                <c:pt idx="182">
                  <c:v>40238</c:v>
                </c:pt>
                <c:pt idx="183">
                  <c:v>40239</c:v>
                </c:pt>
                <c:pt idx="184">
                  <c:v>40240</c:v>
                </c:pt>
                <c:pt idx="185">
                  <c:v>40241</c:v>
                </c:pt>
                <c:pt idx="186">
                  <c:v>40242</c:v>
                </c:pt>
                <c:pt idx="187">
                  <c:v>40245</c:v>
                </c:pt>
                <c:pt idx="188">
                  <c:v>40246</c:v>
                </c:pt>
                <c:pt idx="189">
                  <c:v>40247</c:v>
                </c:pt>
                <c:pt idx="190">
                  <c:v>40248</c:v>
                </c:pt>
                <c:pt idx="191">
                  <c:v>40249</c:v>
                </c:pt>
                <c:pt idx="192">
                  <c:v>40252</c:v>
                </c:pt>
                <c:pt idx="193">
                  <c:v>40253</c:v>
                </c:pt>
                <c:pt idx="194">
                  <c:v>40254</c:v>
                </c:pt>
                <c:pt idx="195">
                  <c:v>40255</c:v>
                </c:pt>
                <c:pt idx="196">
                  <c:v>40256</c:v>
                </c:pt>
                <c:pt idx="197">
                  <c:v>40259</c:v>
                </c:pt>
                <c:pt idx="198">
                  <c:v>40260</c:v>
                </c:pt>
                <c:pt idx="199">
                  <c:v>40261</c:v>
                </c:pt>
                <c:pt idx="200">
                  <c:v>40262</c:v>
                </c:pt>
                <c:pt idx="201">
                  <c:v>40263</c:v>
                </c:pt>
                <c:pt idx="202">
                  <c:v>40266</c:v>
                </c:pt>
                <c:pt idx="203">
                  <c:v>40267</c:v>
                </c:pt>
                <c:pt idx="204">
                  <c:v>40268</c:v>
                </c:pt>
                <c:pt idx="205">
                  <c:v>40269</c:v>
                </c:pt>
                <c:pt idx="206">
                  <c:v>40273</c:v>
                </c:pt>
                <c:pt idx="207">
                  <c:v>40274</c:v>
                </c:pt>
                <c:pt idx="208">
                  <c:v>40275</c:v>
                </c:pt>
                <c:pt idx="209">
                  <c:v>40276</c:v>
                </c:pt>
                <c:pt idx="210">
                  <c:v>40277</c:v>
                </c:pt>
                <c:pt idx="211">
                  <c:v>40280</c:v>
                </c:pt>
                <c:pt idx="212">
                  <c:v>40281</c:v>
                </c:pt>
                <c:pt idx="213">
                  <c:v>40282</c:v>
                </c:pt>
                <c:pt idx="214">
                  <c:v>40283</c:v>
                </c:pt>
                <c:pt idx="215">
                  <c:v>40284</c:v>
                </c:pt>
                <c:pt idx="216">
                  <c:v>40287</c:v>
                </c:pt>
                <c:pt idx="217">
                  <c:v>40288</c:v>
                </c:pt>
                <c:pt idx="218">
                  <c:v>40289</c:v>
                </c:pt>
                <c:pt idx="219">
                  <c:v>40290</c:v>
                </c:pt>
                <c:pt idx="220">
                  <c:v>40291</c:v>
                </c:pt>
                <c:pt idx="221">
                  <c:v>40294</c:v>
                </c:pt>
                <c:pt idx="222">
                  <c:v>40295</c:v>
                </c:pt>
                <c:pt idx="223">
                  <c:v>40296</c:v>
                </c:pt>
                <c:pt idx="224">
                  <c:v>40297</c:v>
                </c:pt>
                <c:pt idx="225">
                  <c:v>40298</c:v>
                </c:pt>
                <c:pt idx="226">
                  <c:v>40301</c:v>
                </c:pt>
                <c:pt idx="227">
                  <c:v>40302</c:v>
                </c:pt>
                <c:pt idx="228">
                  <c:v>40303</c:v>
                </c:pt>
                <c:pt idx="229">
                  <c:v>40304</c:v>
                </c:pt>
                <c:pt idx="230">
                  <c:v>40305</c:v>
                </c:pt>
                <c:pt idx="231">
                  <c:v>40308</c:v>
                </c:pt>
                <c:pt idx="232">
                  <c:v>40309</c:v>
                </c:pt>
                <c:pt idx="233">
                  <c:v>40310</c:v>
                </c:pt>
                <c:pt idx="234">
                  <c:v>40311</c:v>
                </c:pt>
                <c:pt idx="235">
                  <c:v>40312</c:v>
                </c:pt>
                <c:pt idx="236">
                  <c:v>40315</c:v>
                </c:pt>
                <c:pt idx="237">
                  <c:v>40316</c:v>
                </c:pt>
                <c:pt idx="238">
                  <c:v>40317</c:v>
                </c:pt>
                <c:pt idx="239">
                  <c:v>40318</c:v>
                </c:pt>
                <c:pt idx="240">
                  <c:v>40319</c:v>
                </c:pt>
                <c:pt idx="241">
                  <c:v>40322</c:v>
                </c:pt>
                <c:pt idx="242">
                  <c:v>40323</c:v>
                </c:pt>
                <c:pt idx="243">
                  <c:v>40324</c:v>
                </c:pt>
                <c:pt idx="244">
                  <c:v>40325</c:v>
                </c:pt>
                <c:pt idx="245">
                  <c:v>40326</c:v>
                </c:pt>
                <c:pt idx="246">
                  <c:v>40330</c:v>
                </c:pt>
                <c:pt idx="247">
                  <c:v>40331</c:v>
                </c:pt>
                <c:pt idx="248">
                  <c:v>40332</c:v>
                </c:pt>
                <c:pt idx="249">
                  <c:v>40333</c:v>
                </c:pt>
                <c:pt idx="250">
                  <c:v>40336</c:v>
                </c:pt>
                <c:pt idx="251">
                  <c:v>40337</c:v>
                </c:pt>
                <c:pt idx="252">
                  <c:v>40338</c:v>
                </c:pt>
                <c:pt idx="253">
                  <c:v>40339</c:v>
                </c:pt>
                <c:pt idx="254">
                  <c:v>40340</c:v>
                </c:pt>
                <c:pt idx="255">
                  <c:v>40343</c:v>
                </c:pt>
                <c:pt idx="256">
                  <c:v>40344</c:v>
                </c:pt>
                <c:pt idx="257">
                  <c:v>40345</c:v>
                </c:pt>
                <c:pt idx="258">
                  <c:v>40346</c:v>
                </c:pt>
                <c:pt idx="259">
                  <c:v>40347</c:v>
                </c:pt>
                <c:pt idx="260">
                  <c:v>40350</c:v>
                </c:pt>
                <c:pt idx="261">
                  <c:v>40351</c:v>
                </c:pt>
                <c:pt idx="262">
                  <c:v>40352</c:v>
                </c:pt>
                <c:pt idx="263">
                  <c:v>40353</c:v>
                </c:pt>
                <c:pt idx="264">
                  <c:v>40354</c:v>
                </c:pt>
                <c:pt idx="265">
                  <c:v>40357</c:v>
                </c:pt>
                <c:pt idx="266">
                  <c:v>40358</c:v>
                </c:pt>
                <c:pt idx="267">
                  <c:v>40359</c:v>
                </c:pt>
                <c:pt idx="268">
                  <c:v>40360</c:v>
                </c:pt>
                <c:pt idx="269">
                  <c:v>40361</c:v>
                </c:pt>
                <c:pt idx="270">
                  <c:v>40365</c:v>
                </c:pt>
                <c:pt idx="271">
                  <c:v>40366</c:v>
                </c:pt>
                <c:pt idx="272">
                  <c:v>40367</c:v>
                </c:pt>
                <c:pt idx="273">
                  <c:v>40368</c:v>
                </c:pt>
                <c:pt idx="274">
                  <c:v>40371</c:v>
                </c:pt>
                <c:pt idx="275">
                  <c:v>40372</c:v>
                </c:pt>
                <c:pt idx="276">
                  <c:v>40373</c:v>
                </c:pt>
                <c:pt idx="277">
                  <c:v>40374</c:v>
                </c:pt>
                <c:pt idx="278">
                  <c:v>40375</c:v>
                </c:pt>
                <c:pt idx="279">
                  <c:v>40378</c:v>
                </c:pt>
                <c:pt idx="280">
                  <c:v>40379</c:v>
                </c:pt>
                <c:pt idx="281">
                  <c:v>40380</c:v>
                </c:pt>
                <c:pt idx="282">
                  <c:v>40381</c:v>
                </c:pt>
                <c:pt idx="283">
                  <c:v>40382</c:v>
                </c:pt>
                <c:pt idx="284">
                  <c:v>40385</c:v>
                </c:pt>
                <c:pt idx="285">
                  <c:v>40386</c:v>
                </c:pt>
                <c:pt idx="286">
                  <c:v>40387</c:v>
                </c:pt>
                <c:pt idx="287">
                  <c:v>40388</c:v>
                </c:pt>
                <c:pt idx="288">
                  <c:v>40389</c:v>
                </c:pt>
                <c:pt idx="289">
                  <c:v>40392</c:v>
                </c:pt>
                <c:pt idx="290">
                  <c:v>40393</c:v>
                </c:pt>
                <c:pt idx="291">
                  <c:v>40394</c:v>
                </c:pt>
                <c:pt idx="292">
                  <c:v>40395</c:v>
                </c:pt>
                <c:pt idx="293">
                  <c:v>40396</c:v>
                </c:pt>
                <c:pt idx="294">
                  <c:v>40399</c:v>
                </c:pt>
                <c:pt idx="295">
                  <c:v>40400</c:v>
                </c:pt>
                <c:pt idx="296">
                  <c:v>40401</c:v>
                </c:pt>
                <c:pt idx="297">
                  <c:v>40402</c:v>
                </c:pt>
                <c:pt idx="298">
                  <c:v>40403</c:v>
                </c:pt>
                <c:pt idx="299">
                  <c:v>40406</c:v>
                </c:pt>
                <c:pt idx="300">
                  <c:v>40407</c:v>
                </c:pt>
                <c:pt idx="301">
                  <c:v>40408</c:v>
                </c:pt>
                <c:pt idx="302">
                  <c:v>40409</c:v>
                </c:pt>
                <c:pt idx="303">
                  <c:v>40410</c:v>
                </c:pt>
                <c:pt idx="304">
                  <c:v>40413</c:v>
                </c:pt>
                <c:pt idx="305">
                  <c:v>40414</c:v>
                </c:pt>
                <c:pt idx="306">
                  <c:v>40415</c:v>
                </c:pt>
                <c:pt idx="307">
                  <c:v>40416</c:v>
                </c:pt>
                <c:pt idx="308">
                  <c:v>40417</c:v>
                </c:pt>
                <c:pt idx="309">
                  <c:v>40420</c:v>
                </c:pt>
                <c:pt idx="310">
                  <c:v>40421</c:v>
                </c:pt>
                <c:pt idx="311">
                  <c:v>40422</c:v>
                </c:pt>
                <c:pt idx="312">
                  <c:v>40423</c:v>
                </c:pt>
                <c:pt idx="313">
                  <c:v>40424</c:v>
                </c:pt>
                <c:pt idx="314">
                  <c:v>40428</c:v>
                </c:pt>
                <c:pt idx="315">
                  <c:v>40429</c:v>
                </c:pt>
                <c:pt idx="316">
                  <c:v>40430</c:v>
                </c:pt>
                <c:pt idx="317">
                  <c:v>40431</c:v>
                </c:pt>
                <c:pt idx="318">
                  <c:v>40434</c:v>
                </c:pt>
                <c:pt idx="319">
                  <c:v>40435</c:v>
                </c:pt>
                <c:pt idx="320">
                  <c:v>40436</c:v>
                </c:pt>
                <c:pt idx="321">
                  <c:v>40437</c:v>
                </c:pt>
                <c:pt idx="322">
                  <c:v>40438</c:v>
                </c:pt>
                <c:pt idx="323">
                  <c:v>40441</c:v>
                </c:pt>
                <c:pt idx="324">
                  <c:v>40442</c:v>
                </c:pt>
                <c:pt idx="325">
                  <c:v>40443</c:v>
                </c:pt>
                <c:pt idx="326">
                  <c:v>40444</c:v>
                </c:pt>
                <c:pt idx="327">
                  <c:v>40445</c:v>
                </c:pt>
                <c:pt idx="328">
                  <c:v>40448</c:v>
                </c:pt>
                <c:pt idx="329">
                  <c:v>40449</c:v>
                </c:pt>
                <c:pt idx="330">
                  <c:v>40450</c:v>
                </c:pt>
                <c:pt idx="331">
                  <c:v>40451</c:v>
                </c:pt>
                <c:pt idx="332">
                  <c:v>40452</c:v>
                </c:pt>
                <c:pt idx="333">
                  <c:v>40455</c:v>
                </c:pt>
                <c:pt idx="334">
                  <c:v>40456</c:v>
                </c:pt>
                <c:pt idx="335">
                  <c:v>40457</c:v>
                </c:pt>
                <c:pt idx="336">
                  <c:v>40458</c:v>
                </c:pt>
                <c:pt idx="337">
                  <c:v>40459</c:v>
                </c:pt>
                <c:pt idx="338">
                  <c:v>40462</c:v>
                </c:pt>
                <c:pt idx="339">
                  <c:v>40463</c:v>
                </c:pt>
                <c:pt idx="340">
                  <c:v>40464</c:v>
                </c:pt>
                <c:pt idx="341">
                  <c:v>40465</c:v>
                </c:pt>
                <c:pt idx="342">
                  <c:v>40466</c:v>
                </c:pt>
                <c:pt idx="343">
                  <c:v>40469</c:v>
                </c:pt>
                <c:pt idx="344">
                  <c:v>40470</c:v>
                </c:pt>
                <c:pt idx="345">
                  <c:v>40471</c:v>
                </c:pt>
                <c:pt idx="346">
                  <c:v>40472</c:v>
                </c:pt>
                <c:pt idx="347">
                  <c:v>40473</c:v>
                </c:pt>
                <c:pt idx="348">
                  <c:v>40476</c:v>
                </c:pt>
                <c:pt idx="349">
                  <c:v>40477</c:v>
                </c:pt>
                <c:pt idx="350">
                  <c:v>40478</c:v>
                </c:pt>
                <c:pt idx="351">
                  <c:v>40479</c:v>
                </c:pt>
                <c:pt idx="352">
                  <c:v>40480</c:v>
                </c:pt>
                <c:pt idx="353">
                  <c:v>40483</c:v>
                </c:pt>
                <c:pt idx="354">
                  <c:v>40484</c:v>
                </c:pt>
                <c:pt idx="355">
                  <c:v>40485</c:v>
                </c:pt>
                <c:pt idx="356">
                  <c:v>40486</c:v>
                </c:pt>
                <c:pt idx="357">
                  <c:v>40487</c:v>
                </c:pt>
                <c:pt idx="358">
                  <c:v>40490</c:v>
                </c:pt>
                <c:pt idx="359">
                  <c:v>40491</c:v>
                </c:pt>
                <c:pt idx="360">
                  <c:v>40492</c:v>
                </c:pt>
                <c:pt idx="361">
                  <c:v>40493</c:v>
                </c:pt>
                <c:pt idx="362">
                  <c:v>40494</c:v>
                </c:pt>
                <c:pt idx="363">
                  <c:v>40497</c:v>
                </c:pt>
                <c:pt idx="364">
                  <c:v>40498</c:v>
                </c:pt>
                <c:pt idx="365">
                  <c:v>40499</c:v>
                </c:pt>
                <c:pt idx="366">
                  <c:v>40500</c:v>
                </c:pt>
                <c:pt idx="367">
                  <c:v>40501</c:v>
                </c:pt>
                <c:pt idx="368">
                  <c:v>40504</c:v>
                </c:pt>
                <c:pt idx="369">
                  <c:v>40505</c:v>
                </c:pt>
                <c:pt idx="370">
                  <c:v>40506</c:v>
                </c:pt>
                <c:pt idx="371">
                  <c:v>40508</c:v>
                </c:pt>
                <c:pt idx="372">
                  <c:v>40511</c:v>
                </c:pt>
                <c:pt idx="373">
                  <c:v>40512</c:v>
                </c:pt>
                <c:pt idx="374">
                  <c:v>40513</c:v>
                </c:pt>
                <c:pt idx="375">
                  <c:v>40514</c:v>
                </c:pt>
                <c:pt idx="376">
                  <c:v>40515</c:v>
                </c:pt>
                <c:pt idx="377">
                  <c:v>40518</c:v>
                </c:pt>
                <c:pt idx="378">
                  <c:v>40519</c:v>
                </c:pt>
                <c:pt idx="379">
                  <c:v>40520</c:v>
                </c:pt>
                <c:pt idx="380">
                  <c:v>40521</c:v>
                </c:pt>
                <c:pt idx="381">
                  <c:v>40522</c:v>
                </c:pt>
                <c:pt idx="382">
                  <c:v>40525</c:v>
                </c:pt>
                <c:pt idx="383">
                  <c:v>40526</c:v>
                </c:pt>
                <c:pt idx="384">
                  <c:v>40527</c:v>
                </c:pt>
                <c:pt idx="385">
                  <c:v>40528</c:v>
                </c:pt>
                <c:pt idx="386">
                  <c:v>40529</c:v>
                </c:pt>
                <c:pt idx="387">
                  <c:v>40532</c:v>
                </c:pt>
                <c:pt idx="388">
                  <c:v>40533</c:v>
                </c:pt>
                <c:pt idx="389">
                  <c:v>40534</c:v>
                </c:pt>
                <c:pt idx="390">
                  <c:v>40535</c:v>
                </c:pt>
                <c:pt idx="391">
                  <c:v>40539</c:v>
                </c:pt>
                <c:pt idx="392">
                  <c:v>40540</c:v>
                </c:pt>
                <c:pt idx="393">
                  <c:v>40541</c:v>
                </c:pt>
                <c:pt idx="394">
                  <c:v>40542</c:v>
                </c:pt>
                <c:pt idx="395">
                  <c:v>40543</c:v>
                </c:pt>
                <c:pt idx="396">
                  <c:v>40546</c:v>
                </c:pt>
                <c:pt idx="397">
                  <c:v>40547</c:v>
                </c:pt>
                <c:pt idx="398">
                  <c:v>40548</c:v>
                </c:pt>
                <c:pt idx="399">
                  <c:v>40549</c:v>
                </c:pt>
                <c:pt idx="400">
                  <c:v>40550</c:v>
                </c:pt>
                <c:pt idx="401">
                  <c:v>40553</c:v>
                </c:pt>
                <c:pt idx="402">
                  <c:v>40554</c:v>
                </c:pt>
                <c:pt idx="403">
                  <c:v>40555</c:v>
                </c:pt>
                <c:pt idx="404">
                  <c:v>40556</c:v>
                </c:pt>
                <c:pt idx="405">
                  <c:v>40557</c:v>
                </c:pt>
                <c:pt idx="406">
                  <c:v>40561</c:v>
                </c:pt>
                <c:pt idx="407">
                  <c:v>40562</c:v>
                </c:pt>
                <c:pt idx="408">
                  <c:v>40563</c:v>
                </c:pt>
                <c:pt idx="409">
                  <c:v>40564</c:v>
                </c:pt>
                <c:pt idx="410">
                  <c:v>40567</c:v>
                </c:pt>
                <c:pt idx="411">
                  <c:v>40568</c:v>
                </c:pt>
                <c:pt idx="412">
                  <c:v>40569</c:v>
                </c:pt>
                <c:pt idx="413">
                  <c:v>40570</c:v>
                </c:pt>
                <c:pt idx="414">
                  <c:v>40571</c:v>
                </c:pt>
                <c:pt idx="415">
                  <c:v>40574</c:v>
                </c:pt>
                <c:pt idx="416">
                  <c:v>40575</c:v>
                </c:pt>
                <c:pt idx="417">
                  <c:v>40576</c:v>
                </c:pt>
                <c:pt idx="418">
                  <c:v>40577</c:v>
                </c:pt>
                <c:pt idx="419">
                  <c:v>40578</c:v>
                </c:pt>
                <c:pt idx="420">
                  <c:v>40581</c:v>
                </c:pt>
                <c:pt idx="421">
                  <c:v>40582</c:v>
                </c:pt>
                <c:pt idx="422">
                  <c:v>40583</c:v>
                </c:pt>
                <c:pt idx="423">
                  <c:v>40584</c:v>
                </c:pt>
                <c:pt idx="424">
                  <c:v>40585</c:v>
                </c:pt>
                <c:pt idx="425">
                  <c:v>40588</c:v>
                </c:pt>
                <c:pt idx="426">
                  <c:v>40589</c:v>
                </c:pt>
                <c:pt idx="427">
                  <c:v>40590</c:v>
                </c:pt>
                <c:pt idx="428">
                  <c:v>40591</c:v>
                </c:pt>
                <c:pt idx="429">
                  <c:v>40592</c:v>
                </c:pt>
                <c:pt idx="430">
                  <c:v>40596</c:v>
                </c:pt>
                <c:pt idx="431">
                  <c:v>40597</c:v>
                </c:pt>
                <c:pt idx="432">
                  <c:v>40598</c:v>
                </c:pt>
                <c:pt idx="433">
                  <c:v>40599</c:v>
                </c:pt>
                <c:pt idx="434">
                  <c:v>40602</c:v>
                </c:pt>
                <c:pt idx="435">
                  <c:v>40603</c:v>
                </c:pt>
                <c:pt idx="436">
                  <c:v>40604</c:v>
                </c:pt>
                <c:pt idx="437">
                  <c:v>40605</c:v>
                </c:pt>
                <c:pt idx="438">
                  <c:v>40606</c:v>
                </c:pt>
                <c:pt idx="439">
                  <c:v>40609</c:v>
                </c:pt>
                <c:pt idx="440">
                  <c:v>40610</c:v>
                </c:pt>
                <c:pt idx="441">
                  <c:v>40611</c:v>
                </c:pt>
                <c:pt idx="442">
                  <c:v>40612</c:v>
                </c:pt>
                <c:pt idx="443">
                  <c:v>40613</c:v>
                </c:pt>
                <c:pt idx="444">
                  <c:v>40616</c:v>
                </c:pt>
                <c:pt idx="445">
                  <c:v>40617</c:v>
                </c:pt>
                <c:pt idx="446">
                  <c:v>40618</c:v>
                </c:pt>
                <c:pt idx="447">
                  <c:v>40619</c:v>
                </c:pt>
                <c:pt idx="448">
                  <c:v>40620</c:v>
                </c:pt>
                <c:pt idx="449">
                  <c:v>40623</c:v>
                </c:pt>
                <c:pt idx="450">
                  <c:v>40624</c:v>
                </c:pt>
                <c:pt idx="451">
                  <c:v>40625</c:v>
                </c:pt>
                <c:pt idx="452">
                  <c:v>40626</c:v>
                </c:pt>
                <c:pt idx="453">
                  <c:v>40627</c:v>
                </c:pt>
                <c:pt idx="454">
                  <c:v>40630</c:v>
                </c:pt>
                <c:pt idx="455">
                  <c:v>40631</c:v>
                </c:pt>
                <c:pt idx="456">
                  <c:v>40632</c:v>
                </c:pt>
                <c:pt idx="457">
                  <c:v>40633</c:v>
                </c:pt>
                <c:pt idx="458">
                  <c:v>40634</c:v>
                </c:pt>
                <c:pt idx="459">
                  <c:v>40637</c:v>
                </c:pt>
                <c:pt idx="460">
                  <c:v>40638</c:v>
                </c:pt>
                <c:pt idx="461">
                  <c:v>40639</c:v>
                </c:pt>
                <c:pt idx="462">
                  <c:v>40640</c:v>
                </c:pt>
                <c:pt idx="463">
                  <c:v>40641</c:v>
                </c:pt>
                <c:pt idx="464">
                  <c:v>40644</c:v>
                </c:pt>
                <c:pt idx="465">
                  <c:v>40645</c:v>
                </c:pt>
                <c:pt idx="466">
                  <c:v>40646</c:v>
                </c:pt>
                <c:pt idx="467">
                  <c:v>40647</c:v>
                </c:pt>
                <c:pt idx="468">
                  <c:v>40648</c:v>
                </c:pt>
                <c:pt idx="469">
                  <c:v>40651</c:v>
                </c:pt>
                <c:pt idx="470">
                  <c:v>40652</c:v>
                </c:pt>
                <c:pt idx="471">
                  <c:v>40653</c:v>
                </c:pt>
                <c:pt idx="472">
                  <c:v>40654</c:v>
                </c:pt>
                <c:pt idx="473">
                  <c:v>40658</c:v>
                </c:pt>
                <c:pt idx="474">
                  <c:v>40659</c:v>
                </c:pt>
                <c:pt idx="475">
                  <c:v>40660</c:v>
                </c:pt>
                <c:pt idx="476">
                  <c:v>40661</c:v>
                </c:pt>
                <c:pt idx="477">
                  <c:v>40662</c:v>
                </c:pt>
                <c:pt idx="478">
                  <c:v>40665</c:v>
                </c:pt>
                <c:pt idx="479">
                  <c:v>40666</c:v>
                </c:pt>
                <c:pt idx="480">
                  <c:v>40667</c:v>
                </c:pt>
                <c:pt idx="481">
                  <c:v>40668</c:v>
                </c:pt>
                <c:pt idx="482">
                  <c:v>40669</c:v>
                </c:pt>
                <c:pt idx="483">
                  <c:v>40672</c:v>
                </c:pt>
                <c:pt idx="484">
                  <c:v>40673</c:v>
                </c:pt>
                <c:pt idx="485">
                  <c:v>40674</c:v>
                </c:pt>
                <c:pt idx="486">
                  <c:v>40675</c:v>
                </c:pt>
                <c:pt idx="487">
                  <c:v>40676</c:v>
                </c:pt>
                <c:pt idx="488">
                  <c:v>40679</c:v>
                </c:pt>
                <c:pt idx="489">
                  <c:v>40680</c:v>
                </c:pt>
                <c:pt idx="490">
                  <c:v>40681</c:v>
                </c:pt>
                <c:pt idx="491">
                  <c:v>40682</c:v>
                </c:pt>
                <c:pt idx="492">
                  <c:v>40683</c:v>
                </c:pt>
                <c:pt idx="493">
                  <c:v>40686</c:v>
                </c:pt>
                <c:pt idx="494">
                  <c:v>40687</c:v>
                </c:pt>
                <c:pt idx="495">
                  <c:v>40688</c:v>
                </c:pt>
                <c:pt idx="496">
                  <c:v>40689</c:v>
                </c:pt>
                <c:pt idx="497">
                  <c:v>40690</c:v>
                </c:pt>
                <c:pt idx="498">
                  <c:v>40694</c:v>
                </c:pt>
                <c:pt idx="499">
                  <c:v>40695</c:v>
                </c:pt>
                <c:pt idx="500">
                  <c:v>40696</c:v>
                </c:pt>
                <c:pt idx="501">
                  <c:v>40697</c:v>
                </c:pt>
                <c:pt idx="502">
                  <c:v>40700</c:v>
                </c:pt>
                <c:pt idx="503">
                  <c:v>40701</c:v>
                </c:pt>
                <c:pt idx="504">
                  <c:v>40702</c:v>
                </c:pt>
                <c:pt idx="505">
                  <c:v>40703</c:v>
                </c:pt>
                <c:pt idx="506">
                  <c:v>40704</c:v>
                </c:pt>
                <c:pt idx="507">
                  <c:v>40707</c:v>
                </c:pt>
                <c:pt idx="508">
                  <c:v>40708</c:v>
                </c:pt>
                <c:pt idx="509">
                  <c:v>40709</c:v>
                </c:pt>
                <c:pt idx="510">
                  <c:v>40710</c:v>
                </c:pt>
                <c:pt idx="511">
                  <c:v>40711</c:v>
                </c:pt>
                <c:pt idx="512">
                  <c:v>40714</c:v>
                </c:pt>
                <c:pt idx="513">
                  <c:v>40715</c:v>
                </c:pt>
                <c:pt idx="514">
                  <c:v>40716</c:v>
                </c:pt>
                <c:pt idx="515">
                  <c:v>40717</c:v>
                </c:pt>
                <c:pt idx="516">
                  <c:v>40718</c:v>
                </c:pt>
                <c:pt idx="517">
                  <c:v>40721</c:v>
                </c:pt>
                <c:pt idx="518">
                  <c:v>40722</c:v>
                </c:pt>
                <c:pt idx="519">
                  <c:v>40723</c:v>
                </c:pt>
                <c:pt idx="520">
                  <c:v>40724</c:v>
                </c:pt>
                <c:pt idx="521">
                  <c:v>40725</c:v>
                </c:pt>
                <c:pt idx="522">
                  <c:v>40729</c:v>
                </c:pt>
                <c:pt idx="523">
                  <c:v>40730</c:v>
                </c:pt>
                <c:pt idx="524">
                  <c:v>40731</c:v>
                </c:pt>
                <c:pt idx="525">
                  <c:v>40732</c:v>
                </c:pt>
                <c:pt idx="526">
                  <c:v>40735</c:v>
                </c:pt>
                <c:pt idx="527">
                  <c:v>40736</c:v>
                </c:pt>
                <c:pt idx="528">
                  <c:v>40737</c:v>
                </c:pt>
                <c:pt idx="529">
                  <c:v>40738</c:v>
                </c:pt>
                <c:pt idx="530">
                  <c:v>40739</c:v>
                </c:pt>
                <c:pt idx="531">
                  <c:v>40742</c:v>
                </c:pt>
                <c:pt idx="532">
                  <c:v>40743</c:v>
                </c:pt>
                <c:pt idx="533">
                  <c:v>40744</c:v>
                </c:pt>
                <c:pt idx="534">
                  <c:v>40745</c:v>
                </c:pt>
                <c:pt idx="535">
                  <c:v>40746</c:v>
                </c:pt>
                <c:pt idx="536">
                  <c:v>40749</c:v>
                </c:pt>
                <c:pt idx="537">
                  <c:v>40750</c:v>
                </c:pt>
                <c:pt idx="538">
                  <c:v>40751</c:v>
                </c:pt>
                <c:pt idx="539">
                  <c:v>40752</c:v>
                </c:pt>
                <c:pt idx="540">
                  <c:v>40753</c:v>
                </c:pt>
                <c:pt idx="541">
                  <c:v>40756</c:v>
                </c:pt>
                <c:pt idx="542">
                  <c:v>40757</c:v>
                </c:pt>
                <c:pt idx="543">
                  <c:v>40758</c:v>
                </c:pt>
                <c:pt idx="544">
                  <c:v>40759</c:v>
                </c:pt>
                <c:pt idx="545">
                  <c:v>40760</c:v>
                </c:pt>
                <c:pt idx="546">
                  <c:v>40763</c:v>
                </c:pt>
                <c:pt idx="547">
                  <c:v>40764</c:v>
                </c:pt>
                <c:pt idx="548">
                  <c:v>40765</c:v>
                </c:pt>
                <c:pt idx="549">
                  <c:v>40766</c:v>
                </c:pt>
                <c:pt idx="550">
                  <c:v>40767</c:v>
                </c:pt>
                <c:pt idx="551">
                  <c:v>40770</c:v>
                </c:pt>
                <c:pt idx="552">
                  <c:v>40771</c:v>
                </c:pt>
                <c:pt idx="553">
                  <c:v>40772</c:v>
                </c:pt>
                <c:pt idx="554">
                  <c:v>40773</c:v>
                </c:pt>
                <c:pt idx="555">
                  <c:v>40774</c:v>
                </c:pt>
                <c:pt idx="556">
                  <c:v>40777</c:v>
                </c:pt>
                <c:pt idx="557">
                  <c:v>40778</c:v>
                </c:pt>
                <c:pt idx="558">
                  <c:v>40779</c:v>
                </c:pt>
                <c:pt idx="559">
                  <c:v>40780</c:v>
                </c:pt>
                <c:pt idx="560">
                  <c:v>40781</c:v>
                </c:pt>
                <c:pt idx="561">
                  <c:v>40784</c:v>
                </c:pt>
                <c:pt idx="562">
                  <c:v>40785</c:v>
                </c:pt>
                <c:pt idx="563">
                  <c:v>40786</c:v>
                </c:pt>
                <c:pt idx="564">
                  <c:v>40787</c:v>
                </c:pt>
                <c:pt idx="565">
                  <c:v>40788</c:v>
                </c:pt>
                <c:pt idx="566">
                  <c:v>40792</c:v>
                </c:pt>
                <c:pt idx="567">
                  <c:v>40793</c:v>
                </c:pt>
                <c:pt idx="568">
                  <c:v>40794</c:v>
                </c:pt>
                <c:pt idx="569">
                  <c:v>40795</c:v>
                </c:pt>
                <c:pt idx="570">
                  <c:v>40798</c:v>
                </c:pt>
                <c:pt idx="571">
                  <c:v>40799</c:v>
                </c:pt>
                <c:pt idx="572">
                  <c:v>40800</c:v>
                </c:pt>
                <c:pt idx="573">
                  <c:v>40801</c:v>
                </c:pt>
                <c:pt idx="574">
                  <c:v>40802</c:v>
                </c:pt>
                <c:pt idx="575">
                  <c:v>40805</c:v>
                </c:pt>
                <c:pt idx="576">
                  <c:v>40806</c:v>
                </c:pt>
                <c:pt idx="577">
                  <c:v>40807</c:v>
                </c:pt>
                <c:pt idx="578">
                  <c:v>40808</c:v>
                </c:pt>
                <c:pt idx="579">
                  <c:v>40809</c:v>
                </c:pt>
                <c:pt idx="580">
                  <c:v>40812</c:v>
                </c:pt>
                <c:pt idx="581">
                  <c:v>40813</c:v>
                </c:pt>
                <c:pt idx="582">
                  <c:v>40814</c:v>
                </c:pt>
                <c:pt idx="583">
                  <c:v>40815</c:v>
                </c:pt>
                <c:pt idx="584">
                  <c:v>40816</c:v>
                </c:pt>
                <c:pt idx="585">
                  <c:v>40819</c:v>
                </c:pt>
                <c:pt idx="586">
                  <c:v>40820</c:v>
                </c:pt>
                <c:pt idx="587">
                  <c:v>40821</c:v>
                </c:pt>
                <c:pt idx="588">
                  <c:v>40822</c:v>
                </c:pt>
                <c:pt idx="589">
                  <c:v>40823</c:v>
                </c:pt>
                <c:pt idx="590">
                  <c:v>40826</c:v>
                </c:pt>
                <c:pt idx="591">
                  <c:v>40827</c:v>
                </c:pt>
                <c:pt idx="592">
                  <c:v>40828</c:v>
                </c:pt>
                <c:pt idx="593">
                  <c:v>40829</c:v>
                </c:pt>
                <c:pt idx="594">
                  <c:v>40830</c:v>
                </c:pt>
                <c:pt idx="595">
                  <c:v>40833</c:v>
                </c:pt>
                <c:pt idx="596">
                  <c:v>40834</c:v>
                </c:pt>
                <c:pt idx="597">
                  <c:v>40835</c:v>
                </c:pt>
                <c:pt idx="598">
                  <c:v>40836</c:v>
                </c:pt>
                <c:pt idx="599">
                  <c:v>40837</c:v>
                </c:pt>
                <c:pt idx="600">
                  <c:v>40840</c:v>
                </c:pt>
                <c:pt idx="601">
                  <c:v>40841</c:v>
                </c:pt>
                <c:pt idx="602">
                  <c:v>40842</c:v>
                </c:pt>
                <c:pt idx="603">
                  <c:v>40843</c:v>
                </c:pt>
                <c:pt idx="604">
                  <c:v>40844</c:v>
                </c:pt>
                <c:pt idx="605">
                  <c:v>40847</c:v>
                </c:pt>
                <c:pt idx="606">
                  <c:v>40848</c:v>
                </c:pt>
                <c:pt idx="607">
                  <c:v>40849</c:v>
                </c:pt>
                <c:pt idx="608">
                  <c:v>40850</c:v>
                </c:pt>
                <c:pt idx="609">
                  <c:v>40851</c:v>
                </c:pt>
                <c:pt idx="610">
                  <c:v>40854</c:v>
                </c:pt>
                <c:pt idx="611">
                  <c:v>40855</c:v>
                </c:pt>
                <c:pt idx="612">
                  <c:v>40856</c:v>
                </c:pt>
                <c:pt idx="613">
                  <c:v>40857</c:v>
                </c:pt>
                <c:pt idx="614">
                  <c:v>40858</c:v>
                </c:pt>
                <c:pt idx="615">
                  <c:v>40861</c:v>
                </c:pt>
                <c:pt idx="616">
                  <c:v>40862</c:v>
                </c:pt>
                <c:pt idx="617">
                  <c:v>40863</c:v>
                </c:pt>
                <c:pt idx="618">
                  <c:v>40864</c:v>
                </c:pt>
                <c:pt idx="619">
                  <c:v>40865</c:v>
                </c:pt>
                <c:pt idx="620">
                  <c:v>40868</c:v>
                </c:pt>
                <c:pt idx="621">
                  <c:v>40869</c:v>
                </c:pt>
                <c:pt idx="622">
                  <c:v>40870</c:v>
                </c:pt>
                <c:pt idx="623">
                  <c:v>40872</c:v>
                </c:pt>
                <c:pt idx="624">
                  <c:v>40875</c:v>
                </c:pt>
                <c:pt idx="625">
                  <c:v>40876</c:v>
                </c:pt>
                <c:pt idx="626">
                  <c:v>40877</c:v>
                </c:pt>
                <c:pt idx="627">
                  <c:v>40878</c:v>
                </c:pt>
                <c:pt idx="628">
                  <c:v>40879</c:v>
                </c:pt>
                <c:pt idx="629">
                  <c:v>40882</c:v>
                </c:pt>
                <c:pt idx="630">
                  <c:v>40883</c:v>
                </c:pt>
                <c:pt idx="631">
                  <c:v>40884</c:v>
                </c:pt>
                <c:pt idx="632">
                  <c:v>40885</c:v>
                </c:pt>
                <c:pt idx="633">
                  <c:v>40886</c:v>
                </c:pt>
                <c:pt idx="634">
                  <c:v>40889</c:v>
                </c:pt>
                <c:pt idx="635">
                  <c:v>40890</c:v>
                </c:pt>
                <c:pt idx="636">
                  <c:v>40891</c:v>
                </c:pt>
                <c:pt idx="637">
                  <c:v>40892</c:v>
                </c:pt>
                <c:pt idx="638">
                  <c:v>40893</c:v>
                </c:pt>
                <c:pt idx="639">
                  <c:v>40896</c:v>
                </c:pt>
                <c:pt idx="640">
                  <c:v>40897</c:v>
                </c:pt>
                <c:pt idx="641">
                  <c:v>40898</c:v>
                </c:pt>
                <c:pt idx="642">
                  <c:v>40899</c:v>
                </c:pt>
                <c:pt idx="643">
                  <c:v>40900</c:v>
                </c:pt>
                <c:pt idx="644">
                  <c:v>40904</c:v>
                </c:pt>
                <c:pt idx="645">
                  <c:v>40905</c:v>
                </c:pt>
                <c:pt idx="646">
                  <c:v>40906</c:v>
                </c:pt>
                <c:pt idx="647">
                  <c:v>40907</c:v>
                </c:pt>
                <c:pt idx="648">
                  <c:v>40911</c:v>
                </c:pt>
                <c:pt idx="649">
                  <c:v>40912</c:v>
                </c:pt>
                <c:pt idx="650">
                  <c:v>40913</c:v>
                </c:pt>
                <c:pt idx="651">
                  <c:v>40914</c:v>
                </c:pt>
                <c:pt idx="652">
                  <c:v>40917</c:v>
                </c:pt>
                <c:pt idx="653">
                  <c:v>40918</c:v>
                </c:pt>
                <c:pt idx="654">
                  <c:v>40919</c:v>
                </c:pt>
                <c:pt idx="655">
                  <c:v>40920</c:v>
                </c:pt>
                <c:pt idx="656">
                  <c:v>40921</c:v>
                </c:pt>
                <c:pt idx="657">
                  <c:v>40925</c:v>
                </c:pt>
                <c:pt idx="658">
                  <c:v>40926</c:v>
                </c:pt>
                <c:pt idx="659">
                  <c:v>40927</c:v>
                </c:pt>
                <c:pt idx="660">
                  <c:v>40928</c:v>
                </c:pt>
                <c:pt idx="661">
                  <c:v>40931</c:v>
                </c:pt>
                <c:pt idx="662">
                  <c:v>40932</c:v>
                </c:pt>
                <c:pt idx="663">
                  <c:v>40933</c:v>
                </c:pt>
                <c:pt idx="664">
                  <c:v>40934</c:v>
                </c:pt>
                <c:pt idx="665">
                  <c:v>40935</c:v>
                </c:pt>
                <c:pt idx="666">
                  <c:v>40938</c:v>
                </c:pt>
                <c:pt idx="667">
                  <c:v>40939</c:v>
                </c:pt>
                <c:pt idx="668">
                  <c:v>40940</c:v>
                </c:pt>
                <c:pt idx="669">
                  <c:v>40941</c:v>
                </c:pt>
                <c:pt idx="670">
                  <c:v>40942</c:v>
                </c:pt>
                <c:pt idx="671">
                  <c:v>40945</c:v>
                </c:pt>
                <c:pt idx="672">
                  <c:v>40946</c:v>
                </c:pt>
                <c:pt idx="673">
                  <c:v>40947</c:v>
                </c:pt>
                <c:pt idx="674">
                  <c:v>40948</c:v>
                </c:pt>
                <c:pt idx="675">
                  <c:v>40949</c:v>
                </c:pt>
                <c:pt idx="676">
                  <c:v>40952</c:v>
                </c:pt>
                <c:pt idx="677">
                  <c:v>40953</c:v>
                </c:pt>
                <c:pt idx="678">
                  <c:v>40954</c:v>
                </c:pt>
                <c:pt idx="679">
                  <c:v>40955</c:v>
                </c:pt>
                <c:pt idx="680">
                  <c:v>40956</c:v>
                </c:pt>
                <c:pt idx="681">
                  <c:v>40960</c:v>
                </c:pt>
                <c:pt idx="682">
                  <c:v>40961</c:v>
                </c:pt>
                <c:pt idx="683">
                  <c:v>40962</c:v>
                </c:pt>
                <c:pt idx="684">
                  <c:v>40963</c:v>
                </c:pt>
                <c:pt idx="685">
                  <c:v>40966</c:v>
                </c:pt>
                <c:pt idx="686">
                  <c:v>40967</c:v>
                </c:pt>
                <c:pt idx="687">
                  <c:v>40968</c:v>
                </c:pt>
                <c:pt idx="688">
                  <c:v>40969</c:v>
                </c:pt>
                <c:pt idx="689">
                  <c:v>40970</c:v>
                </c:pt>
                <c:pt idx="690">
                  <c:v>40973</c:v>
                </c:pt>
                <c:pt idx="691">
                  <c:v>40974</c:v>
                </c:pt>
                <c:pt idx="692">
                  <c:v>40975</c:v>
                </c:pt>
                <c:pt idx="693">
                  <c:v>40976</c:v>
                </c:pt>
                <c:pt idx="694">
                  <c:v>40977</c:v>
                </c:pt>
                <c:pt idx="695">
                  <c:v>40980</c:v>
                </c:pt>
                <c:pt idx="696">
                  <c:v>40981</c:v>
                </c:pt>
                <c:pt idx="697">
                  <c:v>40982</c:v>
                </c:pt>
                <c:pt idx="698">
                  <c:v>40983</c:v>
                </c:pt>
                <c:pt idx="699">
                  <c:v>40984</c:v>
                </c:pt>
                <c:pt idx="700">
                  <c:v>40987</c:v>
                </c:pt>
                <c:pt idx="701">
                  <c:v>40988</c:v>
                </c:pt>
                <c:pt idx="702">
                  <c:v>40989</c:v>
                </c:pt>
                <c:pt idx="703">
                  <c:v>40990</c:v>
                </c:pt>
                <c:pt idx="704">
                  <c:v>40991</c:v>
                </c:pt>
                <c:pt idx="705">
                  <c:v>40994</c:v>
                </c:pt>
                <c:pt idx="706">
                  <c:v>40995</c:v>
                </c:pt>
                <c:pt idx="707">
                  <c:v>40996</c:v>
                </c:pt>
                <c:pt idx="708">
                  <c:v>40997</c:v>
                </c:pt>
                <c:pt idx="709">
                  <c:v>40998</c:v>
                </c:pt>
                <c:pt idx="710">
                  <c:v>41001</c:v>
                </c:pt>
                <c:pt idx="711">
                  <c:v>41002</c:v>
                </c:pt>
                <c:pt idx="712">
                  <c:v>41003</c:v>
                </c:pt>
                <c:pt idx="713">
                  <c:v>41004</c:v>
                </c:pt>
                <c:pt idx="714">
                  <c:v>41008</c:v>
                </c:pt>
                <c:pt idx="715">
                  <c:v>41009</c:v>
                </c:pt>
                <c:pt idx="716">
                  <c:v>41010</c:v>
                </c:pt>
                <c:pt idx="717">
                  <c:v>41011</c:v>
                </c:pt>
                <c:pt idx="718">
                  <c:v>41012</c:v>
                </c:pt>
                <c:pt idx="719">
                  <c:v>41015</c:v>
                </c:pt>
                <c:pt idx="720">
                  <c:v>41016</c:v>
                </c:pt>
                <c:pt idx="721">
                  <c:v>41017</c:v>
                </c:pt>
                <c:pt idx="722">
                  <c:v>41018</c:v>
                </c:pt>
                <c:pt idx="723">
                  <c:v>41019</c:v>
                </c:pt>
                <c:pt idx="724">
                  <c:v>41022</c:v>
                </c:pt>
                <c:pt idx="725">
                  <c:v>41023</c:v>
                </c:pt>
                <c:pt idx="726">
                  <c:v>41024</c:v>
                </c:pt>
                <c:pt idx="727">
                  <c:v>41025</c:v>
                </c:pt>
                <c:pt idx="728">
                  <c:v>41026</c:v>
                </c:pt>
                <c:pt idx="729">
                  <c:v>41029</c:v>
                </c:pt>
                <c:pt idx="730">
                  <c:v>41030</c:v>
                </c:pt>
                <c:pt idx="731">
                  <c:v>41031</c:v>
                </c:pt>
                <c:pt idx="732">
                  <c:v>41032</c:v>
                </c:pt>
                <c:pt idx="733">
                  <c:v>41033</c:v>
                </c:pt>
                <c:pt idx="734">
                  <c:v>41036</c:v>
                </c:pt>
                <c:pt idx="735">
                  <c:v>41037</c:v>
                </c:pt>
                <c:pt idx="736">
                  <c:v>41038</c:v>
                </c:pt>
                <c:pt idx="737">
                  <c:v>41039</c:v>
                </c:pt>
                <c:pt idx="738">
                  <c:v>41040</c:v>
                </c:pt>
                <c:pt idx="739">
                  <c:v>41043</c:v>
                </c:pt>
                <c:pt idx="740">
                  <c:v>41044</c:v>
                </c:pt>
                <c:pt idx="741">
                  <c:v>41045</c:v>
                </c:pt>
                <c:pt idx="742">
                  <c:v>41046</c:v>
                </c:pt>
                <c:pt idx="743">
                  <c:v>41047</c:v>
                </c:pt>
                <c:pt idx="744">
                  <c:v>41050</c:v>
                </c:pt>
                <c:pt idx="745">
                  <c:v>41051</c:v>
                </c:pt>
                <c:pt idx="746">
                  <c:v>41052</c:v>
                </c:pt>
                <c:pt idx="747">
                  <c:v>41053</c:v>
                </c:pt>
                <c:pt idx="748">
                  <c:v>41054</c:v>
                </c:pt>
                <c:pt idx="749">
                  <c:v>41058</c:v>
                </c:pt>
                <c:pt idx="750">
                  <c:v>41059</c:v>
                </c:pt>
                <c:pt idx="751">
                  <c:v>41060</c:v>
                </c:pt>
                <c:pt idx="752">
                  <c:v>41061</c:v>
                </c:pt>
                <c:pt idx="753">
                  <c:v>41064</c:v>
                </c:pt>
                <c:pt idx="754">
                  <c:v>41065</c:v>
                </c:pt>
                <c:pt idx="755">
                  <c:v>41066</c:v>
                </c:pt>
                <c:pt idx="756">
                  <c:v>41067</c:v>
                </c:pt>
                <c:pt idx="757">
                  <c:v>41068</c:v>
                </c:pt>
                <c:pt idx="758">
                  <c:v>41071</c:v>
                </c:pt>
                <c:pt idx="759">
                  <c:v>41072</c:v>
                </c:pt>
                <c:pt idx="760">
                  <c:v>41073</c:v>
                </c:pt>
                <c:pt idx="761">
                  <c:v>41074</c:v>
                </c:pt>
                <c:pt idx="762">
                  <c:v>41075</c:v>
                </c:pt>
                <c:pt idx="763">
                  <c:v>41078</c:v>
                </c:pt>
                <c:pt idx="764">
                  <c:v>41079</c:v>
                </c:pt>
                <c:pt idx="765">
                  <c:v>41080</c:v>
                </c:pt>
                <c:pt idx="766">
                  <c:v>41081</c:v>
                </c:pt>
                <c:pt idx="767">
                  <c:v>41082</c:v>
                </c:pt>
                <c:pt idx="768">
                  <c:v>41085</c:v>
                </c:pt>
                <c:pt idx="769">
                  <c:v>41086</c:v>
                </c:pt>
                <c:pt idx="770">
                  <c:v>41087</c:v>
                </c:pt>
                <c:pt idx="771">
                  <c:v>41088</c:v>
                </c:pt>
                <c:pt idx="772">
                  <c:v>41089</c:v>
                </c:pt>
                <c:pt idx="773">
                  <c:v>41092</c:v>
                </c:pt>
                <c:pt idx="774">
                  <c:v>41093</c:v>
                </c:pt>
                <c:pt idx="775">
                  <c:v>41095</c:v>
                </c:pt>
                <c:pt idx="776">
                  <c:v>41096</c:v>
                </c:pt>
                <c:pt idx="777">
                  <c:v>41099</c:v>
                </c:pt>
                <c:pt idx="778">
                  <c:v>41100</c:v>
                </c:pt>
                <c:pt idx="779">
                  <c:v>41101</c:v>
                </c:pt>
                <c:pt idx="780">
                  <c:v>41102</c:v>
                </c:pt>
                <c:pt idx="781">
                  <c:v>41103</c:v>
                </c:pt>
                <c:pt idx="782">
                  <c:v>41106</c:v>
                </c:pt>
                <c:pt idx="783">
                  <c:v>41107</c:v>
                </c:pt>
                <c:pt idx="784">
                  <c:v>41108</c:v>
                </c:pt>
                <c:pt idx="785">
                  <c:v>41109</c:v>
                </c:pt>
                <c:pt idx="786">
                  <c:v>41110</c:v>
                </c:pt>
                <c:pt idx="787">
                  <c:v>41113</c:v>
                </c:pt>
                <c:pt idx="788">
                  <c:v>41114</c:v>
                </c:pt>
                <c:pt idx="789">
                  <c:v>41115</c:v>
                </c:pt>
                <c:pt idx="790">
                  <c:v>41116</c:v>
                </c:pt>
                <c:pt idx="791">
                  <c:v>41117</c:v>
                </c:pt>
                <c:pt idx="792">
                  <c:v>41120</c:v>
                </c:pt>
                <c:pt idx="793">
                  <c:v>41121</c:v>
                </c:pt>
                <c:pt idx="794">
                  <c:v>41122</c:v>
                </c:pt>
                <c:pt idx="795">
                  <c:v>41123</c:v>
                </c:pt>
                <c:pt idx="796">
                  <c:v>41124</c:v>
                </c:pt>
                <c:pt idx="797">
                  <c:v>41127</c:v>
                </c:pt>
                <c:pt idx="798">
                  <c:v>41128</c:v>
                </c:pt>
                <c:pt idx="799">
                  <c:v>41129</c:v>
                </c:pt>
                <c:pt idx="800">
                  <c:v>41130</c:v>
                </c:pt>
                <c:pt idx="801">
                  <c:v>41131</c:v>
                </c:pt>
                <c:pt idx="802">
                  <c:v>41134</c:v>
                </c:pt>
                <c:pt idx="803">
                  <c:v>41135</c:v>
                </c:pt>
                <c:pt idx="804">
                  <c:v>41136</c:v>
                </c:pt>
                <c:pt idx="805">
                  <c:v>41137</c:v>
                </c:pt>
                <c:pt idx="806">
                  <c:v>41138</c:v>
                </c:pt>
                <c:pt idx="807">
                  <c:v>41141</c:v>
                </c:pt>
                <c:pt idx="808">
                  <c:v>41142</c:v>
                </c:pt>
                <c:pt idx="809">
                  <c:v>41143</c:v>
                </c:pt>
                <c:pt idx="810">
                  <c:v>41144</c:v>
                </c:pt>
                <c:pt idx="811">
                  <c:v>41145</c:v>
                </c:pt>
                <c:pt idx="812">
                  <c:v>41148</c:v>
                </c:pt>
                <c:pt idx="813">
                  <c:v>41149</c:v>
                </c:pt>
                <c:pt idx="814">
                  <c:v>41150</c:v>
                </c:pt>
                <c:pt idx="815">
                  <c:v>41151</c:v>
                </c:pt>
                <c:pt idx="816">
                  <c:v>41152</c:v>
                </c:pt>
                <c:pt idx="817">
                  <c:v>41156</c:v>
                </c:pt>
                <c:pt idx="818">
                  <c:v>41157</c:v>
                </c:pt>
                <c:pt idx="819">
                  <c:v>41158</c:v>
                </c:pt>
                <c:pt idx="820">
                  <c:v>41159</c:v>
                </c:pt>
                <c:pt idx="821">
                  <c:v>41162</c:v>
                </c:pt>
                <c:pt idx="822">
                  <c:v>41163</c:v>
                </c:pt>
                <c:pt idx="823">
                  <c:v>41164</c:v>
                </c:pt>
                <c:pt idx="824">
                  <c:v>41165</c:v>
                </c:pt>
                <c:pt idx="825">
                  <c:v>41166</c:v>
                </c:pt>
                <c:pt idx="826">
                  <c:v>41169</c:v>
                </c:pt>
                <c:pt idx="827">
                  <c:v>41170</c:v>
                </c:pt>
                <c:pt idx="828">
                  <c:v>41171</c:v>
                </c:pt>
                <c:pt idx="829">
                  <c:v>41172</c:v>
                </c:pt>
                <c:pt idx="830">
                  <c:v>41173</c:v>
                </c:pt>
                <c:pt idx="831">
                  <c:v>41176</c:v>
                </c:pt>
                <c:pt idx="832">
                  <c:v>41177</c:v>
                </c:pt>
                <c:pt idx="833">
                  <c:v>41178</c:v>
                </c:pt>
                <c:pt idx="834">
                  <c:v>41179</c:v>
                </c:pt>
                <c:pt idx="835">
                  <c:v>41180</c:v>
                </c:pt>
                <c:pt idx="836">
                  <c:v>41183</c:v>
                </c:pt>
                <c:pt idx="837">
                  <c:v>41184</c:v>
                </c:pt>
                <c:pt idx="838">
                  <c:v>41185</c:v>
                </c:pt>
                <c:pt idx="839">
                  <c:v>41186</c:v>
                </c:pt>
                <c:pt idx="840">
                  <c:v>41187</c:v>
                </c:pt>
                <c:pt idx="841">
                  <c:v>41190</c:v>
                </c:pt>
                <c:pt idx="842">
                  <c:v>41191</c:v>
                </c:pt>
                <c:pt idx="843">
                  <c:v>41192</c:v>
                </c:pt>
                <c:pt idx="844">
                  <c:v>41193</c:v>
                </c:pt>
                <c:pt idx="845">
                  <c:v>41194</c:v>
                </c:pt>
                <c:pt idx="846">
                  <c:v>41197</c:v>
                </c:pt>
                <c:pt idx="847">
                  <c:v>41198</c:v>
                </c:pt>
                <c:pt idx="848">
                  <c:v>41199</c:v>
                </c:pt>
                <c:pt idx="849">
                  <c:v>41200</c:v>
                </c:pt>
                <c:pt idx="850">
                  <c:v>41201</c:v>
                </c:pt>
                <c:pt idx="851">
                  <c:v>41204</c:v>
                </c:pt>
                <c:pt idx="852">
                  <c:v>41205</c:v>
                </c:pt>
                <c:pt idx="853">
                  <c:v>41206</c:v>
                </c:pt>
                <c:pt idx="854">
                  <c:v>41207</c:v>
                </c:pt>
                <c:pt idx="855">
                  <c:v>41208</c:v>
                </c:pt>
                <c:pt idx="856">
                  <c:v>41213</c:v>
                </c:pt>
                <c:pt idx="857">
                  <c:v>41214</c:v>
                </c:pt>
                <c:pt idx="858">
                  <c:v>41215</c:v>
                </c:pt>
                <c:pt idx="859">
                  <c:v>41218</c:v>
                </c:pt>
                <c:pt idx="860">
                  <c:v>41219</c:v>
                </c:pt>
                <c:pt idx="861">
                  <c:v>41220</c:v>
                </c:pt>
                <c:pt idx="862">
                  <c:v>41221</c:v>
                </c:pt>
                <c:pt idx="863">
                  <c:v>41222</c:v>
                </c:pt>
                <c:pt idx="864">
                  <c:v>41225</c:v>
                </c:pt>
                <c:pt idx="865">
                  <c:v>41226</c:v>
                </c:pt>
                <c:pt idx="866">
                  <c:v>41227</c:v>
                </c:pt>
                <c:pt idx="867">
                  <c:v>41228</c:v>
                </c:pt>
                <c:pt idx="868">
                  <c:v>41229</c:v>
                </c:pt>
                <c:pt idx="869">
                  <c:v>41232</c:v>
                </c:pt>
                <c:pt idx="870">
                  <c:v>41233</c:v>
                </c:pt>
                <c:pt idx="871">
                  <c:v>41234</c:v>
                </c:pt>
                <c:pt idx="872">
                  <c:v>41236</c:v>
                </c:pt>
                <c:pt idx="873">
                  <c:v>41239</c:v>
                </c:pt>
                <c:pt idx="874">
                  <c:v>41240</c:v>
                </c:pt>
                <c:pt idx="875">
                  <c:v>41241</c:v>
                </c:pt>
                <c:pt idx="876">
                  <c:v>41242</c:v>
                </c:pt>
                <c:pt idx="877">
                  <c:v>41243</c:v>
                </c:pt>
                <c:pt idx="878">
                  <c:v>41246</c:v>
                </c:pt>
                <c:pt idx="879">
                  <c:v>41247</c:v>
                </c:pt>
                <c:pt idx="880">
                  <c:v>41248</c:v>
                </c:pt>
                <c:pt idx="881">
                  <c:v>41249</c:v>
                </c:pt>
                <c:pt idx="882">
                  <c:v>41250</c:v>
                </c:pt>
                <c:pt idx="883">
                  <c:v>41253</c:v>
                </c:pt>
                <c:pt idx="884">
                  <c:v>41254</c:v>
                </c:pt>
                <c:pt idx="885">
                  <c:v>41255</c:v>
                </c:pt>
                <c:pt idx="886">
                  <c:v>41256</c:v>
                </c:pt>
                <c:pt idx="887">
                  <c:v>41257</c:v>
                </c:pt>
                <c:pt idx="888">
                  <c:v>41260</c:v>
                </c:pt>
                <c:pt idx="889">
                  <c:v>41261</c:v>
                </c:pt>
                <c:pt idx="890">
                  <c:v>41262</c:v>
                </c:pt>
                <c:pt idx="891">
                  <c:v>41263</c:v>
                </c:pt>
                <c:pt idx="892">
                  <c:v>41264</c:v>
                </c:pt>
                <c:pt idx="893">
                  <c:v>41267</c:v>
                </c:pt>
                <c:pt idx="894">
                  <c:v>41269</c:v>
                </c:pt>
                <c:pt idx="895">
                  <c:v>41270</c:v>
                </c:pt>
                <c:pt idx="896">
                  <c:v>41271</c:v>
                </c:pt>
                <c:pt idx="897">
                  <c:v>41274</c:v>
                </c:pt>
                <c:pt idx="898">
                  <c:v>41276</c:v>
                </c:pt>
                <c:pt idx="899">
                  <c:v>41277</c:v>
                </c:pt>
                <c:pt idx="900">
                  <c:v>41278</c:v>
                </c:pt>
                <c:pt idx="901">
                  <c:v>41281</c:v>
                </c:pt>
                <c:pt idx="902">
                  <c:v>41282</c:v>
                </c:pt>
                <c:pt idx="903">
                  <c:v>41283</c:v>
                </c:pt>
                <c:pt idx="904">
                  <c:v>41284</c:v>
                </c:pt>
                <c:pt idx="905">
                  <c:v>41285</c:v>
                </c:pt>
                <c:pt idx="906">
                  <c:v>41288</c:v>
                </c:pt>
                <c:pt idx="907">
                  <c:v>41289</c:v>
                </c:pt>
                <c:pt idx="908">
                  <c:v>41290</c:v>
                </c:pt>
                <c:pt idx="909">
                  <c:v>41291</c:v>
                </c:pt>
                <c:pt idx="910">
                  <c:v>41292</c:v>
                </c:pt>
                <c:pt idx="911">
                  <c:v>41296</c:v>
                </c:pt>
                <c:pt idx="912">
                  <c:v>41297</c:v>
                </c:pt>
                <c:pt idx="913">
                  <c:v>41298</c:v>
                </c:pt>
                <c:pt idx="914">
                  <c:v>41299</c:v>
                </c:pt>
                <c:pt idx="915">
                  <c:v>41302</c:v>
                </c:pt>
                <c:pt idx="916">
                  <c:v>41303</c:v>
                </c:pt>
                <c:pt idx="917">
                  <c:v>41304</c:v>
                </c:pt>
                <c:pt idx="918">
                  <c:v>41305</c:v>
                </c:pt>
                <c:pt idx="919">
                  <c:v>41306</c:v>
                </c:pt>
                <c:pt idx="920">
                  <c:v>41309</c:v>
                </c:pt>
                <c:pt idx="921">
                  <c:v>41310</c:v>
                </c:pt>
                <c:pt idx="922">
                  <c:v>41311</c:v>
                </c:pt>
                <c:pt idx="923">
                  <c:v>41312</c:v>
                </c:pt>
                <c:pt idx="924">
                  <c:v>41313</c:v>
                </c:pt>
                <c:pt idx="925">
                  <c:v>41316</c:v>
                </c:pt>
                <c:pt idx="926">
                  <c:v>41317</c:v>
                </c:pt>
                <c:pt idx="927">
                  <c:v>41318</c:v>
                </c:pt>
                <c:pt idx="928">
                  <c:v>41319</c:v>
                </c:pt>
                <c:pt idx="929">
                  <c:v>41320</c:v>
                </c:pt>
                <c:pt idx="930">
                  <c:v>41324</c:v>
                </c:pt>
                <c:pt idx="931">
                  <c:v>41325</c:v>
                </c:pt>
                <c:pt idx="932">
                  <c:v>41326</c:v>
                </c:pt>
                <c:pt idx="933">
                  <c:v>41327</c:v>
                </c:pt>
                <c:pt idx="934">
                  <c:v>41330</c:v>
                </c:pt>
                <c:pt idx="935">
                  <c:v>41331</c:v>
                </c:pt>
                <c:pt idx="936">
                  <c:v>41332</c:v>
                </c:pt>
                <c:pt idx="937">
                  <c:v>41333</c:v>
                </c:pt>
                <c:pt idx="938">
                  <c:v>41334</c:v>
                </c:pt>
                <c:pt idx="939">
                  <c:v>41337</c:v>
                </c:pt>
                <c:pt idx="940">
                  <c:v>41338</c:v>
                </c:pt>
                <c:pt idx="941">
                  <c:v>41339</c:v>
                </c:pt>
                <c:pt idx="942">
                  <c:v>41340</c:v>
                </c:pt>
                <c:pt idx="943">
                  <c:v>41341</c:v>
                </c:pt>
                <c:pt idx="944">
                  <c:v>41344</c:v>
                </c:pt>
                <c:pt idx="945">
                  <c:v>41345</c:v>
                </c:pt>
                <c:pt idx="946">
                  <c:v>41346</c:v>
                </c:pt>
                <c:pt idx="947">
                  <c:v>41347</c:v>
                </c:pt>
                <c:pt idx="948">
                  <c:v>41348</c:v>
                </c:pt>
                <c:pt idx="949">
                  <c:v>41351</c:v>
                </c:pt>
                <c:pt idx="950">
                  <c:v>41352</c:v>
                </c:pt>
                <c:pt idx="951">
                  <c:v>41353</c:v>
                </c:pt>
                <c:pt idx="952">
                  <c:v>41354</c:v>
                </c:pt>
                <c:pt idx="953">
                  <c:v>41355</c:v>
                </c:pt>
                <c:pt idx="954">
                  <c:v>41358</c:v>
                </c:pt>
                <c:pt idx="955">
                  <c:v>41359</c:v>
                </c:pt>
                <c:pt idx="956">
                  <c:v>41360</c:v>
                </c:pt>
                <c:pt idx="957">
                  <c:v>41361</c:v>
                </c:pt>
                <c:pt idx="958">
                  <c:v>41365</c:v>
                </c:pt>
                <c:pt idx="959">
                  <c:v>41366</c:v>
                </c:pt>
                <c:pt idx="960">
                  <c:v>41367</c:v>
                </c:pt>
                <c:pt idx="961">
                  <c:v>41368</c:v>
                </c:pt>
                <c:pt idx="962">
                  <c:v>41369</c:v>
                </c:pt>
                <c:pt idx="963">
                  <c:v>41372</c:v>
                </c:pt>
                <c:pt idx="964">
                  <c:v>41373</c:v>
                </c:pt>
                <c:pt idx="965">
                  <c:v>41374</c:v>
                </c:pt>
                <c:pt idx="966">
                  <c:v>41375</c:v>
                </c:pt>
                <c:pt idx="967">
                  <c:v>41376</c:v>
                </c:pt>
                <c:pt idx="968">
                  <c:v>41379</c:v>
                </c:pt>
                <c:pt idx="969">
                  <c:v>41380</c:v>
                </c:pt>
                <c:pt idx="970">
                  <c:v>41381</c:v>
                </c:pt>
                <c:pt idx="971">
                  <c:v>41382</c:v>
                </c:pt>
                <c:pt idx="972">
                  <c:v>41383</c:v>
                </c:pt>
                <c:pt idx="973">
                  <c:v>41386</c:v>
                </c:pt>
                <c:pt idx="974">
                  <c:v>41387</c:v>
                </c:pt>
                <c:pt idx="975">
                  <c:v>41388</c:v>
                </c:pt>
                <c:pt idx="976">
                  <c:v>41389</c:v>
                </c:pt>
                <c:pt idx="977">
                  <c:v>41390</c:v>
                </c:pt>
                <c:pt idx="978">
                  <c:v>41393</c:v>
                </c:pt>
                <c:pt idx="979">
                  <c:v>41394</c:v>
                </c:pt>
                <c:pt idx="980">
                  <c:v>41395</c:v>
                </c:pt>
                <c:pt idx="981">
                  <c:v>41396</c:v>
                </c:pt>
                <c:pt idx="982">
                  <c:v>41397</c:v>
                </c:pt>
                <c:pt idx="983">
                  <c:v>41400</c:v>
                </c:pt>
                <c:pt idx="984">
                  <c:v>41401</c:v>
                </c:pt>
                <c:pt idx="985">
                  <c:v>41402</c:v>
                </c:pt>
                <c:pt idx="986">
                  <c:v>41403</c:v>
                </c:pt>
                <c:pt idx="987">
                  <c:v>41404</c:v>
                </c:pt>
                <c:pt idx="988">
                  <c:v>41407</c:v>
                </c:pt>
                <c:pt idx="989">
                  <c:v>41408</c:v>
                </c:pt>
                <c:pt idx="990">
                  <c:v>41409</c:v>
                </c:pt>
                <c:pt idx="991">
                  <c:v>41410</c:v>
                </c:pt>
                <c:pt idx="992">
                  <c:v>41411</c:v>
                </c:pt>
                <c:pt idx="993">
                  <c:v>41414</c:v>
                </c:pt>
                <c:pt idx="994">
                  <c:v>41415</c:v>
                </c:pt>
                <c:pt idx="995">
                  <c:v>41416</c:v>
                </c:pt>
                <c:pt idx="996">
                  <c:v>41417</c:v>
                </c:pt>
                <c:pt idx="997">
                  <c:v>41418</c:v>
                </c:pt>
                <c:pt idx="998">
                  <c:v>41422</c:v>
                </c:pt>
                <c:pt idx="999">
                  <c:v>41423</c:v>
                </c:pt>
                <c:pt idx="1000">
                  <c:v>41424</c:v>
                </c:pt>
                <c:pt idx="1001">
                  <c:v>41425</c:v>
                </c:pt>
                <c:pt idx="1002">
                  <c:v>41428</c:v>
                </c:pt>
                <c:pt idx="1003">
                  <c:v>41429</c:v>
                </c:pt>
                <c:pt idx="1004">
                  <c:v>41430</c:v>
                </c:pt>
                <c:pt idx="1005">
                  <c:v>41431</c:v>
                </c:pt>
                <c:pt idx="1006">
                  <c:v>41432</c:v>
                </c:pt>
                <c:pt idx="1007">
                  <c:v>41435</c:v>
                </c:pt>
                <c:pt idx="1008">
                  <c:v>41436</c:v>
                </c:pt>
                <c:pt idx="1009">
                  <c:v>41437</c:v>
                </c:pt>
                <c:pt idx="1010">
                  <c:v>41438</c:v>
                </c:pt>
                <c:pt idx="1011">
                  <c:v>41439</c:v>
                </c:pt>
                <c:pt idx="1012">
                  <c:v>41442</c:v>
                </c:pt>
                <c:pt idx="1013">
                  <c:v>41443</c:v>
                </c:pt>
                <c:pt idx="1014">
                  <c:v>41444</c:v>
                </c:pt>
                <c:pt idx="1015">
                  <c:v>41445</c:v>
                </c:pt>
                <c:pt idx="1016">
                  <c:v>41446</c:v>
                </c:pt>
                <c:pt idx="1017">
                  <c:v>41449</c:v>
                </c:pt>
                <c:pt idx="1018">
                  <c:v>41450</c:v>
                </c:pt>
                <c:pt idx="1019">
                  <c:v>41451</c:v>
                </c:pt>
                <c:pt idx="1020">
                  <c:v>41452</c:v>
                </c:pt>
                <c:pt idx="1021">
                  <c:v>41453</c:v>
                </c:pt>
                <c:pt idx="1022">
                  <c:v>41456</c:v>
                </c:pt>
                <c:pt idx="1023">
                  <c:v>41457</c:v>
                </c:pt>
                <c:pt idx="1024">
                  <c:v>41458</c:v>
                </c:pt>
                <c:pt idx="1025">
                  <c:v>41460</c:v>
                </c:pt>
                <c:pt idx="1026">
                  <c:v>41463</c:v>
                </c:pt>
                <c:pt idx="1027">
                  <c:v>41464</c:v>
                </c:pt>
                <c:pt idx="1028">
                  <c:v>41465</c:v>
                </c:pt>
                <c:pt idx="1029">
                  <c:v>41466</c:v>
                </c:pt>
                <c:pt idx="1030">
                  <c:v>41467</c:v>
                </c:pt>
                <c:pt idx="1031">
                  <c:v>41470</c:v>
                </c:pt>
                <c:pt idx="1032">
                  <c:v>41471</c:v>
                </c:pt>
                <c:pt idx="1033">
                  <c:v>41472</c:v>
                </c:pt>
                <c:pt idx="1034">
                  <c:v>41473</c:v>
                </c:pt>
                <c:pt idx="1035">
                  <c:v>41474</c:v>
                </c:pt>
                <c:pt idx="1036">
                  <c:v>41477</c:v>
                </c:pt>
                <c:pt idx="1037">
                  <c:v>41478</c:v>
                </c:pt>
                <c:pt idx="1038">
                  <c:v>41479</c:v>
                </c:pt>
                <c:pt idx="1039">
                  <c:v>41480</c:v>
                </c:pt>
                <c:pt idx="1040">
                  <c:v>41481</c:v>
                </c:pt>
                <c:pt idx="1041">
                  <c:v>41484</c:v>
                </c:pt>
                <c:pt idx="1042">
                  <c:v>41485</c:v>
                </c:pt>
                <c:pt idx="1043">
                  <c:v>41486</c:v>
                </c:pt>
                <c:pt idx="1044">
                  <c:v>41487</c:v>
                </c:pt>
                <c:pt idx="1045">
                  <c:v>41488</c:v>
                </c:pt>
                <c:pt idx="1046">
                  <c:v>41491</c:v>
                </c:pt>
                <c:pt idx="1047">
                  <c:v>41492</c:v>
                </c:pt>
                <c:pt idx="1048">
                  <c:v>41493</c:v>
                </c:pt>
                <c:pt idx="1049">
                  <c:v>41494</c:v>
                </c:pt>
                <c:pt idx="1050">
                  <c:v>41495</c:v>
                </c:pt>
                <c:pt idx="1051">
                  <c:v>41498</c:v>
                </c:pt>
                <c:pt idx="1052">
                  <c:v>41499</c:v>
                </c:pt>
                <c:pt idx="1053">
                  <c:v>41500</c:v>
                </c:pt>
                <c:pt idx="1054">
                  <c:v>41501</c:v>
                </c:pt>
                <c:pt idx="1055">
                  <c:v>41502</c:v>
                </c:pt>
                <c:pt idx="1056">
                  <c:v>41505</c:v>
                </c:pt>
                <c:pt idx="1057">
                  <c:v>41506</c:v>
                </c:pt>
                <c:pt idx="1058">
                  <c:v>41507</c:v>
                </c:pt>
                <c:pt idx="1059">
                  <c:v>41508</c:v>
                </c:pt>
                <c:pt idx="1060">
                  <c:v>41509</c:v>
                </c:pt>
                <c:pt idx="1061">
                  <c:v>41512</c:v>
                </c:pt>
                <c:pt idx="1062">
                  <c:v>41513</c:v>
                </c:pt>
                <c:pt idx="1063">
                  <c:v>41514</c:v>
                </c:pt>
                <c:pt idx="1064">
                  <c:v>41515</c:v>
                </c:pt>
                <c:pt idx="1065">
                  <c:v>41516</c:v>
                </c:pt>
                <c:pt idx="1066">
                  <c:v>41520</c:v>
                </c:pt>
                <c:pt idx="1067">
                  <c:v>41521</c:v>
                </c:pt>
                <c:pt idx="1068">
                  <c:v>41522</c:v>
                </c:pt>
                <c:pt idx="1069">
                  <c:v>41523</c:v>
                </c:pt>
                <c:pt idx="1070">
                  <c:v>41526</c:v>
                </c:pt>
                <c:pt idx="1071">
                  <c:v>41527</c:v>
                </c:pt>
                <c:pt idx="1072">
                  <c:v>41528</c:v>
                </c:pt>
                <c:pt idx="1073">
                  <c:v>41529</c:v>
                </c:pt>
                <c:pt idx="1074">
                  <c:v>41530</c:v>
                </c:pt>
                <c:pt idx="1075">
                  <c:v>41533</c:v>
                </c:pt>
                <c:pt idx="1076">
                  <c:v>41534</c:v>
                </c:pt>
                <c:pt idx="1077">
                  <c:v>41535</c:v>
                </c:pt>
                <c:pt idx="1078">
                  <c:v>41536</c:v>
                </c:pt>
                <c:pt idx="1079">
                  <c:v>41537</c:v>
                </c:pt>
                <c:pt idx="1080">
                  <c:v>41540</c:v>
                </c:pt>
                <c:pt idx="1081">
                  <c:v>41541</c:v>
                </c:pt>
                <c:pt idx="1082">
                  <c:v>41542</c:v>
                </c:pt>
                <c:pt idx="1083">
                  <c:v>41543</c:v>
                </c:pt>
                <c:pt idx="1084">
                  <c:v>41544</c:v>
                </c:pt>
                <c:pt idx="1085">
                  <c:v>41547</c:v>
                </c:pt>
                <c:pt idx="1086">
                  <c:v>41548</c:v>
                </c:pt>
                <c:pt idx="1087">
                  <c:v>41549</c:v>
                </c:pt>
                <c:pt idx="1088">
                  <c:v>41550</c:v>
                </c:pt>
                <c:pt idx="1089">
                  <c:v>41551</c:v>
                </c:pt>
                <c:pt idx="1090">
                  <c:v>41554</c:v>
                </c:pt>
                <c:pt idx="1091">
                  <c:v>41555</c:v>
                </c:pt>
                <c:pt idx="1092">
                  <c:v>41556</c:v>
                </c:pt>
                <c:pt idx="1093">
                  <c:v>41557</c:v>
                </c:pt>
                <c:pt idx="1094">
                  <c:v>41558</c:v>
                </c:pt>
                <c:pt idx="1095">
                  <c:v>41561</c:v>
                </c:pt>
                <c:pt idx="1096">
                  <c:v>41562</c:v>
                </c:pt>
                <c:pt idx="1097">
                  <c:v>41563</c:v>
                </c:pt>
                <c:pt idx="1098">
                  <c:v>41564</c:v>
                </c:pt>
                <c:pt idx="1099">
                  <c:v>41565</c:v>
                </c:pt>
                <c:pt idx="1100">
                  <c:v>41568</c:v>
                </c:pt>
                <c:pt idx="1101">
                  <c:v>41569</c:v>
                </c:pt>
                <c:pt idx="1102">
                  <c:v>41570</c:v>
                </c:pt>
                <c:pt idx="1103">
                  <c:v>41571</c:v>
                </c:pt>
                <c:pt idx="1104">
                  <c:v>41572</c:v>
                </c:pt>
                <c:pt idx="1105">
                  <c:v>41575</c:v>
                </c:pt>
                <c:pt idx="1106">
                  <c:v>41576</c:v>
                </c:pt>
                <c:pt idx="1107">
                  <c:v>41577</c:v>
                </c:pt>
                <c:pt idx="1108">
                  <c:v>41578</c:v>
                </c:pt>
                <c:pt idx="1109">
                  <c:v>41579</c:v>
                </c:pt>
                <c:pt idx="1110">
                  <c:v>41582</c:v>
                </c:pt>
                <c:pt idx="1111">
                  <c:v>41583</c:v>
                </c:pt>
                <c:pt idx="1112">
                  <c:v>41584</c:v>
                </c:pt>
                <c:pt idx="1113">
                  <c:v>41585</c:v>
                </c:pt>
                <c:pt idx="1114">
                  <c:v>41586</c:v>
                </c:pt>
                <c:pt idx="1115">
                  <c:v>41589</c:v>
                </c:pt>
                <c:pt idx="1116">
                  <c:v>41590</c:v>
                </c:pt>
                <c:pt idx="1117">
                  <c:v>41591</c:v>
                </c:pt>
                <c:pt idx="1118">
                  <c:v>41592</c:v>
                </c:pt>
                <c:pt idx="1119">
                  <c:v>41593</c:v>
                </c:pt>
                <c:pt idx="1120">
                  <c:v>41596</c:v>
                </c:pt>
                <c:pt idx="1121">
                  <c:v>41597</c:v>
                </c:pt>
                <c:pt idx="1122">
                  <c:v>41598</c:v>
                </c:pt>
                <c:pt idx="1123">
                  <c:v>41599</c:v>
                </c:pt>
                <c:pt idx="1124">
                  <c:v>41600</c:v>
                </c:pt>
                <c:pt idx="1125">
                  <c:v>41603</c:v>
                </c:pt>
                <c:pt idx="1126">
                  <c:v>41604</c:v>
                </c:pt>
                <c:pt idx="1127">
                  <c:v>41605</c:v>
                </c:pt>
                <c:pt idx="1128">
                  <c:v>41607</c:v>
                </c:pt>
                <c:pt idx="1129">
                  <c:v>41610</c:v>
                </c:pt>
                <c:pt idx="1130">
                  <c:v>41611</c:v>
                </c:pt>
                <c:pt idx="1131">
                  <c:v>41612</c:v>
                </c:pt>
                <c:pt idx="1132">
                  <c:v>41613</c:v>
                </c:pt>
                <c:pt idx="1133">
                  <c:v>41614</c:v>
                </c:pt>
                <c:pt idx="1134">
                  <c:v>41617</c:v>
                </c:pt>
                <c:pt idx="1135">
                  <c:v>41618</c:v>
                </c:pt>
                <c:pt idx="1136">
                  <c:v>41619</c:v>
                </c:pt>
                <c:pt idx="1137">
                  <c:v>41620</c:v>
                </c:pt>
                <c:pt idx="1138">
                  <c:v>41621</c:v>
                </c:pt>
                <c:pt idx="1139">
                  <c:v>41624</c:v>
                </c:pt>
                <c:pt idx="1140">
                  <c:v>41625</c:v>
                </c:pt>
                <c:pt idx="1141">
                  <c:v>41626</c:v>
                </c:pt>
                <c:pt idx="1142">
                  <c:v>41627</c:v>
                </c:pt>
                <c:pt idx="1143">
                  <c:v>41628</c:v>
                </c:pt>
                <c:pt idx="1144">
                  <c:v>41631</c:v>
                </c:pt>
                <c:pt idx="1145">
                  <c:v>41632</c:v>
                </c:pt>
                <c:pt idx="1146">
                  <c:v>41634</c:v>
                </c:pt>
                <c:pt idx="1147">
                  <c:v>41635</c:v>
                </c:pt>
                <c:pt idx="1148">
                  <c:v>41638</c:v>
                </c:pt>
                <c:pt idx="1149">
                  <c:v>41639</c:v>
                </c:pt>
                <c:pt idx="1150">
                  <c:v>41641</c:v>
                </c:pt>
                <c:pt idx="1151">
                  <c:v>41642</c:v>
                </c:pt>
                <c:pt idx="1152">
                  <c:v>41645</c:v>
                </c:pt>
                <c:pt idx="1153">
                  <c:v>41646</c:v>
                </c:pt>
                <c:pt idx="1154">
                  <c:v>41647</c:v>
                </c:pt>
                <c:pt idx="1155">
                  <c:v>41648</c:v>
                </c:pt>
                <c:pt idx="1156">
                  <c:v>41649</c:v>
                </c:pt>
                <c:pt idx="1157">
                  <c:v>41652</c:v>
                </c:pt>
                <c:pt idx="1158">
                  <c:v>41653</c:v>
                </c:pt>
                <c:pt idx="1159">
                  <c:v>41654</c:v>
                </c:pt>
                <c:pt idx="1160">
                  <c:v>41655</c:v>
                </c:pt>
                <c:pt idx="1161">
                  <c:v>41656</c:v>
                </c:pt>
                <c:pt idx="1162">
                  <c:v>41660</c:v>
                </c:pt>
                <c:pt idx="1163">
                  <c:v>41661</c:v>
                </c:pt>
                <c:pt idx="1164">
                  <c:v>41662</c:v>
                </c:pt>
                <c:pt idx="1165">
                  <c:v>41663</c:v>
                </c:pt>
                <c:pt idx="1166">
                  <c:v>41666</c:v>
                </c:pt>
                <c:pt idx="1167">
                  <c:v>41667</c:v>
                </c:pt>
                <c:pt idx="1168">
                  <c:v>41668</c:v>
                </c:pt>
                <c:pt idx="1169">
                  <c:v>41669</c:v>
                </c:pt>
                <c:pt idx="1170">
                  <c:v>41670</c:v>
                </c:pt>
                <c:pt idx="1171">
                  <c:v>41673</c:v>
                </c:pt>
                <c:pt idx="1172">
                  <c:v>41674</c:v>
                </c:pt>
                <c:pt idx="1173">
                  <c:v>41675</c:v>
                </c:pt>
                <c:pt idx="1174">
                  <c:v>41676</c:v>
                </c:pt>
                <c:pt idx="1175">
                  <c:v>41677</c:v>
                </c:pt>
                <c:pt idx="1176">
                  <c:v>41680</c:v>
                </c:pt>
                <c:pt idx="1177">
                  <c:v>41681</c:v>
                </c:pt>
                <c:pt idx="1178">
                  <c:v>41682</c:v>
                </c:pt>
                <c:pt idx="1179">
                  <c:v>41683</c:v>
                </c:pt>
                <c:pt idx="1180">
                  <c:v>41684</c:v>
                </c:pt>
                <c:pt idx="1181">
                  <c:v>41688</c:v>
                </c:pt>
                <c:pt idx="1182">
                  <c:v>41689</c:v>
                </c:pt>
                <c:pt idx="1183">
                  <c:v>41690</c:v>
                </c:pt>
                <c:pt idx="1184">
                  <c:v>41691</c:v>
                </c:pt>
                <c:pt idx="1185">
                  <c:v>41694</c:v>
                </c:pt>
                <c:pt idx="1186">
                  <c:v>41695</c:v>
                </c:pt>
                <c:pt idx="1187">
                  <c:v>41696</c:v>
                </c:pt>
                <c:pt idx="1188">
                  <c:v>41697</c:v>
                </c:pt>
                <c:pt idx="1189">
                  <c:v>41698</c:v>
                </c:pt>
                <c:pt idx="1190">
                  <c:v>41701</c:v>
                </c:pt>
                <c:pt idx="1191">
                  <c:v>41702</c:v>
                </c:pt>
                <c:pt idx="1192">
                  <c:v>41703</c:v>
                </c:pt>
                <c:pt idx="1193">
                  <c:v>41704</c:v>
                </c:pt>
                <c:pt idx="1194">
                  <c:v>41705</c:v>
                </c:pt>
                <c:pt idx="1195">
                  <c:v>41708</c:v>
                </c:pt>
                <c:pt idx="1196">
                  <c:v>41709</c:v>
                </c:pt>
                <c:pt idx="1197">
                  <c:v>41710</c:v>
                </c:pt>
                <c:pt idx="1198">
                  <c:v>41711</c:v>
                </c:pt>
                <c:pt idx="1199">
                  <c:v>41712</c:v>
                </c:pt>
                <c:pt idx="1200">
                  <c:v>41715</c:v>
                </c:pt>
                <c:pt idx="1201">
                  <c:v>41716</c:v>
                </c:pt>
                <c:pt idx="1202">
                  <c:v>41717</c:v>
                </c:pt>
                <c:pt idx="1203">
                  <c:v>41718</c:v>
                </c:pt>
                <c:pt idx="1204">
                  <c:v>41719</c:v>
                </c:pt>
                <c:pt idx="1205">
                  <c:v>41722</c:v>
                </c:pt>
                <c:pt idx="1206">
                  <c:v>41723</c:v>
                </c:pt>
                <c:pt idx="1207">
                  <c:v>41724</c:v>
                </c:pt>
                <c:pt idx="1208">
                  <c:v>41725</c:v>
                </c:pt>
                <c:pt idx="1209">
                  <c:v>41726</c:v>
                </c:pt>
                <c:pt idx="1210">
                  <c:v>41729</c:v>
                </c:pt>
                <c:pt idx="1211">
                  <c:v>41730</c:v>
                </c:pt>
                <c:pt idx="1212">
                  <c:v>41731</c:v>
                </c:pt>
                <c:pt idx="1213">
                  <c:v>41732</c:v>
                </c:pt>
                <c:pt idx="1214">
                  <c:v>41733</c:v>
                </c:pt>
                <c:pt idx="1215">
                  <c:v>41736</c:v>
                </c:pt>
                <c:pt idx="1216">
                  <c:v>41737</c:v>
                </c:pt>
                <c:pt idx="1217">
                  <c:v>41738</c:v>
                </c:pt>
                <c:pt idx="1218">
                  <c:v>41739</c:v>
                </c:pt>
                <c:pt idx="1219">
                  <c:v>41740</c:v>
                </c:pt>
                <c:pt idx="1220">
                  <c:v>41743</c:v>
                </c:pt>
                <c:pt idx="1221">
                  <c:v>41744</c:v>
                </c:pt>
                <c:pt idx="1222">
                  <c:v>41745</c:v>
                </c:pt>
                <c:pt idx="1223">
                  <c:v>41746</c:v>
                </c:pt>
                <c:pt idx="1224">
                  <c:v>41750</c:v>
                </c:pt>
                <c:pt idx="1225">
                  <c:v>41751</c:v>
                </c:pt>
                <c:pt idx="1226">
                  <c:v>41752</c:v>
                </c:pt>
                <c:pt idx="1227">
                  <c:v>41753</c:v>
                </c:pt>
                <c:pt idx="1228">
                  <c:v>41754</c:v>
                </c:pt>
                <c:pt idx="1229">
                  <c:v>41757</c:v>
                </c:pt>
                <c:pt idx="1230">
                  <c:v>41758</c:v>
                </c:pt>
                <c:pt idx="1231">
                  <c:v>41759</c:v>
                </c:pt>
                <c:pt idx="1232">
                  <c:v>41760</c:v>
                </c:pt>
                <c:pt idx="1233">
                  <c:v>41761</c:v>
                </c:pt>
                <c:pt idx="1234">
                  <c:v>41764</c:v>
                </c:pt>
                <c:pt idx="1235">
                  <c:v>41765</c:v>
                </c:pt>
                <c:pt idx="1236">
                  <c:v>41766</c:v>
                </c:pt>
                <c:pt idx="1237">
                  <c:v>41767</c:v>
                </c:pt>
                <c:pt idx="1238">
                  <c:v>41768</c:v>
                </c:pt>
                <c:pt idx="1239">
                  <c:v>41771</c:v>
                </c:pt>
                <c:pt idx="1240">
                  <c:v>41772</c:v>
                </c:pt>
                <c:pt idx="1241">
                  <c:v>41773</c:v>
                </c:pt>
                <c:pt idx="1242">
                  <c:v>41774</c:v>
                </c:pt>
                <c:pt idx="1243">
                  <c:v>41775</c:v>
                </c:pt>
                <c:pt idx="1244">
                  <c:v>41778</c:v>
                </c:pt>
                <c:pt idx="1245">
                  <c:v>41779</c:v>
                </c:pt>
                <c:pt idx="1246">
                  <c:v>41780</c:v>
                </c:pt>
                <c:pt idx="1247">
                  <c:v>41781</c:v>
                </c:pt>
                <c:pt idx="1248">
                  <c:v>41782</c:v>
                </c:pt>
                <c:pt idx="1249">
                  <c:v>41786</c:v>
                </c:pt>
                <c:pt idx="1250">
                  <c:v>41787</c:v>
                </c:pt>
                <c:pt idx="1251">
                  <c:v>41788</c:v>
                </c:pt>
                <c:pt idx="1252">
                  <c:v>41789</c:v>
                </c:pt>
                <c:pt idx="1253">
                  <c:v>41792</c:v>
                </c:pt>
                <c:pt idx="1254">
                  <c:v>41793</c:v>
                </c:pt>
                <c:pt idx="1255">
                  <c:v>41794</c:v>
                </c:pt>
                <c:pt idx="1256">
                  <c:v>41795</c:v>
                </c:pt>
                <c:pt idx="1257">
                  <c:v>41796</c:v>
                </c:pt>
                <c:pt idx="1258">
                  <c:v>41799</c:v>
                </c:pt>
                <c:pt idx="1259">
                  <c:v>41800</c:v>
                </c:pt>
                <c:pt idx="1260">
                  <c:v>41801</c:v>
                </c:pt>
                <c:pt idx="1261">
                  <c:v>41802</c:v>
                </c:pt>
                <c:pt idx="1262">
                  <c:v>41803</c:v>
                </c:pt>
                <c:pt idx="1263">
                  <c:v>41806</c:v>
                </c:pt>
                <c:pt idx="1264">
                  <c:v>41807</c:v>
                </c:pt>
                <c:pt idx="1265">
                  <c:v>41808</c:v>
                </c:pt>
                <c:pt idx="1266">
                  <c:v>41809</c:v>
                </c:pt>
                <c:pt idx="1267">
                  <c:v>41810</c:v>
                </c:pt>
                <c:pt idx="1268">
                  <c:v>41813</c:v>
                </c:pt>
                <c:pt idx="1269">
                  <c:v>41814</c:v>
                </c:pt>
                <c:pt idx="1270">
                  <c:v>41815</c:v>
                </c:pt>
                <c:pt idx="1271">
                  <c:v>41816</c:v>
                </c:pt>
                <c:pt idx="1272">
                  <c:v>41817</c:v>
                </c:pt>
                <c:pt idx="1273">
                  <c:v>41820</c:v>
                </c:pt>
                <c:pt idx="1274">
                  <c:v>41821</c:v>
                </c:pt>
                <c:pt idx="1275">
                  <c:v>41822</c:v>
                </c:pt>
                <c:pt idx="1276">
                  <c:v>41823</c:v>
                </c:pt>
                <c:pt idx="1277">
                  <c:v>41827</c:v>
                </c:pt>
                <c:pt idx="1278">
                  <c:v>41828</c:v>
                </c:pt>
                <c:pt idx="1279">
                  <c:v>41829</c:v>
                </c:pt>
                <c:pt idx="1280">
                  <c:v>41830</c:v>
                </c:pt>
                <c:pt idx="1281">
                  <c:v>41831</c:v>
                </c:pt>
                <c:pt idx="1282">
                  <c:v>41834</c:v>
                </c:pt>
                <c:pt idx="1283">
                  <c:v>41835</c:v>
                </c:pt>
                <c:pt idx="1284">
                  <c:v>41836</c:v>
                </c:pt>
                <c:pt idx="1285">
                  <c:v>41837</c:v>
                </c:pt>
                <c:pt idx="1286">
                  <c:v>41838</c:v>
                </c:pt>
                <c:pt idx="1287">
                  <c:v>41841</c:v>
                </c:pt>
                <c:pt idx="1288">
                  <c:v>41842</c:v>
                </c:pt>
                <c:pt idx="1289">
                  <c:v>41843</c:v>
                </c:pt>
                <c:pt idx="1290">
                  <c:v>41844</c:v>
                </c:pt>
                <c:pt idx="1291">
                  <c:v>41845</c:v>
                </c:pt>
                <c:pt idx="1292">
                  <c:v>41848</c:v>
                </c:pt>
                <c:pt idx="1293">
                  <c:v>41849</c:v>
                </c:pt>
                <c:pt idx="1294">
                  <c:v>41850</c:v>
                </c:pt>
                <c:pt idx="1295">
                  <c:v>41851</c:v>
                </c:pt>
                <c:pt idx="1296">
                  <c:v>41852</c:v>
                </c:pt>
                <c:pt idx="1297">
                  <c:v>41855</c:v>
                </c:pt>
                <c:pt idx="1298">
                  <c:v>41856</c:v>
                </c:pt>
                <c:pt idx="1299">
                  <c:v>41857</c:v>
                </c:pt>
                <c:pt idx="1300">
                  <c:v>41858</c:v>
                </c:pt>
                <c:pt idx="1301">
                  <c:v>41859</c:v>
                </c:pt>
                <c:pt idx="1302">
                  <c:v>41862</c:v>
                </c:pt>
                <c:pt idx="1303">
                  <c:v>41863</c:v>
                </c:pt>
                <c:pt idx="1304">
                  <c:v>41864</c:v>
                </c:pt>
                <c:pt idx="1305">
                  <c:v>41865</c:v>
                </c:pt>
                <c:pt idx="1306">
                  <c:v>41866</c:v>
                </c:pt>
                <c:pt idx="1307">
                  <c:v>41869</c:v>
                </c:pt>
                <c:pt idx="1308">
                  <c:v>41870</c:v>
                </c:pt>
                <c:pt idx="1309">
                  <c:v>41871</c:v>
                </c:pt>
                <c:pt idx="1310">
                  <c:v>41872</c:v>
                </c:pt>
                <c:pt idx="1311">
                  <c:v>41873</c:v>
                </c:pt>
                <c:pt idx="1312">
                  <c:v>41876</c:v>
                </c:pt>
                <c:pt idx="1313">
                  <c:v>41877</c:v>
                </c:pt>
                <c:pt idx="1314">
                  <c:v>41878</c:v>
                </c:pt>
                <c:pt idx="1315">
                  <c:v>41879</c:v>
                </c:pt>
                <c:pt idx="1316">
                  <c:v>41880</c:v>
                </c:pt>
                <c:pt idx="1317">
                  <c:v>41884</c:v>
                </c:pt>
                <c:pt idx="1318">
                  <c:v>41885</c:v>
                </c:pt>
                <c:pt idx="1319">
                  <c:v>41886</c:v>
                </c:pt>
                <c:pt idx="1320">
                  <c:v>41887</c:v>
                </c:pt>
                <c:pt idx="1321">
                  <c:v>41890</c:v>
                </c:pt>
                <c:pt idx="1322">
                  <c:v>41891</c:v>
                </c:pt>
                <c:pt idx="1323">
                  <c:v>41892</c:v>
                </c:pt>
                <c:pt idx="1324">
                  <c:v>41893</c:v>
                </c:pt>
                <c:pt idx="1325">
                  <c:v>41894</c:v>
                </c:pt>
                <c:pt idx="1326">
                  <c:v>41897</c:v>
                </c:pt>
                <c:pt idx="1327">
                  <c:v>41898</c:v>
                </c:pt>
                <c:pt idx="1328">
                  <c:v>41899</c:v>
                </c:pt>
                <c:pt idx="1329">
                  <c:v>41900</c:v>
                </c:pt>
                <c:pt idx="1330">
                  <c:v>41901</c:v>
                </c:pt>
                <c:pt idx="1331">
                  <c:v>41904</c:v>
                </c:pt>
                <c:pt idx="1332">
                  <c:v>41905</c:v>
                </c:pt>
                <c:pt idx="1333">
                  <c:v>41906</c:v>
                </c:pt>
                <c:pt idx="1334">
                  <c:v>41907</c:v>
                </c:pt>
                <c:pt idx="1335">
                  <c:v>41908</c:v>
                </c:pt>
                <c:pt idx="1336">
                  <c:v>41911</c:v>
                </c:pt>
                <c:pt idx="1337">
                  <c:v>41912</c:v>
                </c:pt>
                <c:pt idx="1338">
                  <c:v>41913</c:v>
                </c:pt>
                <c:pt idx="1339">
                  <c:v>41914</c:v>
                </c:pt>
                <c:pt idx="1340">
                  <c:v>41915</c:v>
                </c:pt>
                <c:pt idx="1341">
                  <c:v>41918</c:v>
                </c:pt>
                <c:pt idx="1342">
                  <c:v>41919</c:v>
                </c:pt>
                <c:pt idx="1343">
                  <c:v>41920</c:v>
                </c:pt>
                <c:pt idx="1344">
                  <c:v>41921</c:v>
                </c:pt>
                <c:pt idx="1345">
                  <c:v>41922</c:v>
                </c:pt>
                <c:pt idx="1346">
                  <c:v>41925</c:v>
                </c:pt>
                <c:pt idx="1347">
                  <c:v>41926</c:v>
                </c:pt>
                <c:pt idx="1348">
                  <c:v>41927</c:v>
                </c:pt>
                <c:pt idx="1349">
                  <c:v>41928</c:v>
                </c:pt>
                <c:pt idx="1350">
                  <c:v>41929</c:v>
                </c:pt>
                <c:pt idx="1351">
                  <c:v>41932</c:v>
                </c:pt>
                <c:pt idx="1352">
                  <c:v>41933</c:v>
                </c:pt>
                <c:pt idx="1353">
                  <c:v>41934</c:v>
                </c:pt>
                <c:pt idx="1354">
                  <c:v>41935</c:v>
                </c:pt>
                <c:pt idx="1355">
                  <c:v>41936</c:v>
                </c:pt>
                <c:pt idx="1356">
                  <c:v>41939</c:v>
                </c:pt>
                <c:pt idx="1357">
                  <c:v>41940</c:v>
                </c:pt>
                <c:pt idx="1358">
                  <c:v>41941</c:v>
                </c:pt>
                <c:pt idx="1359">
                  <c:v>41942</c:v>
                </c:pt>
                <c:pt idx="1360">
                  <c:v>41943</c:v>
                </c:pt>
                <c:pt idx="1361">
                  <c:v>41946</c:v>
                </c:pt>
                <c:pt idx="1362">
                  <c:v>41947</c:v>
                </c:pt>
                <c:pt idx="1363">
                  <c:v>41948</c:v>
                </c:pt>
                <c:pt idx="1364">
                  <c:v>41949</c:v>
                </c:pt>
                <c:pt idx="1365">
                  <c:v>41950</c:v>
                </c:pt>
                <c:pt idx="1366">
                  <c:v>41953</c:v>
                </c:pt>
                <c:pt idx="1367">
                  <c:v>41954</c:v>
                </c:pt>
                <c:pt idx="1368">
                  <c:v>41955</c:v>
                </c:pt>
                <c:pt idx="1369">
                  <c:v>41956</c:v>
                </c:pt>
                <c:pt idx="1370">
                  <c:v>41957</c:v>
                </c:pt>
                <c:pt idx="1371">
                  <c:v>41960</c:v>
                </c:pt>
                <c:pt idx="1372">
                  <c:v>41961</c:v>
                </c:pt>
                <c:pt idx="1373">
                  <c:v>41962</c:v>
                </c:pt>
                <c:pt idx="1374">
                  <c:v>41963</c:v>
                </c:pt>
                <c:pt idx="1375">
                  <c:v>41964</c:v>
                </c:pt>
                <c:pt idx="1376">
                  <c:v>41967</c:v>
                </c:pt>
                <c:pt idx="1377">
                  <c:v>41968</c:v>
                </c:pt>
                <c:pt idx="1378">
                  <c:v>41969</c:v>
                </c:pt>
                <c:pt idx="1379">
                  <c:v>41971</c:v>
                </c:pt>
                <c:pt idx="1380">
                  <c:v>41974</c:v>
                </c:pt>
                <c:pt idx="1381">
                  <c:v>41975</c:v>
                </c:pt>
                <c:pt idx="1382">
                  <c:v>41976</c:v>
                </c:pt>
                <c:pt idx="1383">
                  <c:v>41977</c:v>
                </c:pt>
                <c:pt idx="1384">
                  <c:v>41978</c:v>
                </c:pt>
                <c:pt idx="1385">
                  <c:v>41981</c:v>
                </c:pt>
                <c:pt idx="1386">
                  <c:v>41982</c:v>
                </c:pt>
                <c:pt idx="1387">
                  <c:v>41983</c:v>
                </c:pt>
                <c:pt idx="1388">
                  <c:v>41984</c:v>
                </c:pt>
                <c:pt idx="1389">
                  <c:v>41985</c:v>
                </c:pt>
                <c:pt idx="1390">
                  <c:v>41988</c:v>
                </c:pt>
                <c:pt idx="1391">
                  <c:v>41989</c:v>
                </c:pt>
                <c:pt idx="1392">
                  <c:v>41990</c:v>
                </c:pt>
                <c:pt idx="1393">
                  <c:v>41991</c:v>
                </c:pt>
                <c:pt idx="1394">
                  <c:v>41992</c:v>
                </c:pt>
                <c:pt idx="1395">
                  <c:v>41995</c:v>
                </c:pt>
                <c:pt idx="1396">
                  <c:v>41996</c:v>
                </c:pt>
                <c:pt idx="1397">
                  <c:v>41997</c:v>
                </c:pt>
                <c:pt idx="1398">
                  <c:v>41999</c:v>
                </c:pt>
                <c:pt idx="1399">
                  <c:v>42002</c:v>
                </c:pt>
                <c:pt idx="1400">
                  <c:v>42003</c:v>
                </c:pt>
                <c:pt idx="1401">
                  <c:v>42004</c:v>
                </c:pt>
                <c:pt idx="1402">
                  <c:v>42006</c:v>
                </c:pt>
                <c:pt idx="1403">
                  <c:v>42009</c:v>
                </c:pt>
                <c:pt idx="1404">
                  <c:v>42010</c:v>
                </c:pt>
                <c:pt idx="1405">
                  <c:v>42011</c:v>
                </c:pt>
                <c:pt idx="1406">
                  <c:v>42012</c:v>
                </c:pt>
                <c:pt idx="1407">
                  <c:v>42013</c:v>
                </c:pt>
                <c:pt idx="1408">
                  <c:v>42016</c:v>
                </c:pt>
                <c:pt idx="1409">
                  <c:v>42017</c:v>
                </c:pt>
                <c:pt idx="1410">
                  <c:v>42018</c:v>
                </c:pt>
                <c:pt idx="1411">
                  <c:v>42019</c:v>
                </c:pt>
                <c:pt idx="1412">
                  <c:v>42020</c:v>
                </c:pt>
                <c:pt idx="1413">
                  <c:v>42024</c:v>
                </c:pt>
                <c:pt idx="1414">
                  <c:v>42025</c:v>
                </c:pt>
                <c:pt idx="1415">
                  <c:v>42026</c:v>
                </c:pt>
                <c:pt idx="1416">
                  <c:v>42027</c:v>
                </c:pt>
                <c:pt idx="1417">
                  <c:v>42030</c:v>
                </c:pt>
                <c:pt idx="1418">
                  <c:v>42031</c:v>
                </c:pt>
                <c:pt idx="1419">
                  <c:v>42032</c:v>
                </c:pt>
                <c:pt idx="1420">
                  <c:v>42033</c:v>
                </c:pt>
                <c:pt idx="1421">
                  <c:v>42034</c:v>
                </c:pt>
                <c:pt idx="1422">
                  <c:v>42037</c:v>
                </c:pt>
                <c:pt idx="1423">
                  <c:v>42038</c:v>
                </c:pt>
                <c:pt idx="1424">
                  <c:v>42039</c:v>
                </c:pt>
                <c:pt idx="1425">
                  <c:v>42040</c:v>
                </c:pt>
                <c:pt idx="1426">
                  <c:v>42041</c:v>
                </c:pt>
                <c:pt idx="1427">
                  <c:v>42044</c:v>
                </c:pt>
                <c:pt idx="1428">
                  <c:v>42045</c:v>
                </c:pt>
                <c:pt idx="1429">
                  <c:v>42046</c:v>
                </c:pt>
                <c:pt idx="1430">
                  <c:v>42047</c:v>
                </c:pt>
                <c:pt idx="1431">
                  <c:v>42048</c:v>
                </c:pt>
                <c:pt idx="1432">
                  <c:v>42052</c:v>
                </c:pt>
                <c:pt idx="1433">
                  <c:v>42053</c:v>
                </c:pt>
                <c:pt idx="1434">
                  <c:v>42054</c:v>
                </c:pt>
                <c:pt idx="1435">
                  <c:v>42055</c:v>
                </c:pt>
                <c:pt idx="1436">
                  <c:v>42058</c:v>
                </c:pt>
                <c:pt idx="1437">
                  <c:v>42059</c:v>
                </c:pt>
                <c:pt idx="1438">
                  <c:v>42060</c:v>
                </c:pt>
                <c:pt idx="1439">
                  <c:v>42061</c:v>
                </c:pt>
                <c:pt idx="1440">
                  <c:v>42062</c:v>
                </c:pt>
                <c:pt idx="1441">
                  <c:v>42065</c:v>
                </c:pt>
                <c:pt idx="1442">
                  <c:v>42066</c:v>
                </c:pt>
                <c:pt idx="1443">
                  <c:v>42067</c:v>
                </c:pt>
                <c:pt idx="1444">
                  <c:v>42068</c:v>
                </c:pt>
                <c:pt idx="1445">
                  <c:v>42069</c:v>
                </c:pt>
                <c:pt idx="1446">
                  <c:v>42072</c:v>
                </c:pt>
                <c:pt idx="1447">
                  <c:v>42073</c:v>
                </c:pt>
                <c:pt idx="1448">
                  <c:v>42074</c:v>
                </c:pt>
                <c:pt idx="1449">
                  <c:v>42075</c:v>
                </c:pt>
                <c:pt idx="1450">
                  <c:v>42076</c:v>
                </c:pt>
                <c:pt idx="1451">
                  <c:v>42079</c:v>
                </c:pt>
                <c:pt idx="1452">
                  <c:v>42080</c:v>
                </c:pt>
                <c:pt idx="1453">
                  <c:v>42081</c:v>
                </c:pt>
                <c:pt idx="1454">
                  <c:v>42082</c:v>
                </c:pt>
                <c:pt idx="1455">
                  <c:v>42083</c:v>
                </c:pt>
                <c:pt idx="1456">
                  <c:v>42086</c:v>
                </c:pt>
                <c:pt idx="1457">
                  <c:v>42087</c:v>
                </c:pt>
                <c:pt idx="1458">
                  <c:v>42088</c:v>
                </c:pt>
                <c:pt idx="1459">
                  <c:v>42089</c:v>
                </c:pt>
                <c:pt idx="1460">
                  <c:v>42090</c:v>
                </c:pt>
                <c:pt idx="1461">
                  <c:v>42093</c:v>
                </c:pt>
                <c:pt idx="1462">
                  <c:v>42094</c:v>
                </c:pt>
                <c:pt idx="1463">
                  <c:v>42095</c:v>
                </c:pt>
                <c:pt idx="1464">
                  <c:v>42096</c:v>
                </c:pt>
                <c:pt idx="1465">
                  <c:v>42100</c:v>
                </c:pt>
                <c:pt idx="1466">
                  <c:v>42101</c:v>
                </c:pt>
                <c:pt idx="1467">
                  <c:v>42102</c:v>
                </c:pt>
                <c:pt idx="1468">
                  <c:v>42103</c:v>
                </c:pt>
                <c:pt idx="1469">
                  <c:v>42104</c:v>
                </c:pt>
                <c:pt idx="1470">
                  <c:v>42107</c:v>
                </c:pt>
                <c:pt idx="1471">
                  <c:v>42108</c:v>
                </c:pt>
                <c:pt idx="1472">
                  <c:v>42109</c:v>
                </c:pt>
                <c:pt idx="1473">
                  <c:v>42110</c:v>
                </c:pt>
                <c:pt idx="1474">
                  <c:v>42111</c:v>
                </c:pt>
                <c:pt idx="1475">
                  <c:v>42114</c:v>
                </c:pt>
                <c:pt idx="1476">
                  <c:v>42115</c:v>
                </c:pt>
                <c:pt idx="1477">
                  <c:v>42116</c:v>
                </c:pt>
                <c:pt idx="1478">
                  <c:v>42117</c:v>
                </c:pt>
                <c:pt idx="1479">
                  <c:v>42118</c:v>
                </c:pt>
                <c:pt idx="1480">
                  <c:v>42121</c:v>
                </c:pt>
                <c:pt idx="1481">
                  <c:v>42122</c:v>
                </c:pt>
                <c:pt idx="1482">
                  <c:v>42123</c:v>
                </c:pt>
                <c:pt idx="1483">
                  <c:v>42124</c:v>
                </c:pt>
                <c:pt idx="1484">
                  <c:v>42125</c:v>
                </c:pt>
                <c:pt idx="1485">
                  <c:v>42128</c:v>
                </c:pt>
                <c:pt idx="1486">
                  <c:v>42129</c:v>
                </c:pt>
                <c:pt idx="1487">
                  <c:v>42130</c:v>
                </c:pt>
                <c:pt idx="1488">
                  <c:v>42131</c:v>
                </c:pt>
                <c:pt idx="1489">
                  <c:v>42132</c:v>
                </c:pt>
                <c:pt idx="1490">
                  <c:v>42135</c:v>
                </c:pt>
                <c:pt idx="1491">
                  <c:v>42136</c:v>
                </c:pt>
                <c:pt idx="1492">
                  <c:v>42137</c:v>
                </c:pt>
                <c:pt idx="1493">
                  <c:v>42138</c:v>
                </c:pt>
                <c:pt idx="1494">
                  <c:v>42139</c:v>
                </c:pt>
                <c:pt idx="1495">
                  <c:v>42142</c:v>
                </c:pt>
                <c:pt idx="1496">
                  <c:v>42143</c:v>
                </c:pt>
                <c:pt idx="1497">
                  <c:v>42144</c:v>
                </c:pt>
                <c:pt idx="1498">
                  <c:v>42145</c:v>
                </c:pt>
                <c:pt idx="1499">
                  <c:v>42146</c:v>
                </c:pt>
                <c:pt idx="1500">
                  <c:v>42150</c:v>
                </c:pt>
                <c:pt idx="1501">
                  <c:v>42151</c:v>
                </c:pt>
                <c:pt idx="1502">
                  <c:v>42152</c:v>
                </c:pt>
                <c:pt idx="1503">
                  <c:v>42153</c:v>
                </c:pt>
                <c:pt idx="1504">
                  <c:v>42156</c:v>
                </c:pt>
                <c:pt idx="1505">
                  <c:v>42157</c:v>
                </c:pt>
                <c:pt idx="1506">
                  <c:v>42158</c:v>
                </c:pt>
                <c:pt idx="1507">
                  <c:v>42159</c:v>
                </c:pt>
                <c:pt idx="1508">
                  <c:v>42160</c:v>
                </c:pt>
                <c:pt idx="1509">
                  <c:v>42163</c:v>
                </c:pt>
                <c:pt idx="1510">
                  <c:v>42164</c:v>
                </c:pt>
                <c:pt idx="1511">
                  <c:v>42165</c:v>
                </c:pt>
                <c:pt idx="1512">
                  <c:v>42166</c:v>
                </c:pt>
                <c:pt idx="1513">
                  <c:v>42167</c:v>
                </c:pt>
                <c:pt idx="1514">
                  <c:v>42170</c:v>
                </c:pt>
                <c:pt idx="1515">
                  <c:v>42171</c:v>
                </c:pt>
                <c:pt idx="1516">
                  <c:v>42172</c:v>
                </c:pt>
                <c:pt idx="1517">
                  <c:v>42173</c:v>
                </c:pt>
                <c:pt idx="1518">
                  <c:v>42174</c:v>
                </c:pt>
                <c:pt idx="1519">
                  <c:v>42177</c:v>
                </c:pt>
                <c:pt idx="1520">
                  <c:v>42178</c:v>
                </c:pt>
                <c:pt idx="1521">
                  <c:v>42179</c:v>
                </c:pt>
                <c:pt idx="1522">
                  <c:v>42180</c:v>
                </c:pt>
                <c:pt idx="1523">
                  <c:v>42181</c:v>
                </c:pt>
                <c:pt idx="1524">
                  <c:v>42184</c:v>
                </c:pt>
                <c:pt idx="1525">
                  <c:v>42185</c:v>
                </c:pt>
                <c:pt idx="1526">
                  <c:v>42186</c:v>
                </c:pt>
                <c:pt idx="1527">
                  <c:v>42187</c:v>
                </c:pt>
                <c:pt idx="1528">
                  <c:v>42191</c:v>
                </c:pt>
                <c:pt idx="1529">
                  <c:v>42192</c:v>
                </c:pt>
                <c:pt idx="1530">
                  <c:v>42193</c:v>
                </c:pt>
                <c:pt idx="1531">
                  <c:v>42194</c:v>
                </c:pt>
                <c:pt idx="1532">
                  <c:v>42195</c:v>
                </c:pt>
                <c:pt idx="1533">
                  <c:v>42198</c:v>
                </c:pt>
                <c:pt idx="1534">
                  <c:v>42199</c:v>
                </c:pt>
                <c:pt idx="1535">
                  <c:v>42200</c:v>
                </c:pt>
                <c:pt idx="1536">
                  <c:v>42201</c:v>
                </c:pt>
                <c:pt idx="1537">
                  <c:v>42202</c:v>
                </c:pt>
                <c:pt idx="1538">
                  <c:v>42205</c:v>
                </c:pt>
                <c:pt idx="1539">
                  <c:v>42206</c:v>
                </c:pt>
                <c:pt idx="1540">
                  <c:v>42207</c:v>
                </c:pt>
                <c:pt idx="1541">
                  <c:v>42208</c:v>
                </c:pt>
                <c:pt idx="1542">
                  <c:v>42209</c:v>
                </c:pt>
                <c:pt idx="1543">
                  <c:v>42212</c:v>
                </c:pt>
                <c:pt idx="1544">
                  <c:v>42213</c:v>
                </c:pt>
                <c:pt idx="1545">
                  <c:v>42214</c:v>
                </c:pt>
                <c:pt idx="1546">
                  <c:v>42215</c:v>
                </c:pt>
                <c:pt idx="1547">
                  <c:v>42216</c:v>
                </c:pt>
                <c:pt idx="1548">
                  <c:v>42219</c:v>
                </c:pt>
                <c:pt idx="1549">
                  <c:v>42220</c:v>
                </c:pt>
                <c:pt idx="1550">
                  <c:v>42221</c:v>
                </c:pt>
                <c:pt idx="1551">
                  <c:v>42222</c:v>
                </c:pt>
                <c:pt idx="1552">
                  <c:v>42223</c:v>
                </c:pt>
                <c:pt idx="1553">
                  <c:v>42226</c:v>
                </c:pt>
                <c:pt idx="1554">
                  <c:v>42227</c:v>
                </c:pt>
                <c:pt idx="1555">
                  <c:v>42228</c:v>
                </c:pt>
                <c:pt idx="1556">
                  <c:v>42229</c:v>
                </c:pt>
                <c:pt idx="1557">
                  <c:v>42230</c:v>
                </c:pt>
                <c:pt idx="1558">
                  <c:v>42233</c:v>
                </c:pt>
                <c:pt idx="1559">
                  <c:v>42234</c:v>
                </c:pt>
                <c:pt idx="1560">
                  <c:v>42235</c:v>
                </c:pt>
                <c:pt idx="1561">
                  <c:v>42236</c:v>
                </c:pt>
                <c:pt idx="1562">
                  <c:v>42237</c:v>
                </c:pt>
                <c:pt idx="1563">
                  <c:v>42240</c:v>
                </c:pt>
                <c:pt idx="1564">
                  <c:v>42241</c:v>
                </c:pt>
                <c:pt idx="1565">
                  <c:v>42242</c:v>
                </c:pt>
                <c:pt idx="1566">
                  <c:v>42243</c:v>
                </c:pt>
                <c:pt idx="1567">
                  <c:v>42244</c:v>
                </c:pt>
                <c:pt idx="1568">
                  <c:v>42247</c:v>
                </c:pt>
                <c:pt idx="1569">
                  <c:v>42248</c:v>
                </c:pt>
                <c:pt idx="1570">
                  <c:v>42249</c:v>
                </c:pt>
                <c:pt idx="1571">
                  <c:v>42250</c:v>
                </c:pt>
                <c:pt idx="1572">
                  <c:v>42251</c:v>
                </c:pt>
                <c:pt idx="1573">
                  <c:v>42255</c:v>
                </c:pt>
                <c:pt idx="1574">
                  <c:v>42256</c:v>
                </c:pt>
                <c:pt idx="1575">
                  <c:v>42257</c:v>
                </c:pt>
                <c:pt idx="1576">
                  <c:v>42258</c:v>
                </c:pt>
                <c:pt idx="1577">
                  <c:v>42261</c:v>
                </c:pt>
                <c:pt idx="1578">
                  <c:v>42262</c:v>
                </c:pt>
                <c:pt idx="1579">
                  <c:v>42263</c:v>
                </c:pt>
                <c:pt idx="1580">
                  <c:v>42264</c:v>
                </c:pt>
                <c:pt idx="1581">
                  <c:v>42265</c:v>
                </c:pt>
                <c:pt idx="1582">
                  <c:v>42268</c:v>
                </c:pt>
                <c:pt idx="1583">
                  <c:v>42269</c:v>
                </c:pt>
                <c:pt idx="1584">
                  <c:v>42270</c:v>
                </c:pt>
                <c:pt idx="1585">
                  <c:v>42271</c:v>
                </c:pt>
                <c:pt idx="1586">
                  <c:v>42272</c:v>
                </c:pt>
                <c:pt idx="1587">
                  <c:v>42275</c:v>
                </c:pt>
                <c:pt idx="1588">
                  <c:v>42276</c:v>
                </c:pt>
                <c:pt idx="1589">
                  <c:v>42277</c:v>
                </c:pt>
                <c:pt idx="1590">
                  <c:v>42278</c:v>
                </c:pt>
                <c:pt idx="1591">
                  <c:v>42279</c:v>
                </c:pt>
                <c:pt idx="1592">
                  <c:v>42282</c:v>
                </c:pt>
                <c:pt idx="1593">
                  <c:v>42283</c:v>
                </c:pt>
                <c:pt idx="1594">
                  <c:v>42284</c:v>
                </c:pt>
                <c:pt idx="1595">
                  <c:v>42285</c:v>
                </c:pt>
                <c:pt idx="1596">
                  <c:v>42286</c:v>
                </c:pt>
                <c:pt idx="1597">
                  <c:v>42289</c:v>
                </c:pt>
                <c:pt idx="1598">
                  <c:v>42290</c:v>
                </c:pt>
                <c:pt idx="1599">
                  <c:v>42291</c:v>
                </c:pt>
                <c:pt idx="1600">
                  <c:v>42292</c:v>
                </c:pt>
                <c:pt idx="1601">
                  <c:v>42293</c:v>
                </c:pt>
                <c:pt idx="1602">
                  <c:v>42296</c:v>
                </c:pt>
                <c:pt idx="1603">
                  <c:v>42297</c:v>
                </c:pt>
                <c:pt idx="1604">
                  <c:v>42298</c:v>
                </c:pt>
                <c:pt idx="1605">
                  <c:v>42299</c:v>
                </c:pt>
                <c:pt idx="1606">
                  <c:v>42300</c:v>
                </c:pt>
                <c:pt idx="1607">
                  <c:v>42303</c:v>
                </c:pt>
                <c:pt idx="1608">
                  <c:v>42304</c:v>
                </c:pt>
                <c:pt idx="1609">
                  <c:v>42305</c:v>
                </c:pt>
                <c:pt idx="1610">
                  <c:v>42306</c:v>
                </c:pt>
                <c:pt idx="1611">
                  <c:v>42307</c:v>
                </c:pt>
                <c:pt idx="1612">
                  <c:v>42310</c:v>
                </c:pt>
                <c:pt idx="1613">
                  <c:v>42311</c:v>
                </c:pt>
                <c:pt idx="1614">
                  <c:v>42312</c:v>
                </c:pt>
                <c:pt idx="1615">
                  <c:v>42313</c:v>
                </c:pt>
                <c:pt idx="1616">
                  <c:v>42314</c:v>
                </c:pt>
                <c:pt idx="1617">
                  <c:v>42317</c:v>
                </c:pt>
                <c:pt idx="1618">
                  <c:v>42318</c:v>
                </c:pt>
                <c:pt idx="1619">
                  <c:v>42319</c:v>
                </c:pt>
                <c:pt idx="1620">
                  <c:v>42320</c:v>
                </c:pt>
                <c:pt idx="1621">
                  <c:v>42321</c:v>
                </c:pt>
                <c:pt idx="1622">
                  <c:v>42324</c:v>
                </c:pt>
                <c:pt idx="1623">
                  <c:v>42325</c:v>
                </c:pt>
                <c:pt idx="1624">
                  <c:v>42326</c:v>
                </c:pt>
                <c:pt idx="1625">
                  <c:v>42327</c:v>
                </c:pt>
                <c:pt idx="1626">
                  <c:v>42328</c:v>
                </c:pt>
                <c:pt idx="1627">
                  <c:v>42331</c:v>
                </c:pt>
                <c:pt idx="1628">
                  <c:v>42332</c:v>
                </c:pt>
                <c:pt idx="1629">
                  <c:v>42333</c:v>
                </c:pt>
                <c:pt idx="1630">
                  <c:v>42335</c:v>
                </c:pt>
                <c:pt idx="1631">
                  <c:v>42338</c:v>
                </c:pt>
                <c:pt idx="1632">
                  <c:v>42339</c:v>
                </c:pt>
                <c:pt idx="1633">
                  <c:v>42340</c:v>
                </c:pt>
                <c:pt idx="1634">
                  <c:v>42341</c:v>
                </c:pt>
                <c:pt idx="1635">
                  <c:v>42342</c:v>
                </c:pt>
                <c:pt idx="1636">
                  <c:v>42345</c:v>
                </c:pt>
                <c:pt idx="1637">
                  <c:v>42346</c:v>
                </c:pt>
                <c:pt idx="1638">
                  <c:v>42347</c:v>
                </c:pt>
                <c:pt idx="1639">
                  <c:v>42348</c:v>
                </c:pt>
                <c:pt idx="1640">
                  <c:v>42349</c:v>
                </c:pt>
                <c:pt idx="1641">
                  <c:v>42352</c:v>
                </c:pt>
                <c:pt idx="1642">
                  <c:v>42353</c:v>
                </c:pt>
                <c:pt idx="1643">
                  <c:v>42354</c:v>
                </c:pt>
                <c:pt idx="1644">
                  <c:v>42355</c:v>
                </c:pt>
                <c:pt idx="1645">
                  <c:v>42356</c:v>
                </c:pt>
                <c:pt idx="1646">
                  <c:v>42359</c:v>
                </c:pt>
                <c:pt idx="1647">
                  <c:v>42360</c:v>
                </c:pt>
                <c:pt idx="1648">
                  <c:v>42361</c:v>
                </c:pt>
                <c:pt idx="1649">
                  <c:v>42362</c:v>
                </c:pt>
                <c:pt idx="1650">
                  <c:v>42366</c:v>
                </c:pt>
                <c:pt idx="1651">
                  <c:v>42367</c:v>
                </c:pt>
                <c:pt idx="1652">
                  <c:v>42368</c:v>
                </c:pt>
                <c:pt idx="1653">
                  <c:v>42369</c:v>
                </c:pt>
                <c:pt idx="1654">
                  <c:v>42373</c:v>
                </c:pt>
                <c:pt idx="1655">
                  <c:v>42374</c:v>
                </c:pt>
                <c:pt idx="1656">
                  <c:v>42375</c:v>
                </c:pt>
                <c:pt idx="1657">
                  <c:v>42376</c:v>
                </c:pt>
                <c:pt idx="1658">
                  <c:v>42377</c:v>
                </c:pt>
                <c:pt idx="1659">
                  <c:v>42380</c:v>
                </c:pt>
                <c:pt idx="1660">
                  <c:v>42381</c:v>
                </c:pt>
                <c:pt idx="1661">
                  <c:v>42382</c:v>
                </c:pt>
                <c:pt idx="1662">
                  <c:v>42383</c:v>
                </c:pt>
                <c:pt idx="1663">
                  <c:v>42384</c:v>
                </c:pt>
                <c:pt idx="1664">
                  <c:v>42388</c:v>
                </c:pt>
                <c:pt idx="1665">
                  <c:v>42389</c:v>
                </c:pt>
                <c:pt idx="1666">
                  <c:v>42390</c:v>
                </c:pt>
                <c:pt idx="1667">
                  <c:v>42391</c:v>
                </c:pt>
                <c:pt idx="1668">
                  <c:v>42394</c:v>
                </c:pt>
                <c:pt idx="1669">
                  <c:v>42395</c:v>
                </c:pt>
                <c:pt idx="1670">
                  <c:v>42396</c:v>
                </c:pt>
                <c:pt idx="1671">
                  <c:v>42397</c:v>
                </c:pt>
                <c:pt idx="1672">
                  <c:v>42398</c:v>
                </c:pt>
                <c:pt idx="1673">
                  <c:v>42401</c:v>
                </c:pt>
                <c:pt idx="1674">
                  <c:v>42402</c:v>
                </c:pt>
                <c:pt idx="1675">
                  <c:v>42403</c:v>
                </c:pt>
                <c:pt idx="1676">
                  <c:v>42404</c:v>
                </c:pt>
                <c:pt idx="1677">
                  <c:v>42405</c:v>
                </c:pt>
                <c:pt idx="1678">
                  <c:v>42408</c:v>
                </c:pt>
                <c:pt idx="1679">
                  <c:v>42409</c:v>
                </c:pt>
                <c:pt idx="1680">
                  <c:v>42410</c:v>
                </c:pt>
                <c:pt idx="1681">
                  <c:v>42411</c:v>
                </c:pt>
                <c:pt idx="1682">
                  <c:v>42412</c:v>
                </c:pt>
                <c:pt idx="1683">
                  <c:v>42416</c:v>
                </c:pt>
                <c:pt idx="1684">
                  <c:v>42417</c:v>
                </c:pt>
                <c:pt idx="1685">
                  <c:v>42418</c:v>
                </c:pt>
                <c:pt idx="1686">
                  <c:v>42419</c:v>
                </c:pt>
                <c:pt idx="1687">
                  <c:v>42422</c:v>
                </c:pt>
                <c:pt idx="1688">
                  <c:v>42423</c:v>
                </c:pt>
                <c:pt idx="1689">
                  <c:v>42424</c:v>
                </c:pt>
                <c:pt idx="1690">
                  <c:v>42425</c:v>
                </c:pt>
                <c:pt idx="1691">
                  <c:v>42426</c:v>
                </c:pt>
                <c:pt idx="1692">
                  <c:v>42429</c:v>
                </c:pt>
                <c:pt idx="1693">
                  <c:v>42430</c:v>
                </c:pt>
                <c:pt idx="1694">
                  <c:v>42431</c:v>
                </c:pt>
                <c:pt idx="1695">
                  <c:v>42432</c:v>
                </c:pt>
                <c:pt idx="1696">
                  <c:v>42433</c:v>
                </c:pt>
                <c:pt idx="1697">
                  <c:v>42436</c:v>
                </c:pt>
                <c:pt idx="1698">
                  <c:v>42437</c:v>
                </c:pt>
                <c:pt idx="1699">
                  <c:v>42438</c:v>
                </c:pt>
                <c:pt idx="1700">
                  <c:v>42439</c:v>
                </c:pt>
                <c:pt idx="1701">
                  <c:v>42440</c:v>
                </c:pt>
                <c:pt idx="1702">
                  <c:v>42443</c:v>
                </c:pt>
                <c:pt idx="1703">
                  <c:v>42444</c:v>
                </c:pt>
                <c:pt idx="1704">
                  <c:v>42445</c:v>
                </c:pt>
                <c:pt idx="1705">
                  <c:v>42446</c:v>
                </c:pt>
                <c:pt idx="1706">
                  <c:v>42447</c:v>
                </c:pt>
                <c:pt idx="1707">
                  <c:v>42450</c:v>
                </c:pt>
                <c:pt idx="1708">
                  <c:v>42451</c:v>
                </c:pt>
                <c:pt idx="1709">
                  <c:v>42452</c:v>
                </c:pt>
                <c:pt idx="1710">
                  <c:v>42453</c:v>
                </c:pt>
                <c:pt idx="1711">
                  <c:v>42457</c:v>
                </c:pt>
                <c:pt idx="1712">
                  <c:v>42458</c:v>
                </c:pt>
                <c:pt idx="1713">
                  <c:v>42459</c:v>
                </c:pt>
                <c:pt idx="1714">
                  <c:v>42460</c:v>
                </c:pt>
                <c:pt idx="1715">
                  <c:v>42461</c:v>
                </c:pt>
                <c:pt idx="1716">
                  <c:v>42464</c:v>
                </c:pt>
                <c:pt idx="1717">
                  <c:v>42465</c:v>
                </c:pt>
                <c:pt idx="1718">
                  <c:v>42466</c:v>
                </c:pt>
                <c:pt idx="1719">
                  <c:v>42467</c:v>
                </c:pt>
                <c:pt idx="1720">
                  <c:v>42468</c:v>
                </c:pt>
                <c:pt idx="1721">
                  <c:v>42471</c:v>
                </c:pt>
                <c:pt idx="1722">
                  <c:v>42472</c:v>
                </c:pt>
                <c:pt idx="1723">
                  <c:v>42473</c:v>
                </c:pt>
                <c:pt idx="1724">
                  <c:v>42474</c:v>
                </c:pt>
                <c:pt idx="1725">
                  <c:v>42475</c:v>
                </c:pt>
                <c:pt idx="1726">
                  <c:v>42478</c:v>
                </c:pt>
                <c:pt idx="1727">
                  <c:v>42479</c:v>
                </c:pt>
                <c:pt idx="1728">
                  <c:v>42480</c:v>
                </c:pt>
                <c:pt idx="1729">
                  <c:v>42481</c:v>
                </c:pt>
                <c:pt idx="1730">
                  <c:v>42482</c:v>
                </c:pt>
                <c:pt idx="1731">
                  <c:v>42485</c:v>
                </c:pt>
                <c:pt idx="1732">
                  <c:v>42486</c:v>
                </c:pt>
                <c:pt idx="1733">
                  <c:v>42487</c:v>
                </c:pt>
                <c:pt idx="1734">
                  <c:v>42488</c:v>
                </c:pt>
                <c:pt idx="1735">
                  <c:v>42489</c:v>
                </c:pt>
                <c:pt idx="1736">
                  <c:v>42492</c:v>
                </c:pt>
                <c:pt idx="1737">
                  <c:v>42493</c:v>
                </c:pt>
                <c:pt idx="1738">
                  <c:v>42494</c:v>
                </c:pt>
                <c:pt idx="1739">
                  <c:v>42495</c:v>
                </c:pt>
                <c:pt idx="1740">
                  <c:v>42496</c:v>
                </c:pt>
                <c:pt idx="1741">
                  <c:v>42499</c:v>
                </c:pt>
                <c:pt idx="1742">
                  <c:v>42500</c:v>
                </c:pt>
                <c:pt idx="1743">
                  <c:v>42501</c:v>
                </c:pt>
                <c:pt idx="1744">
                  <c:v>42502</c:v>
                </c:pt>
                <c:pt idx="1745">
                  <c:v>42503</c:v>
                </c:pt>
                <c:pt idx="1746">
                  <c:v>42506</c:v>
                </c:pt>
                <c:pt idx="1747">
                  <c:v>42507</c:v>
                </c:pt>
                <c:pt idx="1748">
                  <c:v>42508</c:v>
                </c:pt>
                <c:pt idx="1749">
                  <c:v>42509</c:v>
                </c:pt>
                <c:pt idx="1750">
                  <c:v>42510</c:v>
                </c:pt>
                <c:pt idx="1751">
                  <c:v>42513</c:v>
                </c:pt>
                <c:pt idx="1752">
                  <c:v>42514</c:v>
                </c:pt>
                <c:pt idx="1753">
                  <c:v>42515</c:v>
                </c:pt>
                <c:pt idx="1754">
                  <c:v>42516</c:v>
                </c:pt>
                <c:pt idx="1755">
                  <c:v>42517</c:v>
                </c:pt>
                <c:pt idx="1756">
                  <c:v>42521</c:v>
                </c:pt>
                <c:pt idx="1757">
                  <c:v>42522</c:v>
                </c:pt>
                <c:pt idx="1758">
                  <c:v>42523</c:v>
                </c:pt>
                <c:pt idx="1759">
                  <c:v>42524</c:v>
                </c:pt>
                <c:pt idx="1760">
                  <c:v>42527</c:v>
                </c:pt>
                <c:pt idx="1761">
                  <c:v>42528</c:v>
                </c:pt>
                <c:pt idx="1762">
                  <c:v>42529</c:v>
                </c:pt>
                <c:pt idx="1763">
                  <c:v>42530</c:v>
                </c:pt>
                <c:pt idx="1764">
                  <c:v>42531</c:v>
                </c:pt>
                <c:pt idx="1765">
                  <c:v>42534</c:v>
                </c:pt>
                <c:pt idx="1766">
                  <c:v>42535</c:v>
                </c:pt>
                <c:pt idx="1767">
                  <c:v>42536</c:v>
                </c:pt>
                <c:pt idx="1768">
                  <c:v>42537</c:v>
                </c:pt>
                <c:pt idx="1769">
                  <c:v>42538</c:v>
                </c:pt>
                <c:pt idx="1770">
                  <c:v>42541</c:v>
                </c:pt>
                <c:pt idx="1771">
                  <c:v>42542</c:v>
                </c:pt>
                <c:pt idx="1772">
                  <c:v>42543</c:v>
                </c:pt>
                <c:pt idx="1773">
                  <c:v>42544</c:v>
                </c:pt>
                <c:pt idx="1774">
                  <c:v>42545</c:v>
                </c:pt>
                <c:pt idx="1775">
                  <c:v>42548</c:v>
                </c:pt>
                <c:pt idx="1776">
                  <c:v>42549</c:v>
                </c:pt>
                <c:pt idx="1777">
                  <c:v>42550</c:v>
                </c:pt>
                <c:pt idx="1778">
                  <c:v>42551</c:v>
                </c:pt>
                <c:pt idx="1779">
                  <c:v>42552</c:v>
                </c:pt>
                <c:pt idx="1780">
                  <c:v>42556</c:v>
                </c:pt>
                <c:pt idx="1781">
                  <c:v>42557</c:v>
                </c:pt>
                <c:pt idx="1782">
                  <c:v>42558</c:v>
                </c:pt>
                <c:pt idx="1783">
                  <c:v>42559</c:v>
                </c:pt>
                <c:pt idx="1784">
                  <c:v>42562</c:v>
                </c:pt>
                <c:pt idx="1785">
                  <c:v>42563</c:v>
                </c:pt>
                <c:pt idx="1786">
                  <c:v>42564</c:v>
                </c:pt>
                <c:pt idx="1787">
                  <c:v>42565</c:v>
                </c:pt>
                <c:pt idx="1788">
                  <c:v>42566</c:v>
                </c:pt>
                <c:pt idx="1789">
                  <c:v>42569</c:v>
                </c:pt>
                <c:pt idx="1790">
                  <c:v>42570</c:v>
                </c:pt>
                <c:pt idx="1791">
                  <c:v>42571</c:v>
                </c:pt>
                <c:pt idx="1792">
                  <c:v>42572</c:v>
                </c:pt>
                <c:pt idx="1793">
                  <c:v>42573</c:v>
                </c:pt>
                <c:pt idx="1794">
                  <c:v>42576</c:v>
                </c:pt>
                <c:pt idx="1795">
                  <c:v>42577</c:v>
                </c:pt>
                <c:pt idx="1796">
                  <c:v>42578</c:v>
                </c:pt>
                <c:pt idx="1797">
                  <c:v>42579</c:v>
                </c:pt>
                <c:pt idx="1798">
                  <c:v>42580</c:v>
                </c:pt>
                <c:pt idx="1799">
                  <c:v>42583</c:v>
                </c:pt>
                <c:pt idx="1800">
                  <c:v>42584</c:v>
                </c:pt>
                <c:pt idx="1801">
                  <c:v>42585</c:v>
                </c:pt>
                <c:pt idx="1802">
                  <c:v>42586</c:v>
                </c:pt>
                <c:pt idx="1803">
                  <c:v>42587</c:v>
                </c:pt>
                <c:pt idx="1804">
                  <c:v>42590</c:v>
                </c:pt>
                <c:pt idx="1805">
                  <c:v>42591</c:v>
                </c:pt>
                <c:pt idx="1806">
                  <c:v>42592</c:v>
                </c:pt>
                <c:pt idx="1807">
                  <c:v>42593</c:v>
                </c:pt>
                <c:pt idx="1808">
                  <c:v>42594</c:v>
                </c:pt>
                <c:pt idx="1809">
                  <c:v>42597</c:v>
                </c:pt>
                <c:pt idx="1810">
                  <c:v>42598</c:v>
                </c:pt>
                <c:pt idx="1811">
                  <c:v>42599</c:v>
                </c:pt>
                <c:pt idx="1812">
                  <c:v>42600</c:v>
                </c:pt>
                <c:pt idx="1813">
                  <c:v>42601</c:v>
                </c:pt>
                <c:pt idx="1814">
                  <c:v>42604</c:v>
                </c:pt>
                <c:pt idx="1815">
                  <c:v>42605</c:v>
                </c:pt>
                <c:pt idx="1816">
                  <c:v>42606</c:v>
                </c:pt>
                <c:pt idx="1817">
                  <c:v>42607</c:v>
                </c:pt>
                <c:pt idx="1818">
                  <c:v>42608</c:v>
                </c:pt>
                <c:pt idx="1819">
                  <c:v>42611</c:v>
                </c:pt>
                <c:pt idx="1820">
                  <c:v>42612</c:v>
                </c:pt>
                <c:pt idx="1821">
                  <c:v>42613</c:v>
                </c:pt>
                <c:pt idx="1822">
                  <c:v>42614</c:v>
                </c:pt>
                <c:pt idx="1823">
                  <c:v>42615</c:v>
                </c:pt>
                <c:pt idx="1824">
                  <c:v>42619</c:v>
                </c:pt>
                <c:pt idx="1825">
                  <c:v>42620</c:v>
                </c:pt>
                <c:pt idx="1826">
                  <c:v>42621</c:v>
                </c:pt>
                <c:pt idx="1827">
                  <c:v>42622</c:v>
                </c:pt>
                <c:pt idx="1828">
                  <c:v>42625</c:v>
                </c:pt>
                <c:pt idx="1829">
                  <c:v>42626</c:v>
                </c:pt>
                <c:pt idx="1830">
                  <c:v>42627</c:v>
                </c:pt>
                <c:pt idx="1831">
                  <c:v>42628</c:v>
                </c:pt>
                <c:pt idx="1832">
                  <c:v>42629</c:v>
                </c:pt>
                <c:pt idx="1833">
                  <c:v>42632</c:v>
                </c:pt>
                <c:pt idx="1834">
                  <c:v>42633</c:v>
                </c:pt>
                <c:pt idx="1835">
                  <c:v>42634</c:v>
                </c:pt>
                <c:pt idx="1836">
                  <c:v>42635</c:v>
                </c:pt>
                <c:pt idx="1837">
                  <c:v>42636</c:v>
                </c:pt>
                <c:pt idx="1838">
                  <c:v>42639</c:v>
                </c:pt>
                <c:pt idx="1839">
                  <c:v>42640</c:v>
                </c:pt>
                <c:pt idx="1840">
                  <c:v>42641</c:v>
                </c:pt>
                <c:pt idx="1841">
                  <c:v>42642</c:v>
                </c:pt>
                <c:pt idx="1842">
                  <c:v>42643</c:v>
                </c:pt>
                <c:pt idx="1843">
                  <c:v>42646</c:v>
                </c:pt>
                <c:pt idx="1844">
                  <c:v>42647</c:v>
                </c:pt>
                <c:pt idx="1845">
                  <c:v>42648</c:v>
                </c:pt>
                <c:pt idx="1846">
                  <c:v>42649</c:v>
                </c:pt>
                <c:pt idx="1847">
                  <c:v>42650</c:v>
                </c:pt>
                <c:pt idx="1848">
                  <c:v>42653</c:v>
                </c:pt>
                <c:pt idx="1849">
                  <c:v>42654</c:v>
                </c:pt>
                <c:pt idx="1850">
                  <c:v>42655</c:v>
                </c:pt>
                <c:pt idx="1851">
                  <c:v>42656</c:v>
                </c:pt>
                <c:pt idx="1852">
                  <c:v>42657</c:v>
                </c:pt>
                <c:pt idx="1853">
                  <c:v>42660</c:v>
                </c:pt>
                <c:pt idx="1854">
                  <c:v>42661</c:v>
                </c:pt>
                <c:pt idx="1855">
                  <c:v>42662</c:v>
                </c:pt>
                <c:pt idx="1856">
                  <c:v>42663</c:v>
                </c:pt>
                <c:pt idx="1857">
                  <c:v>42664</c:v>
                </c:pt>
                <c:pt idx="1858">
                  <c:v>42667</c:v>
                </c:pt>
                <c:pt idx="1859">
                  <c:v>42668</c:v>
                </c:pt>
                <c:pt idx="1860">
                  <c:v>42669</c:v>
                </c:pt>
                <c:pt idx="1861">
                  <c:v>42670</c:v>
                </c:pt>
                <c:pt idx="1862">
                  <c:v>42671</c:v>
                </c:pt>
                <c:pt idx="1863">
                  <c:v>42674</c:v>
                </c:pt>
                <c:pt idx="1864">
                  <c:v>42675</c:v>
                </c:pt>
                <c:pt idx="1865">
                  <c:v>42676</c:v>
                </c:pt>
                <c:pt idx="1866">
                  <c:v>42677</c:v>
                </c:pt>
                <c:pt idx="1867">
                  <c:v>42678</c:v>
                </c:pt>
                <c:pt idx="1868">
                  <c:v>42681</c:v>
                </c:pt>
                <c:pt idx="1869">
                  <c:v>42682</c:v>
                </c:pt>
                <c:pt idx="1870">
                  <c:v>42683</c:v>
                </c:pt>
                <c:pt idx="1871">
                  <c:v>42684</c:v>
                </c:pt>
                <c:pt idx="1872">
                  <c:v>42685</c:v>
                </c:pt>
                <c:pt idx="1873">
                  <c:v>42688</c:v>
                </c:pt>
                <c:pt idx="1874">
                  <c:v>42689</c:v>
                </c:pt>
                <c:pt idx="1875">
                  <c:v>42690</c:v>
                </c:pt>
                <c:pt idx="1876">
                  <c:v>42691</c:v>
                </c:pt>
                <c:pt idx="1877">
                  <c:v>42692</c:v>
                </c:pt>
                <c:pt idx="1878">
                  <c:v>42695</c:v>
                </c:pt>
                <c:pt idx="1879">
                  <c:v>42696</c:v>
                </c:pt>
                <c:pt idx="1880">
                  <c:v>42697</c:v>
                </c:pt>
                <c:pt idx="1881">
                  <c:v>42699</c:v>
                </c:pt>
                <c:pt idx="1882">
                  <c:v>42702</c:v>
                </c:pt>
                <c:pt idx="1883">
                  <c:v>42703</c:v>
                </c:pt>
                <c:pt idx="1884">
                  <c:v>42704</c:v>
                </c:pt>
                <c:pt idx="1885">
                  <c:v>42705</c:v>
                </c:pt>
                <c:pt idx="1886">
                  <c:v>42706</c:v>
                </c:pt>
                <c:pt idx="1887">
                  <c:v>42709</c:v>
                </c:pt>
                <c:pt idx="1888">
                  <c:v>42710</c:v>
                </c:pt>
                <c:pt idx="1889">
                  <c:v>42711</c:v>
                </c:pt>
                <c:pt idx="1890">
                  <c:v>42712</c:v>
                </c:pt>
                <c:pt idx="1891">
                  <c:v>42713</c:v>
                </c:pt>
                <c:pt idx="1892">
                  <c:v>42716</c:v>
                </c:pt>
                <c:pt idx="1893">
                  <c:v>42717</c:v>
                </c:pt>
                <c:pt idx="1894">
                  <c:v>42718</c:v>
                </c:pt>
                <c:pt idx="1895">
                  <c:v>42719</c:v>
                </c:pt>
                <c:pt idx="1896">
                  <c:v>42720</c:v>
                </c:pt>
                <c:pt idx="1897">
                  <c:v>42723</c:v>
                </c:pt>
                <c:pt idx="1898">
                  <c:v>42724</c:v>
                </c:pt>
                <c:pt idx="1899">
                  <c:v>42725</c:v>
                </c:pt>
                <c:pt idx="1900">
                  <c:v>42726</c:v>
                </c:pt>
                <c:pt idx="1901">
                  <c:v>42727</c:v>
                </c:pt>
                <c:pt idx="1902">
                  <c:v>42731</c:v>
                </c:pt>
                <c:pt idx="1903">
                  <c:v>42732</c:v>
                </c:pt>
                <c:pt idx="1904">
                  <c:v>42733</c:v>
                </c:pt>
                <c:pt idx="1905">
                  <c:v>42734</c:v>
                </c:pt>
                <c:pt idx="1906">
                  <c:v>42738</c:v>
                </c:pt>
                <c:pt idx="1907">
                  <c:v>42739</c:v>
                </c:pt>
                <c:pt idx="1908">
                  <c:v>42740</c:v>
                </c:pt>
                <c:pt idx="1909">
                  <c:v>42741</c:v>
                </c:pt>
                <c:pt idx="1910">
                  <c:v>42744</c:v>
                </c:pt>
                <c:pt idx="1911">
                  <c:v>42745</c:v>
                </c:pt>
                <c:pt idx="1912">
                  <c:v>42746</c:v>
                </c:pt>
                <c:pt idx="1913">
                  <c:v>42747</c:v>
                </c:pt>
                <c:pt idx="1914">
                  <c:v>42748</c:v>
                </c:pt>
                <c:pt idx="1915">
                  <c:v>42752</c:v>
                </c:pt>
                <c:pt idx="1916">
                  <c:v>42753</c:v>
                </c:pt>
                <c:pt idx="1917">
                  <c:v>42754</c:v>
                </c:pt>
                <c:pt idx="1918">
                  <c:v>42755</c:v>
                </c:pt>
                <c:pt idx="1919">
                  <c:v>42758</c:v>
                </c:pt>
                <c:pt idx="1920">
                  <c:v>42759</c:v>
                </c:pt>
                <c:pt idx="1921">
                  <c:v>42760</c:v>
                </c:pt>
                <c:pt idx="1922">
                  <c:v>42761</c:v>
                </c:pt>
                <c:pt idx="1923">
                  <c:v>42762</c:v>
                </c:pt>
                <c:pt idx="1924">
                  <c:v>42765</c:v>
                </c:pt>
                <c:pt idx="1925">
                  <c:v>42766</c:v>
                </c:pt>
                <c:pt idx="1926">
                  <c:v>42767</c:v>
                </c:pt>
                <c:pt idx="1927">
                  <c:v>42768</c:v>
                </c:pt>
                <c:pt idx="1928">
                  <c:v>42769</c:v>
                </c:pt>
                <c:pt idx="1929">
                  <c:v>42772</c:v>
                </c:pt>
                <c:pt idx="1930">
                  <c:v>42773</c:v>
                </c:pt>
                <c:pt idx="1931">
                  <c:v>42774</c:v>
                </c:pt>
                <c:pt idx="1932">
                  <c:v>42775</c:v>
                </c:pt>
                <c:pt idx="1933">
                  <c:v>42776</c:v>
                </c:pt>
                <c:pt idx="1934">
                  <c:v>42779</c:v>
                </c:pt>
                <c:pt idx="1935">
                  <c:v>42780</c:v>
                </c:pt>
                <c:pt idx="1936">
                  <c:v>42781</c:v>
                </c:pt>
                <c:pt idx="1937">
                  <c:v>42782</c:v>
                </c:pt>
                <c:pt idx="1938">
                  <c:v>42783</c:v>
                </c:pt>
                <c:pt idx="1939">
                  <c:v>42787</c:v>
                </c:pt>
                <c:pt idx="1940">
                  <c:v>42788</c:v>
                </c:pt>
                <c:pt idx="1941">
                  <c:v>42789</c:v>
                </c:pt>
                <c:pt idx="1942">
                  <c:v>42790</c:v>
                </c:pt>
                <c:pt idx="1943">
                  <c:v>42793</c:v>
                </c:pt>
                <c:pt idx="1944">
                  <c:v>42794</c:v>
                </c:pt>
                <c:pt idx="1945">
                  <c:v>42795</c:v>
                </c:pt>
                <c:pt idx="1946">
                  <c:v>42796</c:v>
                </c:pt>
                <c:pt idx="1947">
                  <c:v>42797</c:v>
                </c:pt>
                <c:pt idx="1948">
                  <c:v>42800</c:v>
                </c:pt>
                <c:pt idx="1949">
                  <c:v>42801</c:v>
                </c:pt>
                <c:pt idx="1950">
                  <c:v>42802</c:v>
                </c:pt>
                <c:pt idx="1951">
                  <c:v>42803</c:v>
                </c:pt>
                <c:pt idx="1952">
                  <c:v>42804</c:v>
                </c:pt>
                <c:pt idx="1953">
                  <c:v>42807</c:v>
                </c:pt>
                <c:pt idx="1954">
                  <c:v>42808</c:v>
                </c:pt>
                <c:pt idx="1955">
                  <c:v>42809</c:v>
                </c:pt>
                <c:pt idx="1956">
                  <c:v>42810</c:v>
                </c:pt>
                <c:pt idx="1957">
                  <c:v>42811</c:v>
                </c:pt>
                <c:pt idx="1958">
                  <c:v>42814</c:v>
                </c:pt>
                <c:pt idx="1959">
                  <c:v>42815</c:v>
                </c:pt>
                <c:pt idx="1960">
                  <c:v>42816</c:v>
                </c:pt>
                <c:pt idx="1961">
                  <c:v>42817</c:v>
                </c:pt>
                <c:pt idx="1962">
                  <c:v>42818</c:v>
                </c:pt>
                <c:pt idx="1963">
                  <c:v>42821</c:v>
                </c:pt>
                <c:pt idx="1964">
                  <c:v>42822</c:v>
                </c:pt>
                <c:pt idx="1965">
                  <c:v>42823</c:v>
                </c:pt>
                <c:pt idx="1966">
                  <c:v>42824</c:v>
                </c:pt>
                <c:pt idx="1967">
                  <c:v>42825</c:v>
                </c:pt>
                <c:pt idx="1968">
                  <c:v>42828</c:v>
                </c:pt>
                <c:pt idx="1969">
                  <c:v>42829</c:v>
                </c:pt>
                <c:pt idx="1970">
                  <c:v>42830</c:v>
                </c:pt>
                <c:pt idx="1971">
                  <c:v>42831</c:v>
                </c:pt>
                <c:pt idx="1972">
                  <c:v>42832</c:v>
                </c:pt>
                <c:pt idx="1973">
                  <c:v>42835</c:v>
                </c:pt>
                <c:pt idx="1974">
                  <c:v>42836</c:v>
                </c:pt>
                <c:pt idx="1975">
                  <c:v>42837</c:v>
                </c:pt>
                <c:pt idx="1976">
                  <c:v>42838</c:v>
                </c:pt>
                <c:pt idx="1977">
                  <c:v>42842</c:v>
                </c:pt>
                <c:pt idx="1978">
                  <c:v>42843</c:v>
                </c:pt>
                <c:pt idx="1979">
                  <c:v>42844</c:v>
                </c:pt>
                <c:pt idx="1980">
                  <c:v>42845</c:v>
                </c:pt>
                <c:pt idx="1981">
                  <c:v>42846</c:v>
                </c:pt>
                <c:pt idx="1982">
                  <c:v>42849</c:v>
                </c:pt>
                <c:pt idx="1983">
                  <c:v>42850</c:v>
                </c:pt>
                <c:pt idx="1984">
                  <c:v>42851</c:v>
                </c:pt>
                <c:pt idx="1985">
                  <c:v>42852</c:v>
                </c:pt>
                <c:pt idx="1986">
                  <c:v>42853</c:v>
                </c:pt>
                <c:pt idx="1987">
                  <c:v>42856</c:v>
                </c:pt>
                <c:pt idx="1988">
                  <c:v>42857</c:v>
                </c:pt>
                <c:pt idx="1989">
                  <c:v>42858</c:v>
                </c:pt>
                <c:pt idx="1990">
                  <c:v>42859</c:v>
                </c:pt>
                <c:pt idx="1991">
                  <c:v>42860</c:v>
                </c:pt>
                <c:pt idx="1992">
                  <c:v>42863</c:v>
                </c:pt>
                <c:pt idx="1993">
                  <c:v>42864</c:v>
                </c:pt>
                <c:pt idx="1994">
                  <c:v>42865</c:v>
                </c:pt>
                <c:pt idx="1995">
                  <c:v>42866</c:v>
                </c:pt>
                <c:pt idx="1996">
                  <c:v>42867</c:v>
                </c:pt>
                <c:pt idx="1997">
                  <c:v>42870</c:v>
                </c:pt>
                <c:pt idx="1998">
                  <c:v>42871</c:v>
                </c:pt>
                <c:pt idx="1999">
                  <c:v>42872</c:v>
                </c:pt>
                <c:pt idx="2000">
                  <c:v>42873</c:v>
                </c:pt>
                <c:pt idx="2001">
                  <c:v>42874</c:v>
                </c:pt>
                <c:pt idx="2002">
                  <c:v>42877</c:v>
                </c:pt>
                <c:pt idx="2003">
                  <c:v>42878</c:v>
                </c:pt>
                <c:pt idx="2004">
                  <c:v>42879</c:v>
                </c:pt>
                <c:pt idx="2005">
                  <c:v>42880</c:v>
                </c:pt>
                <c:pt idx="2006">
                  <c:v>42881</c:v>
                </c:pt>
                <c:pt idx="2007">
                  <c:v>42885</c:v>
                </c:pt>
                <c:pt idx="2008">
                  <c:v>42886</c:v>
                </c:pt>
                <c:pt idx="2009">
                  <c:v>42887</c:v>
                </c:pt>
                <c:pt idx="2010">
                  <c:v>42888</c:v>
                </c:pt>
                <c:pt idx="2011">
                  <c:v>42891</c:v>
                </c:pt>
                <c:pt idx="2012">
                  <c:v>42892</c:v>
                </c:pt>
                <c:pt idx="2013">
                  <c:v>42893</c:v>
                </c:pt>
                <c:pt idx="2014">
                  <c:v>42894</c:v>
                </c:pt>
                <c:pt idx="2015">
                  <c:v>42895</c:v>
                </c:pt>
                <c:pt idx="2016">
                  <c:v>42898</c:v>
                </c:pt>
                <c:pt idx="2017">
                  <c:v>42899</c:v>
                </c:pt>
                <c:pt idx="2018">
                  <c:v>42900</c:v>
                </c:pt>
                <c:pt idx="2019">
                  <c:v>42901</c:v>
                </c:pt>
                <c:pt idx="2020">
                  <c:v>42902</c:v>
                </c:pt>
                <c:pt idx="2021">
                  <c:v>42905</c:v>
                </c:pt>
                <c:pt idx="2022">
                  <c:v>42906</c:v>
                </c:pt>
                <c:pt idx="2023">
                  <c:v>42907</c:v>
                </c:pt>
                <c:pt idx="2024">
                  <c:v>42908</c:v>
                </c:pt>
                <c:pt idx="2025">
                  <c:v>42909</c:v>
                </c:pt>
                <c:pt idx="2026">
                  <c:v>42912</c:v>
                </c:pt>
                <c:pt idx="2027">
                  <c:v>42913</c:v>
                </c:pt>
                <c:pt idx="2028">
                  <c:v>42914</c:v>
                </c:pt>
                <c:pt idx="2029">
                  <c:v>42915</c:v>
                </c:pt>
                <c:pt idx="2030">
                  <c:v>42916</c:v>
                </c:pt>
                <c:pt idx="2031">
                  <c:v>42919</c:v>
                </c:pt>
                <c:pt idx="2032">
                  <c:v>42921</c:v>
                </c:pt>
                <c:pt idx="2033">
                  <c:v>42922</c:v>
                </c:pt>
                <c:pt idx="2034">
                  <c:v>42923</c:v>
                </c:pt>
                <c:pt idx="2035">
                  <c:v>42926</c:v>
                </c:pt>
                <c:pt idx="2036">
                  <c:v>42927</c:v>
                </c:pt>
                <c:pt idx="2037">
                  <c:v>42928</c:v>
                </c:pt>
                <c:pt idx="2038">
                  <c:v>42929</c:v>
                </c:pt>
                <c:pt idx="2039">
                  <c:v>42930</c:v>
                </c:pt>
                <c:pt idx="2040">
                  <c:v>42933</c:v>
                </c:pt>
                <c:pt idx="2041">
                  <c:v>42934</c:v>
                </c:pt>
                <c:pt idx="2042">
                  <c:v>42935</c:v>
                </c:pt>
                <c:pt idx="2043">
                  <c:v>42936</c:v>
                </c:pt>
                <c:pt idx="2044">
                  <c:v>42937</c:v>
                </c:pt>
                <c:pt idx="2045">
                  <c:v>42940</c:v>
                </c:pt>
                <c:pt idx="2046">
                  <c:v>42941</c:v>
                </c:pt>
                <c:pt idx="2047">
                  <c:v>42942</c:v>
                </c:pt>
                <c:pt idx="2048">
                  <c:v>42943</c:v>
                </c:pt>
                <c:pt idx="2049">
                  <c:v>42944</c:v>
                </c:pt>
                <c:pt idx="2050">
                  <c:v>42947</c:v>
                </c:pt>
                <c:pt idx="2051">
                  <c:v>42948</c:v>
                </c:pt>
                <c:pt idx="2052">
                  <c:v>42949</c:v>
                </c:pt>
                <c:pt idx="2053">
                  <c:v>42950</c:v>
                </c:pt>
                <c:pt idx="2054">
                  <c:v>42951</c:v>
                </c:pt>
                <c:pt idx="2055">
                  <c:v>42954</c:v>
                </c:pt>
                <c:pt idx="2056">
                  <c:v>42955</c:v>
                </c:pt>
                <c:pt idx="2057">
                  <c:v>42956</c:v>
                </c:pt>
                <c:pt idx="2058">
                  <c:v>42957</c:v>
                </c:pt>
                <c:pt idx="2059">
                  <c:v>42958</c:v>
                </c:pt>
                <c:pt idx="2060">
                  <c:v>42961</c:v>
                </c:pt>
                <c:pt idx="2061">
                  <c:v>42962</c:v>
                </c:pt>
                <c:pt idx="2062">
                  <c:v>42963</c:v>
                </c:pt>
                <c:pt idx="2063">
                  <c:v>42964</c:v>
                </c:pt>
                <c:pt idx="2064">
                  <c:v>42965</c:v>
                </c:pt>
                <c:pt idx="2065">
                  <c:v>42968</c:v>
                </c:pt>
                <c:pt idx="2066">
                  <c:v>42969</c:v>
                </c:pt>
                <c:pt idx="2067">
                  <c:v>42970</c:v>
                </c:pt>
                <c:pt idx="2068">
                  <c:v>42971</c:v>
                </c:pt>
                <c:pt idx="2069">
                  <c:v>42972</c:v>
                </c:pt>
                <c:pt idx="2070">
                  <c:v>42975</c:v>
                </c:pt>
                <c:pt idx="2071">
                  <c:v>42976</c:v>
                </c:pt>
                <c:pt idx="2072">
                  <c:v>42977</c:v>
                </c:pt>
                <c:pt idx="2073">
                  <c:v>42978</c:v>
                </c:pt>
                <c:pt idx="2074">
                  <c:v>42979</c:v>
                </c:pt>
                <c:pt idx="2075">
                  <c:v>42983</c:v>
                </c:pt>
                <c:pt idx="2076">
                  <c:v>42984</c:v>
                </c:pt>
                <c:pt idx="2077">
                  <c:v>42985</c:v>
                </c:pt>
                <c:pt idx="2078">
                  <c:v>42986</c:v>
                </c:pt>
                <c:pt idx="2079">
                  <c:v>42989</c:v>
                </c:pt>
                <c:pt idx="2080">
                  <c:v>42990</c:v>
                </c:pt>
                <c:pt idx="2081">
                  <c:v>42991</c:v>
                </c:pt>
                <c:pt idx="2082">
                  <c:v>42992</c:v>
                </c:pt>
                <c:pt idx="2083">
                  <c:v>42993</c:v>
                </c:pt>
                <c:pt idx="2084">
                  <c:v>42996</c:v>
                </c:pt>
                <c:pt idx="2085">
                  <c:v>42997</c:v>
                </c:pt>
                <c:pt idx="2086">
                  <c:v>42998</c:v>
                </c:pt>
                <c:pt idx="2087">
                  <c:v>42999</c:v>
                </c:pt>
                <c:pt idx="2088">
                  <c:v>43000</c:v>
                </c:pt>
                <c:pt idx="2089">
                  <c:v>43003</c:v>
                </c:pt>
                <c:pt idx="2090">
                  <c:v>43004</c:v>
                </c:pt>
                <c:pt idx="2091">
                  <c:v>43005</c:v>
                </c:pt>
                <c:pt idx="2092">
                  <c:v>43006</c:v>
                </c:pt>
                <c:pt idx="2093">
                  <c:v>43007</c:v>
                </c:pt>
                <c:pt idx="2094">
                  <c:v>43010</c:v>
                </c:pt>
                <c:pt idx="2095">
                  <c:v>43011</c:v>
                </c:pt>
                <c:pt idx="2096">
                  <c:v>43012</c:v>
                </c:pt>
                <c:pt idx="2097">
                  <c:v>43013</c:v>
                </c:pt>
                <c:pt idx="2098">
                  <c:v>43014</c:v>
                </c:pt>
                <c:pt idx="2099">
                  <c:v>43017</c:v>
                </c:pt>
                <c:pt idx="2100">
                  <c:v>43018</c:v>
                </c:pt>
                <c:pt idx="2101">
                  <c:v>43019</c:v>
                </c:pt>
                <c:pt idx="2102">
                  <c:v>43020</c:v>
                </c:pt>
                <c:pt idx="2103">
                  <c:v>43021</c:v>
                </c:pt>
                <c:pt idx="2104">
                  <c:v>43024</c:v>
                </c:pt>
                <c:pt idx="2105">
                  <c:v>43025</c:v>
                </c:pt>
                <c:pt idx="2106">
                  <c:v>43026</c:v>
                </c:pt>
                <c:pt idx="2107">
                  <c:v>43027</c:v>
                </c:pt>
                <c:pt idx="2108">
                  <c:v>43028</c:v>
                </c:pt>
                <c:pt idx="2109">
                  <c:v>43031</c:v>
                </c:pt>
                <c:pt idx="2110">
                  <c:v>43032</c:v>
                </c:pt>
                <c:pt idx="2111">
                  <c:v>43033</c:v>
                </c:pt>
                <c:pt idx="2112">
                  <c:v>43034</c:v>
                </c:pt>
                <c:pt idx="2113">
                  <c:v>43035</c:v>
                </c:pt>
                <c:pt idx="2114">
                  <c:v>43038</c:v>
                </c:pt>
                <c:pt idx="2115">
                  <c:v>43039</c:v>
                </c:pt>
                <c:pt idx="2116">
                  <c:v>43040</c:v>
                </c:pt>
                <c:pt idx="2117">
                  <c:v>43041</c:v>
                </c:pt>
                <c:pt idx="2118">
                  <c:v>43042</c:v>
                </c:pt>
                <c:pt idx="2119">
                  <c:v>43045</c:v>
                </c:pt>
                <c:pt idx="2120">
                  <c:v>43046</c:v>
                </c:pt>
                <c:pt idx="2121">
                  <c:v>43047</c:v>
                </c:pt>
                <c:pt idx="2122">
                  <c:v>43048</c:v>
                </c:pt>
                <c:pt idx="2123">
                  <c:v>43049</c:v>
                </c:pt>
                <c:pt idx="2124">
                  <c:v>43052</c:v>
                </c:pt>
                <c:pt idx="2125">
                  <c:v>43053</c:v>
                </c:pt>
                <c:pt idx="2126">
                  <c:v>43054</c:v>
                </c:pt>
                <c:pt idx="2127">
                  <c:v>43055</c:v>
                </c:pt>
                <c:pt idx="2128">
                  <c:v>43056</c:v>
                </c:pt>
                <c:pt idx="2129">
                  <c:v>43059</c:v>
                </c:pt>
                <c:pt idx="2130">
                  <c:v>43060</c:v>
                </c:pt>
                <c:pt idx="2131">
                  <c:v>43061</c:v>
                </c:pt>
                <c:pt idx="2132">
                  <c:v>43063</c:v>
                </c:pt>
                <c:pt idx="2133">
                  <c:v>43066</c:v>
                </c:pt>
                <c:pt idx="2134">
                  <c:v>43067</c:v>
                </c:pt>
                <c:pt idx="2135">
                  <c:v>43068</c:v>
                </c:pt>
                <c:pt idx="2136">
                  <c:v>43069</c:v>
                </c:pt>
                <c:pt idx="2137">
                  <c:v>43070</c:v>
                </c:pt>
                <c:pt idx="2138">
                  <c:v>43073</c:v>
                </c:pt>
                <c:pt idx="2139">
                  <c:v>43074</c:v>
                </c:pt>
                <c:pt idx="2140">
                  <c:v>43075</c:v>
                </c:pt>
                <c:pt idx="2141">
                  <c:v>43076</c:v>
                </c:pt>
                <c:pt idx="2142">
                  <c:v>43077</c:v>
                </c:pt>
                <c:pt idx="2143">
                  <c:v>43080</c:v>
                </c:pt>
                <c:pt idx="2144">
                  <c:v>43081</c:v>
                </c:pt>
                <c:pt idx="2145">
                  <c:v>43082</c:v>
                </c:pt>
                <c:pt idx="2146">
                  <c:v>43083</c:v>
                </c:pt>
                <c:pt idx="2147">
                  <c:v>43084</c:v>
                </c:pt>
                <c:pt idx="2148">
                  <c:v>43087</c:v>
                </c:pt>
                <c:pt idx="2149">
                  <c:v>43088</c:v>
                </c:pt>
                <c:pt idx="2150">
                  <c:v>43089</c:v>
                </c:pt>
                <c:pt idx="2151">
                  <c:v>43090</c:v>
                </c:pt>
                <c:pt idx="2152">
                  <c:v>43091</c:v>
                </c:pt>
                <c:pt idx="2153">
                  <c:v>43095</c:v>
                </c:pt>
                <c:pt idx="2154">
                  <c:v>43096</c:v>
                </c:pt>
                <c:pt idx="2155">
                  <c:v>43097</c:v>
                </c:pt>
                <c:pt idx="2156">
                  <c:v>43098</c:v>
                </c:pt>
                <c:pt idx="2157">
                  <c:v>43102</c:v>
                </c:pt>
                <c:pt idx="2158">
                  <c:v>43103</c:v>
                </c:pt>
                <c:pt idx="2159">
                  <c:v>43104</c:v>
                </c:pt>
                <c:pt idx="2160">
                  <c:v>43105</c:v>
                </c:pt>
                <c:pt idx="2161">
                  <c:v>43108</c:v>
                </c:pt>
                <c:pt idx="2162">
                  <c:v>43109</c:v>
                </c:pt>
                <c:pt idx="2163">
                  <c:v>43110</c:v>
                </c:pt>
                <c:pt idx="2164">
                  <c:v>43111</c:v>
                </c:pt>
                <c:pt idx="2165">
                  <c:v>43112</c:v>
                </c:pt>
                <c:pt idx="2166">
                  <c:v>43116</c:v>
                </c:pt>
                <c:pt idx="2167">
                  <c:v>43117</c:v>
                </c:pt>
                <c:pt idx="2168">
                  <c:v>43118</c:v>
                </c:pt>
                <c:pt idx="2169">
                  <c:v>43119</c:v>
                </c:pt>
                <c:pt idx="2170">
                  <c:v>43122</c:v>
                </c:pt>
                <c:pt idx="2171">
                  <c:v>43123</c:v>
                </c:pt>
                <c:pt idx="2172">
                  <c:v>43124</c:v>
                </c:pt>
                <c:pt idx="2173">
                  <c:v>43125</c:v>
                </c:pt>
                <c:pt idx="2174">
                  <c:v>43126</c:v>
                </c:pt>
                <c:pt idx="2175">
                  <c:v>43129</c:v>
                </c:pt>
                <c:pt idx="2176">
                  <c:v>43130</c:v>
                </c:pt>
                <c:pt idx="2177">
                  <c:v>43131</c:v>
                </c:pt>
                <c:pt idx="2178">
                  <c:v>43132</c:v>
                </c:pt>
                <c:pt idx="2179">
                  <c:v>43133</c:v>
                </c:pt>
                <c:pt idx="2180">
                  <c:v>43136</c:v>
                </c:pt>
                <c:pt idx="2181">
                  <c:v>43137</c:v>
                </c:pt>
                <c:pt idx="2182">
                  <c:v>43138</c:v>
                </c:pt>
                <c:pt idx="2183">
                  <c:v>43139</c:v>
                </c:pt>
                <c:pt idx="2184">
                  <c:v>43140</c:v>
                </c:pt>
                <c:pt idx="2185">
                  <c:v>43143</c:v>
                </c:pt>
                <c:pt idx="2186">
                  <c:v>43144</c:v>
                </c:pt>
                <c:pt idx="2187">
                  <c:v>43145</c:v>
                </c:pt>
                <c:pt idx="2188">
                  <c:v>43146</c:v>
                </c:pt>
                <c:pt idx="2189">
                  <c:v>43147</c:v>
                </c:pt>
                <c:pt idx="2190">
                  <c:v>43151</c:v>
                </c:pt>
                <c:pt idx="2191">
                  <c:v>43152</c:v>
                </c:pt>
                <c:pt idx="2192">
                  <c:v>43153</c:v>
                </c:pt>
                <c:pt idx="2193">
                  <c:v>43154</c:v>
                </c:pt>
                <c:pt idx="2194">
                  <c:v>43157</c:v>
                </c:pt>
                <c:pt idx="2195">
                  <c:v>43158</c:v>
                </c:pt>
                <c:pt idx="2196">
                  <c:v>43159</c:v>
                </c:pt>
                <c:pt idx="2197">
                  <c:v>43160</c:v>
                </c:pt>
                <c:pt idx="2198">
                  <c:v>43161</c:v>
                </c:pt>
                <c:pt idx="2199">
                  <c:v>43164</c:v>
                </c:pt>
                <c:pt idx="2200">
                  <c:v>43165</c:v>
                </c:pt>
                <c:pt idx="2201">
                  <c:v>43166</c:v>
                </c:pt>
                <c:pt idx="2202">
                  <c:v>43167</c:v>
                </c:pt>
                <c:pt idx="2203">
                  <c:v>43168</c:v>
                </c:pt>
                <c:pt idx="2204">
                  <c:v>43171</c:v>
                </c:pt>
                <c:pt idx="2205">
                  <c:v>43172</c:v>
                </c:pt>
                <c:pt idx="2206">
                  <c:v>43173</c:v>
                </c:pt>
                <c:pt idx="2207">
                  <c:v>43174</c:v>
                </c:pt>
                <c:pt idx="2208">
                  <c:v>43175</c:v>
                </c:pt>
                <c:pt idx="2209">
                  <c:v>43178</c:v>
                </c:pt>
                <c:pt idx="2210">
                  <c:v>43179</c:v>
                </c:pt>
                <c:pt idx="2211">
                  <c:v>43180</c:v>
                </c:pt>
                <c:pt idx="2212">
                  <c:v>43181</c:v>
                </c:pt>
                <c:pt idx="2213">
                  <c:v>43182</c:v>
                </c:pt>
                <c:pt idx="2214">
                  <c:v>43185</c:v>
                </c:pt>
                <c:pt idx="2215">
                  <c:v>43186</c:v>
                </c:pt>
                <c:pt idx="2216">
                  <c:v>43187</c:v>
                </c:pt>
                <c:pt idx="2217">
                  <c:v>43188</c:v>
                </c:pt>
                <c:pt idx="2218">
                  <c:v>43192</c:v>
                </c:pt>
                <c:pt idx="2219">
                  <c:v>43193</c:v>
                </c:pt>
                <c:pt idx="2220">
                  <c:v>43194</c:v>
                </c:pt>
                <c:pt idx="2221">
                  <c:v>43195</c:v>
                </c:pt>
                <c:pt idx="2222">
                  <c:v>43196</c:v>
                </c:pt>
                <c:pt idx="2223">
                  <c:v>43199</c:v>
                </c:pt>
                <c:pt idx="2224">
                  <c:v>43200</c:v>
                </c:pt>
                <c:pt idx="2225">
                  <c:v>43201</c:v>
                </c:pt>
                <c:pt idx="2226">
                  <c:v>43202</c:v>
                </c:pt>
                <c:pt idx="2227">
                  <c:v>43203</c:v>
                </c:pt>
                <c:pt idx="2228">
                  <c:v>43206</c:v>
                </c:pt>
                <c:pt idx="2229">
                  <c:v>43207</c:v>
                </c:pt>
                <c:pt idx="2230">
                  <c:v>43208</c:v>
                </c:pt>
                <c:pt idx="2231">
                  <c:v>43209</c:v>
                </c:pt>
                <c:pt idx="2232">
                  <c:v>43210</c:v>
                </c:pt>
                <c:pt idx="2233">
                  <c:v>43213</c:v>
                </c:pt>
                <c:pt idx="2234">
                  <c:v>43214</c:v>
                </c:pt>
                <c:pt idx="2235">
                  <c:v>43215</c:v>
                </c:pt>
                <c:pt idx="2236">
                  <c:v>43216</c:v>
                </c:pt>
                <c:pt idx="2237">
                  <c:v>43217</c:v>
                </c:pt>
                <c:pt idx="2238">
                  <c:v>43220</c:v>
                </c:pt>
                <c:pt idx="2239">
                  <c:v>43221</c:v>
                </c:pt>
                <c:pt idx="2240">
                  <c:v>43222</c:v>
                </c:pt>
                <c:pt idx="2241">
                  <c:v>43223</c:v>
                </c:pt>
                <c:pt idx="2242">
                  <c:v>43224</c:v>
                </c:pt>
                <c:pt idx="2243">
                  <c:v>43227</c:v>
                </c:pt>
                <c:pt idx="2244">
                  <c:v>43228</c:v>
                </c:pt>
                <c:pt idx="2245">
                  <c:v>43229</c:v>
                </c:pt>
                <c:pt idx="2246">
                  <c:v>43230</c:v>
                </c:pt>
                <c:pt idx="2247">
                  <c:v>43231</c:v>
                </c:pt>
                <c:pt idx="2248">
                  <c:v>43234</c:v>
                </c:pt>
                <c:pt idx="2249">
                  <c:v>43235</c:v>
                </c:pt>
                <c:pt idx="2250">
                  <c:v>43236</c:v>
                </c:pt>
                <c:pt idx="2251">
                  <c:v>43237</c:v>
                </c:pt>
                <c:pt idx="2252">
                  <c:v>43238</c:v>
                </c:pt>
                <c:pt idx="2253">
                  <c:v>43241</c:v>
                </c:pt>
                <c:pt idx="2254">
                  <c:v>43242</c:v>
                </c:pt>
                <c:pt idx="2255">
                  <c:v>43243</c:v>
                </c:pt>
                <c:pt idx="2256">
                  <c:v>43244</c:v>
                </c:pt>
                <c:pt idx="2257">
                  <c:v>43245</c:v>
                </c:pt>
                <c:pt idx="2258">
                  <c:v>43249</c:v>
                </c:pt>
                <c:pt idx="2259">
                  <c:v>43250</c:v>
                </c:pt>
                <c:pt idx="2260">
                  <c:v>43251</c:v>
                </c:pt>
                <c:pt idx="2261">
                  <c:v>43252</c:v>
                </c:pt>
                <c:pt idx="2262">
                  <c:v>43255</c:v>
                </c:pt>
                <c:pt idx="2263">
                  <c:v>43256</c:v>
                </c:pt>
                <c:pt idx="2264">
                  <c:v>43257</c:v>
                </c:pt>
                <c:pt idx="2265">
                  <c:v>43258</c:v>
                </c:pt>
                <c:pt idx="2266">
                  <c:v>43259</c:v>
                </c:pt>
                <c:pt idx="2267">
                  <c:v>43262</c:v>
                </c:pt>
                <c:pt idx="2268">
                  <c:v>43263</c:v>
                </c:pt>
                <c:pt idx="2269">
                  <c:v>43264</c:v>
                </c:pt>
                <c:pt idx="2270">
                  <c:v>43265</c:v>
                </c:pt>
                <c:pt idx="2271">
                  <c:v>43266</c:v>
                </c:pt>
                <c:pt idx="2272">
                  <c:v>43269</c:v>
                </c:pt>
                <c:pt idx="2273">
                  <c:v>43270</c:v>
                </c:pt>
                <c:pt idx="2274">
                  <c:v>43271</c:v>
                </c:pt>
                <c:pt idx="2275">
                  <c:v>43272</c:v>
                </c:pt>
                <c:pt idx="2276">
                  <c:v>43273</c:v>
                </c:pt>
                <c:pt idx="2277">
                  <c:v>43276</c:v>
                </c:pt>
                <c:pt idx="2278">
                  <c:v>43277</c:v>
                </c:pt>
                <c:pt idx="2279">
                  <c:v>43278</c:v>
                </c:pt>
                <c:pt idx="2280">
                  <c:v>43279</c:v>
                </c:pt>
                <c:pt idx="2281">
                  <c:v>43280</c:v>
                </c:pt>
                <c:pt idx="2282">
                  <c:v>43283</c:v>
                </c:pt>
                <c:pt idx="2283">
                  <c:v>43284</c:v>
                </c:pt>
                <c:pt idx="2284">
                  <c:v>43286</c:v>
                </c:pt>
                <c:pt idx="2285">
                  <c:v>43287</c:v>
                </c:pt>
                <c:pt idx="2286">
                  <c:v>43290</c:v>
                </c:pt>
                <c:pt idx="2287">
                  <c:v>43291</c:v>
                </c:pt>
                <c:pt idx="2288">
                  <c:v>43292</c:v>
                </c:pt>
                <c:pt idx="2289">
                  <c:v>43293</c:v>
                </c:pt>
                <c:pt idx="2290">
                  <c:v>43294</c:v>
                </c:pt>
                <c:pt idx="2291">
                  <c:v>43297</c:v>
                </c:pt>
                <c:pt idx="2292">
                  <c:v>43298</c:v>
                </c:pt>
                <c:pt idx="2293">
                  <c:v>43299</c:v>
                </c:pt>
                <c:pt idx="2294">
                  <c:v>43300</c:v>
                </c:pt>
                <c:pt idx="2295">
                  <c:v>43301</c:v>
                </c:pt>
                <c:pt idx="2296">
                  <c:v>43304</c:v>
                </c:pt>
                <c:pt idx="2297">
                  <c:v>43305</c:v>
                </c:pt>
                <c:pt idx="2298">
                  <c:v>43306</c:v>
                </c:pt>
                <c:pt idx="2299">
                  <c:v>43307</c:v>
                </c:pt>
                <c:pt idx="2300">
                  <c:v>43308</c:v>
                </c:pt>
                <c:pt idx="2301">
                  <c:v>43311</c:v>
                </c:pt>
                <c:pt idx="2302">
                  <c:v>43312</c:v>
                </c:pt>
                <c:pt idx="2303">
                  <c:v>43313</c:v>
                </c:pt>
                <c:pt idx="2304">
                  <c:v>43314</c:v>
                </c:pt>
                <c:pt idx="2305">
                  <c:v>43315</c:v>
                </c:pt>
                <c:pt idx="2306">
                  <c:v>43318</c:v>
                </c:pt>
                <c:pt idx="2307">
                  <c:v>43319</c:v>
                </c:pt>
                <c:pt idx="2308">
                  <c:v>43320</c:v>
                </c:pt>
                <c:pt idx="2309">
                  <c:v>43321</c:v>
                </c:pt>
                <c:pt idx="2310">
                  <c:v>43322</c:v>
                </c:pt>
                <c:pt idx="2311">
                  <c:v>43325</c:v>
                </c:pt>
                <c:pt idx="2312">
                  <c:v>43326</c:v>
                </c:pt>
                <c:pt idx="2313">
                  <c:v>43327</c:v>
                </c:pt>
                <c:pt idx="2314">
                  <c:v>43328</c:v>
                </c:pt>
                <c:pt idx="2315">
                  <c:v>43329</c:v>
                </c:pt>
                <c:pt idx="2316">
                  <c:v>43332</c:v>
                </c:pt>
                <c:pt idx="2317">
                  <c:v>43333</c:v>
                </c:pt>
                <c:pt idx="2318">
                  <c:v>43334</c:v>
                </c:pt>
                <c:pt idx="2319">
                  <c:v>43335</c:v>
                </c:pt>
                <c:pt idx="2320">
                  <c:v>43336</c:v>
                </c:pt>
                <c:pt idx="2321">
                  <c:v>43339</c:v>
                </c:pt>
                <c:pt idx="2322">
                  <c:v>43340</c:v>
                </c:pt>
                <c:pt idx="2323">
                  <c:v>43341</c:v>
                </c:pt>
                <c:pt idx="2324">
                  <c:v>43342</c:v>
                </c:pt>
                <c:pt idx="2325">
                  <c:v>43343</c:v>
                </c:pt>
                <c:pt idx="2326">
                  <c:v>43347</c:v>
                </c:pt>
                <c:pt idx="2327">
                  <c:v>43348</c:v>
                </c:pt>
                <c:pt idx="2328">
                  <c:v>43349</c:v>
                </c:pt>
                <c:pt idx="2329">
                  <c:v>43350</c:v>
                </c:pt>
                <c:pt idx="2330">
                  <c:v>43353</c:v>
                </c:pt>
                <c:pt idx="2331">
                  <c:v>43354</c:v>
                </c:pt>
                <c:pt idx="2332">
                  <c:v>43355</c:v>
                </c:pt>
                <c:pt idx="2333">
                  <c:v>43356</c:v>
                </c:pt>
                <c:pt idx="2334">
                  <c:v>43357</c:v>
                </c:pt>
                <c:pt idx="2335">
                  <c:v>43360</c:v>
                </c:pt>
                <c:pt idx="2336">
                  <c:v>43361</c:v>
                </c:pt>
                <c:pt idx="2337">
                  <c:v>43362</c:v>
                </c:pt>
                <c:pt idx="2338">
                  <c:v>43363</c:v>
                </c:pt>
                <c:pt idx="2339">
                  <c:v>43364</c:v>
                </c:pt>
                <c:pt idx="2340">
                  <c:v>43367</c:v>
                </c:pt>
                <c:pt idx="2341">
                  <c:v>43368</c:v>
                </c:pt>
                <c:pt idx="2342">
                  <c:v>43369</c:v>
                </c:pt>
                <c:pt idx="2343">
                  <c:v>43370</c:v>
                </c:pt>
                <c:pt idx="2344">
                  <c:v>43371</c:v>
                </c:pt>
                <c:pt idx="2345">
                  <c:v>43374</c:v>
                </c:pt>
                <c:pt idx="2346">
                  <c:v>43375</c:v>
                </c:pt>
                <c:pt idx="2347">
                  <c:v>43376</c:v>
                </c:pt>
                <c:pt idx="2348">
                  <c:v>43377</c:v>
                </c:pt>
                <c:pt idx="2349">
                  <c:v>43378</c:v>
                </c:pt>
                <c:pt idx="2350">
                  <c:v>43381</c:v>
                </c:pt>
                <c:pt idx="2351">
                  <c:v>43382</c:v>
                </c:pt>
                <c:pt idx="2352">
                  <c:v>43383</c:v>
                </c:pt>
                <c:pt idx="2353">
                  <c:v>43384</c:v>
                </c:pt>
                <c:pt idx="2354">
                  <c:v>43385</c:v>
                </c:pt>
                <c:pt idx="2355">
                  <c:v>43388</c:v>
                </c:pt>
                <c:pt idx="2356">
                  <c:v>43389</c:v>
                </c:pt>
                <c:pt idx="2357">
                  <c:v>43390</c:v>
                </c:pt>
                <c:pt idx="2358">
                  <c:v>43391</c:v>
                </c:pt>
                <c:pt idx="2359">
                  <c:v>43392</c:v>
                </c:pt>
                <c:pt idx="2360">
                  <c:v>43395</c:v>
                </c:pt>
                <c:pt idx="2361">
                  <c:v>43396</c:v>
                </c:pt>
                <c:pt idx="2362">
                  <c:v>43397</c:v>
                </c:pt>
                <c:pt idx="2363">
                  <c:v>43398</c:v>
                </c:pt>
                <c:pt idx="2364">
                  <c:v>43399</c:v>
                </c:pt>
                <c:pt idx="2365">
                  <c:v>43402</c:v>
                </c:pt>
                <c:pt idx="2366">
                  <c:v>43403</c:v>
                </c:pt>
                <c:pt idx="2367">
                  <c:v>43404</c:v>
                </c:pt>
                <c:pt idx="2368">
                  <c:v>43405</c:v>
                </c:pt>
                <c:pt idx="2369">
                  <c:v>43406</c:v>
                </c:pt>
                <c:pt idx="2370">
                  <c:v>43409</c:v>
                </c:pt>
                <c:pt idx="2371">
                  <c:v>43410</c:v>
                </c:pt>
                <c:pt idx="2372">
                  <c:v>43411</c:v>
                </c:pt>
                <c:pt idx="2373">
                  <c:v>43412</c:v>
                </c:pt>
                <c:pt idx="2374">
                  <c:v>43413</c:v>
                </c:pt>
                <c:pt idx="2375">
                  <c:v>43416</c:v>
                </c:pt>
                <c:pt idx="2376">
                  <c:v>43417</c:v>
                </c:pt>
                <c:pt idx="2377">
                  <c:v>43418</c:v>
                </c:pt>
                <c:pt idx="2378">
                  <c:v>43419</c:v>
                </c:pt>
                <c:pt idx="2379">
                  <c:v>43420</c:v>
                </c:pt>
                <c:pt idx="2380">
                  <c:v>43423</c:v>
                </c:pt>
                <c:pt idx="2381">
                  <c:v>43424</c:v>
                </c:pt>
                <c:pt idx="2382">
                  <c:v>43425</c:v>
                </c:pt>
                <c:pt idx="2383">
                  <c:v>43427</c:v>
                </c:pt>
                <c:pt idx="2384">
                  <c:v>43430</c:v>
                </c:pt>
                <c:pt idx="2385">
                  <c:v>43431</c:v>
                </c:pt>
                <c:pt idx="2386">
                  <c:v>43432</c:v>
                </c:pt>
                <c:pt idx="2387">
                  <c:v>43433</c:v>
                </c:pt>
                <c:pt idx="2388">
                  <c:v>43434</c:v>
                </c:pt>
                <c:pt idx="2389">
                  <c:v>43437</c:v>
                </c:pt>
                <c:pt idx="2390">
                  <c:v>43438</c:v>
                </c:pt>
                <c:pt idx="2391">
                  <c:v>43440</c:v>
                </c:pt>
                <c:pt idx="2392">
                  <c:v>43441</c:v>
                </c:pt>
                <c:pt idx="2393">
                  <c:v>43444</c:v>
                </c:pt>
                <c:pt idx="2394">
                  <c:v>43445</c:v>
                </c:pt>
                <c:pt idx="2395">
                  <c:v>43446</c:v>
                </c:pt>
                <c:pt idx="2396">
                  <c:v>43447</c:v>
                </c:pt>
                <c:pt idx="2397">
                  <c:v>43448</c:v>
                </c:pt>
                <c:pt idx="2398">
                  <c:v>43451</c:v>
                </c:pt>
                <c:pt idx="2399">
                  <c:v>43452</c:v>
                </c:pt>
                <c:pt idx="2400">
                  <c:v>43453</c:v>
                </c:pt>
                <c:pt idx="2401">
                  <c:v>43454</c:v>
                </c:pt>
                <c:pt idx="2402">
                  <c:v>43455</c:v>
                </c:pt>
                <c:pt idx="2403">
                  <c:v>43458</c:v>
                </c:pt>
                <c:pt idx="2404">
                  <c:v>43460</c:v>
                </c:pt>
                <c:pt idx="2405">
                  <c:v>43461</c:v>
                </c:pt>
                <c:pt idx="2406">
                  <c:v>43462</c:v>
                </c:pt>
                <c:pt idx="2407">
                  <c:v>43465</c:v>
                </c:pt>
                <c:pt idx="2408">
                  <c:v>43467</c:v>
                </c:pt>
                <c:pt idx="2409">
                  <c:v>43468</c:v>
                </c:pt>
                <c:pt idx="2410">
                  <c:v>43469</c:v>
                </c:pt>
                <c:pt idx="2411">
                  <c:v>43472</c:v>
                </c:pt>
                <c:pt idx="2412">
                  <c:v>43473</c:v>
                </c:pt>
                <c:pt idx="2413">
                  <c:v>43474</c:v>
                </c:pt>
                <c:pt idx="2414">
                  <c:v>43475</c:v>
                </c:pt>
                <c:pt idx="2415">
                  <c:v>43476</c:v>
                </c:pt>
                <c:pt idx="2416">
                  <c:v>43479</c:v>
                </c:pt>
                <c:pt idx="2417">
                  <c:v>43480</c:v>
                </c:pt>
                <c:pt idx="2418">
                  <c:v>43481</c:v>
                </c:pt>
                <c:pt idx="2419">
                  <c:v>43482</c:v>
                </c:pt>
                <c:pt idx="2420">
                  <c:v>43483</c:v>
                </c:pt>
                <c:pt idx="2421">
                  <c:v>43487</c:v>
                </c:pt>
                <c:pt idx="2422">
                  <c:v>43488</c:v>
                </c:pt>
                <c:pt idx="2423">
                  <c:v>43489</c:v>
                </c:pt>
                <c:pt idx="2424">
                  <c:v>43490</c:v>
                </c:pt>
                <c:pt idx="2425">
                  <c:v>43493</c:v>
                </c:pt>
                <c:pt idx="2426">
                  <c:v>43494</c:v>
                </c:pt>
                <c:pt idx="2427">
                  <c:v>43495</c:v>
                </c:pt>
                <c:pt idx="2428">
                  <c:v>43496</c:v>
                </c:pt>
                <c:pt idx="2429">
                  <c:v>43497</c:v>
                </c:pt>
                <c:pt idx="2430">
                  <c:v>43500</c:v>
                </c:pt>
                <c:pt idx="2431">
                  <c:v>43501</c:v>
                </c:pt>
                <c:pt idx="2432">
                  <c:v>43502</c:v>
                </c:pt>
                <c:pt idx="2433">
                  <c:v>43503</c:v>
                </c:pt>
                <c:pt idx="2434">
                  <c:v>43504</c:v>
                </c:pt>
                <c:pt idx="2435">
                  <c:v>43507</c:v>
                </c:pt>
                <c:pt idx="2436">
                  <c:v>43508</c:v>
                </c:pt>
                <c:pt idx="2437">
                  <c:v>43509</c:v>
                </c:pt>
                <c:pt idx="2438">
                  <c:v>43510</c:v>
                </c:pt>
                <c:pt idx="2439">
                  <c:v>43511</c:v>
                </c:pt>
                <c:pt idx="2440">
                  <c:v>43515</c:v>
                </c:pt>
                <c:pt idx="2441">
                  <c:v>43516</c:v>
                </c:pt>
                <c:pt idx="2442">
                  <c:v>43517</c:v>
                </c:pt>
                <c:pt idx="2443">
                  <c:v>43518</c:v>
                </c:pt>
                <c:pt idx="2444">
                  <c:v>43521</c:v>
                </c:pt>
                <c:pt idx="2445">
                  <c:v>43522</c:v>
                </c:pt>
                <c:pt idx="2446">
                  <c:v>43523</c:v>
                </c:pt>
                <c:pt idx="2447">
                  <c:v>43524</c:v>
                </c:pt>
                <c:pt idx="2448">
                  <c:v>43525</c:v>
                </c:pt>
                <c:pt idx="2449">
                  <c:v>43528</c:v>
                </c:pt>
                <c:pt idx="2450">
                  <c:v>43529</c:v>
                </c:pt>
                <c:pt idx="2451">
                  <c:v>43530</c:v>
                </c:pt>
                <c:pt idx="2452">
                  <c:v>43531</c:v>
                </c:pt>
                <c:pt idx="2453">
                  <c:v>43532</c:v>
                </c:pt>
                <c:pt idx="2454">
                  <c:v>43535</c:v>
                </c:pt>
                <c:pt idx="2455">
                  <c:v>43536</c:v>
                </c:pt>
                <c:pt idx="2456">
                  <c:v>43537</c:v>
                </c:pt>
                <c:pt idx="2457">
                  <c:v>43538</c:v>
                </c:pt>
                <c:pt idx="2458">
                  <c:v>43539</c:v>
                </c:pt>
                <c:pt idx="2459">
                  <c:v>43542</c:v>
                </c:pt>
                <c:pt idx="2460">
                  <c:v>43543</c:v>
                </c:pt>
                <c:pt idx="2461">
                  <c:v>43544</c:v>
                </c:pt>
                <c:pt idx="2462">
                  <c:v>43545</c:v>
                </c:pt>
                <c:pt idx="2463">
                  <c:v>43546</c:v>
                </c:pt>
                <c:pt idx="2464">
                  <c:v>43549</c:v>
                </c:pt>
                <c:pt idx="2465">
                  <c:v>43550</c:v>
                </c:pt>
                <c:pt idx="2466">
                  <c:v>43551</c:v>
                </c:pt>
                <c:pt idx="2467">
                  <c:v>43552</c:v>
                </c:pt>
                <c:pt idx="2468">
                  <c:v>43553</c:v>
                </c:pt>
                <c:pt idx="2469">
                  <c:v>43556</c:v>
                </c:pt>
                <c:pt idx="2470">
                  <c:v>43557</c:v>
                </c:pt>
                <c:pt idx="2471">
                  <c:v>43558</c:v>
                </c:pt>
                <c:pt idx="2472">
                  <c:v>43559</c:v>
                </c:pt>
                <c:pt idx="2473">
                  <c:v>43560</c:v>
                </c:pt>
                <c:pt idx="2474">
                  <c:v>43563</c:v>
                </c:pt>
                <c:pt idx="2475">
                  <c:v>43564</c:v>
                </c:pt>
                <c:pt idx="2476">
                  <c:v>43565</c:v>
                </c:pt>
                <c:pt idx="2477">
                  <c:v>43566</c:v>
                </c:pt>
                <c:pt idx="2478">
                  <c:v>43567</c:v>
                </c:pt>
                <c:pt idx="2479">
                  <c:v>43570</c:v>
                </c:pt>
                <c:pt idx="2480">
                  <c:v>43571</c:v>
                </c:pt>
                <c:pt idx="2481">
                  <c:v>43572</c:v>
                </c:pt>
                <c:pt idx="2482">
                  <c:v>43573</c:v>
                </c:pt>
                <c:pt idx="2483">
                  <c:v>43577</c:v>
                </c:pt>
                <c:pt idx="2484">
                  <c:v>43578</c:v>
                </c:pt>
                <c:pt idx="2485">
                  <c:v>43579</c:v>
                </c:pt>
                <c:pt idx="2486">
                  <c:v>43580</c:v>
                </c:pt>
                <c:pt idx="2487">
                  <c:v>43581</c:v>
                </c:pt>
                <c:pt idx="2488">
                  <c:v>43584</c:v>
                </c:pt>
                <c:pt idx="2489">
                  <c:v>43585</c:v>
                </c:pt>
                <c:pt idx="2490">
                  <c:v>43586</c:v>
                </c:pt>
                <c:pt idx="2491">
                  <c:v>43587</c:v>
                </c:pt>
                <c:pt idx="2492">
                  <c:v>43588</c:v>
                </c:pt>
                <c:pt idx="2493">
                  <c:v>43591</c:v>
                </c:pt>
                <c:pt idx="2494">
                  <c:v>43592</c:v>
                </c:pt>
                <c:pt idx="2495">
                  <c:v>43593</c:v>
                </c:pt>
                <c:pt idx="2496">
                  <c:v>43594</c:v>
                </c:pt>
                <c:pt idx="2497">
                  <c:v>43595</c:v>
                </c:pt>
                <c:pt idx="2498">
                  <c:v>43598</c:v>
                </c:pt>
                <c:pt idx="2499">
                  <c:v>43599</c:v>
                </c:pt>
                <c:pt idx="2500">
                  <c:v>43600</c:v>
                </c:pt>
                <c:pt idx="2501">
                  <c:v>43601</c:v>
                </c:pt>
                <c:pt idx="2502">
                  <c:v>43602</c:v>
                </c:pt>
                <c:pt idx="2503">
                  <c:v>43605</c:v>
                </c:pt>
                <c:pt idx="2504">
                  <c:v>43606</c:v>
                </c:pt>
                <c:pt idx="2505">
                  <c:v>43607</c:v>
                </c:pt>
                <c:pt idx="2506">
                  <c:v>43608</c:v>
                </c:pt>
                <c:pt idx="2507">
                  <c:v>43609</c:v>
                </c:pt>
                <c:pt idx="2508">
                  <c:v>43613</c:v>
                </c:pt>
                <c:pt idx="2509">
                  <c:v>43614</c:v>
                </c:pt>
                <c:pt idx="2510">
                  <c:v>43615</c:v>
                </c:pt>
                <c:pt idx="2511">
                  <c:v>43616</c:v>
                </c:pt>
                <c:pt idx="2512">
                  <c:v>43619</c:v>
                </c:pt>
                <c:pt idx="2513">
                  <c:v>43620</c:v>
                </c:pt>
                <c:pt idx="2514">
                  <c:v>43621</c:v>
                </c:pt>
                <c:pt idx="2515">
                  <c:v>43622</c:v>
                </c:pt>
                <c:pt idx="2516">
                  <c:v>43623</c:v>
                </c:pt>
              </c:numCache>
            </c:numRef>
          </c:cat>
          <c:val>
            <c:numRef>
              <c:f>'Stock Price Data'!$H$3:$H$2519</c:f>
              <c:numCache>
                <c:formatCode>"$"#,##0.00;\-0.00;\-</c:formatCode>
                <c:ptCount val="2517"/>
                <c:pt idx="0">
                  <c:v>10.9725</c:v>
                </c:pt>
                <c:pt idx="1">
                  <c:v>10.9725</c:v>
                </c:pt>
                <c:pt idx="2">
                  <c:v>10.9725</c:v>
                </c:pt>
                <c:pt idx="3">
                  <c:v>10.9725</c:v>
                </c:pt>
                <c:pt idx="4">
                  <c:v>10.9725</c:v>
                </c:pt>
                <c:pt idx="5">
                  <c:v>10.9725</c:v>
                </c:pt>
                <c:pt idx="6">
                  <c:v>10.9725</c:v>
                </c:pt>
                <c:pt idx="7">
                  <c:v>10.9725</c:v>
                </c:pt>
                <c:pt idx="8">
                  <c:v>10.9725</c:v>
                </c:pt>
                <c:pt idx="9">
                  <c:v>11.55</c:v>
                </c:pt>
                <c:pt idx="10">
                  <c:v>11.55</c:v>
                </c:pt>
                <c:pt idx="11">
                  <c:v>11.55</c:v>
                </c:pt>
                <c:pt idx="12">
                  <c:v>11.55</c:v>
                </c:pt>
                <c:pt idx="13">
                  <c:v>12.243</c:v>
                </c:pt>
                <c:pt idx="14">
                  <c:v>12.243</c:v>
                </c:pt>
                <c:pt idx="15">
                  <c:v>13.083000000000002</c:v>
                </c:pt>
                <c:pt idx="16">
                  <c:v>13.083000000000002</c:v>
                </c:pt>
                <c:pt idx="17">
                  <c:v>13.083000000000002</c:v>
                </c:pt>
                <c:pt idx="18">
                  <c:v>13.083000000000002</c:v>
                </c:pt>
                <c:pt idx="19">
                  <c:v>13.083000000000002</c:v>
                </c:pt>
                <c:pt idx="20">
                  <c:v>13.083000000000002</c:v>
                </c:pt>
                <c:pt idx="21">
                  <c:v>13.083000000000002</c:v>
                </c:pt>
                <c:pt idx="22">
                  <c:v>13.083000000000002</c:v>
                </c:pt>
                <c:pt idx="23">
                  <c:v>13.083000000000002</c:v>
                </c:pt>
                <c:pt idx="24">
                  <c:v>13.083000000000002</c:v>
                </c:pt>
                <c:pt idx="25">
                  <c:v>13.083000000000002</c:v>
                </c:pt>
                <c:pt idx="26">
                  <c:v>13.083000000000002</c:v>
                </c:pt>
                <c:pt idx="27">
                  <c:v>13.083000000000002</c:v>
                </c:pt>
                <c:pt idx="28">
                  <c:v>13.083000000000002</c:v>
                </c:pt>
                <c:pt idx="29">
                  <c:v>13.692</c:v>
                </c:pt>
                <c:pt idx="30">
                  <c:v>13.692</c:v>
                </c:pt>
                <c:pt idx="31">
                  <c:v>13.692</c:v>
                </c:pt>
                <c:pt idx="32">
                  <c:v>14.07</c:v>
                </c:pt>
                <c:pt idx="33">
                  <c:v>14.07</c:v>
                </c:pt>
                <c:pt idx="34">
                  <c:v>14.07</c:v>
                </c:pt>
                <c:pt idx="35">
                  <c:v>14.07</c:v>
                </c:pt>
                <c:pt idx="36">
                  <c:v>14.07</c:v>
                </c:pt>
                <c:pt idx="37">
                  <c:v>14.07</c:v>
                </c:pt>
                <c:pt idx="38">
                  <c:v>14.07</c:v>
                </c:pt>
                <c:pt idx="39">
                  <c:v>14.794500000000001</c:v>
                </c:pt>
                <c:pt idx="40">
                  <c:v>14.794500000000001</c:v>
                </c:pt>
                <c:pt idx="41">
                  <c:v>14.794500000000001</c:v>
                </c:pt>
                <c:pt idx="42">
                  <c:v>14.794500000000001</c:v>
                </c:pt>
                <c:pt idx="43">
                  <c:v>14.794500000000001</c:v>
                </c:pt>
                <c:pt idx="44">
                  <c:v>14.794500000000001</c:v>
                </c:pt>
                <c:pt idx="45">
                  <c:v>14.794500000000001</c:v>
                </c:pt>
                <c:pt idx="46">
                  <c:v>14.794500000000001</c:v>
                </c:pt>
                <c:pt idx="47">
                  <c:v>15.519</c:v>
                </c:pt>
                <c:pt idx="48">
                  <c:v>15.519</c:v>
                </c:pt>
                <c:pt idx="49">
                  <c:v>15.519</c:v>
                </c:pt>
                <c:pt idx="50">
                  <c:v>15.519</c:v>
                </c:pt>
                <c:pt idx="51">
                  <c:v>15.519</c:v>
                </c:pt>
                <c:pt idx="52">
                  <c:v>15.519</c:v>
                </c:pt>
                <c:pt idx="53">
                  <c:v>15.519</c:v>
                </c:pt>
                <c:pt idx="54">
                  <c:v>15.519</c:v>
                </c:pt>
                <c:pt idx="55">
                  <c:v>15.519</c:v>
                </c:pt>
                <c:pt idx="56">
                  <c:v>15.519</c:v>
                </c:pt>
                <c:pt idx="57">
                  <c:v>15.519</c:v>
                </c:pt>
                <c:pt idx="58">
                  <c:v>15.519</c:v>
                </c:pt>
                <c:pt idx="59">
                  <c:v>15.519</c:v>
                </c:pt>
                <c:pt idx="60">
                  <c:v>15.519</c:v>
                </c:pt>
                <c:pt idx="61">
                  <c:v>15.519</c:v>
                </c:pt>
                <c:pt idx="62">
                  <c:v>15.519</c:v>
                </c:pt>
                <c:pt idx="63">
                  <c:v>15.519</c:v>
                </c:pt>
                <c:pt idx="64">
                  <c:v>15.519</c:v>
                </c:pt>
                <c:pt idx="65">
                  <c:v>15.519</c:v>
                </c:pt>
                <c:pt idx="66">
                  <c:v>15.519</c:v>
                </c:pt>
                <c:pt idx="67">
                  <c:v>15.519</c:v>
                </c:pt>
                <c:pt idx="68">
                  <c:v>15.519</c:v>
                </c:pt>
                <c:pt idx="69">
                  <c:v>15.519</c:v>
                </c:pt>
                <c:pt idx="70">
                  <c:v>15.519</c:v>
                </c:pt>
                <c:pt idx="71">
                  <c:v>15.519</c:v>
                </c:pt>
                <c:pt idx="72">
                  <c:v>15.519</c:v>
                </c:pt>
                <c:pt idx="73">
                  <c:v>15.519</c:v>
                </c:pt>
                <c:pt idx="74">
                  <c:v>15.519</c:v>
                </c:pt>
                <c:pt idx="75">
                  <c:v>15.519</c:v>
                </c:pt>
                <c:pt idx="76">
                  <c:v>15.519</c:v>
                </c:pt>
                <c:pt idx="77">
                  <c:v>15.519</c:v>
                </c:pt>
                <c:pt idx="78">
                  <c:v>15.519</c:v>
                </c:pt>
                <c:pt idx="79">
                  <c:v>15.519</c:v>
                </c:pt>
                <c:pt idx="80">
                  <c:v>16.054500000000001</c:v>
                </c:pt>
                <c:pt idx="81">
                  <c:v>16.054500000000001</c:v>
                </c:pt>
                <c:pt idx="82">
                  <c:v>16.054500000000001</c:v>
                </c:pt>
                <c:pt idx="83">
                  <c:v>16.905000000000001</c:v>
                </c:pt>
                <c:pt idx="84">
                  <c:v>16.905000000000001</c:v>
                </c:pt>
                <c:pt idx="85">
                  <c:v>16.905000000000001</c:v>
                </c:pt>
                <c:pt idx="86">
                  <c:v>18.04950105</c:v>
                </c:pt>
                <c:pt idx="87">
                  <c:v>18.04950105</c:v>
                </c:pt>
                <c:pt idx="88">
                  <c:v>18.04950105</c:v>
                </c:pt>
                <c:pt idx="89">
                  <c:v>18.04950105</c:v>
                </c:pt>
                <c:pt idx="90">
                  <c:v>18.04950105</c:v>
                </c:pt>
                <c:pt idx="91">
                  <c:v>18.04950105</c:v>
                </c:pt>
                <c:pt idx="92">
                  <c:v>18.04950105</c:v>
                </c:pt>
                <c:pt idx="93">
                  <c:v>18.04950105</c:v>
                </c:pt>
                <c:pt idx="94">
                  <c:v>18.04950105</c:v>
                </c:pt>
                <c:pt idx="95">
                  <c:v>18.04950105</c:v>
                </c:pt>
                <c:pt idx="96">
                  <c:v>18.868498950000003</c:v>
                </c:pt>
                <c:pt idx="97">
                  <c:v>18.868498950000003</c:v>
                </c:pt>
                <c:pt idx="98">
                  <c:v>18.868498950000003</c:v>
                </c:pt>
                <c:pt idx="99">
                  <c:v>18.868498950000003</c:v>
                </c:pt>
                <c:pt idx="100">
                  <c:v>18.868498950000003</c:v>
                </c:pt>
                <c:pt idx="101">
                  <c:v>18.868498950000003</c:v>
                </c:pt>
                <c:pt idx="102">
                  <c:v>18.868498950000003</c:v>
                </c:pt>
                <c:pt idx="103">
                  <c:v>18.868498950000003</c:v>
                </c:pt>
                <c:pt idx="104">
                  <c:v>18.868498950000003</c:v>
                </c:pt>
                <c:pt idx="105">
                  <c:v>18.868498950000003</c:v>
                </c:pt>
                <c:pt idx="106">
                  <c:v>18.868498950000003</c:v>
                </c:pt>
                <c:pt idx="107">
                  <c:v>18.868498950000003</c:v>
                </c:pt>
                <c:pt idx="108">
                  <c:v>18.868498950000003</c:v>
                </c:pt>
                <c:pt idx="109">
                  <c:v>18.868498950000003</c:v>
                </c:pt>
                <c:pt idx="110">
                  <c:v>18.868498950000003</c:v>
                </c:pt>
                <c:pt idx="111">
                  <c:v>18.868498950000003</c:v>
                </c:pt>
                <c:pt idx="112">
                  <c:v>18.868498950000003</c:v>
                </c:pt>
                <c:pt idx="113">
                  <c:v>18.868498950000003</c:v>
                </c:pt>
                <c:pt idx="114">
                  <c:v>18.868498950000003</c:v>
                </c:pt>
                <c:pt idx="115">
                  <c:v>18.868498950000003</c:v>
                </c:pt>
                <c:pt idx="116">
                  <c:v>18.868498950000003</c:v>
                </c:pt>
                <c:pt idx="117">
                  <c:v>18.868498950000003</c:v>
                </c:pt>
                <c:pt idx="118">
                  <c:v>18.868498950000003</c:v>
                </c:pt>
                <c:pt idx="119">
                  <c:v>18.868498950000003</c:v>
                </c:pt>
                <c:pt idx="120">
                  <c:v>18.868498950000003</c:v>
                </c:pt>
                <c:pt idx="121">
                  <c:v>18.868498950000003</c:v>
                </c:pt>
                <c:pt idx="122">
                  <c:v>18.868498950000003</c:v>
                </c:pt>
                <c:pt idx="123">
                  <c:v>18.868498950000003</c:v>
                </c:pt>
                <c:pt idx="124">
                  <c:v>18.868498950000003</c:v>
                </c:pt>
                <c:pt idx="125">
                  <c:v>18.868498950000003</c:v>
                </c:pt>
                <c:pt idx="126">
                  <c:v>18.868498950000003</c:v>
                </c:pt>
                <c:pt idx="127">
                  <c:v>18.868498950000003</c:v>
                </c:pt>
                <c:pt idx="128">
                  <c:v>18.868498950000003</c:v>
                </c:pt>
                <c:pt idx="129">
                  <c:v>18.868498950000003</c:v>
                </c:pt>
                <c:pt idx="130">
                  <c:v>18.868498950000003</c:v>
                </c:pt>
                <c:pt idx="131">
                  <c:v>18.868498950000003</c:v>
                </c:pt>
                <c:pt idx="132">
                  <c:v>18.868498950000003</c:v>
                </c:pt>
                <c:pt idx="133">
                  <c:v>18.868498950000003</c:v>
                </c:pt>
                <c:pt idx="134">
                  <c:v>18.868498950000003</c:v>
                </c:pt>
                <c:pt idx="135">
                  <c:v>18.868498950000003</c:v>
                </c:pt>
                <c:pt idx="136">
                  <c:v>18.868498950000003</c:v>
                </c:pt>
                <c:pt idx="137">
                  <c:v>18.868498950000003</c:v>
                </c:pt>
                <c:pt idx="138">
                  <c:v>18.868498950000003</c:v>
                </c:pt>
                <c:pt idx="139">
                  <c:v>18.868498950000003</c:v>
                </c:pt>
                <c:pt idx="140">
                  <c:v>18.868498950000003</c:v>
                </c:pt>
                <c:pt idx="141">
                  <c:v>18.868498950000003</c:v>
                </c:pt>
                <c:pt idx="142">
                  <c:v>18.868498950000003</c:v>
                </c:pt>
                <c:pt idx="143">
                  <c:v>18.868498950000003</c:v>
                </c:pt>
                <c:pt idx="144">
                  <c:v>18.868498950000003</c:v>
                </c:pt>
                <c:pt idx="145">
                  <c:v>18.868498950000003</c:v>
                </c:pt>
                <c:pt idx="146">
                  <c:v>18.868498950000003</c:v>
                </c:pt>
                <c:pt idx="147">
                  <c:v>18.868498950000003</c:v>
                </c:pt>
                <c:pt idx="148">
                  <c:v>18.868498950000003</c:v>
                </c:pt>
                <c:pt idx="149">
                  <c:v>18.868498950000003</c:v>
                </c:pt>
                <c:pt idx="150">
                  <c:v>18.868498950000003</c:v>
                </c:pt>
                <c:pt idx="151">
                  <c:v>18.868498950000003</c:v>
                </c:pt>
                <c:pt idx="152">
                  <c:v>18.868498950000003</c:v>
                </c:pt>
                <c:pt idx="153">
                  <c:v>18.868498950000003</c:v>
                </c:pt>
                <c:pt idx="154">
                  <c:v>18.868498950000003</c:v>
                </c:pt>
                <c:pt idx="155">
                  <c:v>18.868498950000003</c:v>
                </c:pt>
                <c:pt idx="156">
                  <c:v>18.868498950000003</c:v>
                </c:pt>
                <c:pt idx="157">
                  <c:v>18.868498950000003</c:v>
                </c:pt>
                <c:pt idx="158">
                  <c:v>18.868498950000003</c:v>
                </c:pt>
                <c:pt idx="159">
                  <c:v>18.868498950000003</c:v>
                </c:pt>
                <c:pt idx="160">
                  <c:v>18.868498950000003</c:v>
                </c:pt>
                <c:pt idx="161">
                  <c:v>18.868498950000003</c:v>
                </c:pt>
                <c:pt idx="162">
                  <c:v>18.868498950000003</c:v>
                </c:pt>
                <c:pt idx="163">
                  <c:v>18.868498950000003</c:v>
                </c:pt>
                <c:pt idx="164">
                  <c:v>18.868498950000003</c:v>
                </c:pt>
                <c:pt idx="165">
                  <c:v>18.868498950000003</c:v>
                </c:pt>
                <c:pt idx="166">
                  <c:v>18.868498950000003</c:v>
                </c:pt>
                <c:pt idx="167">
                  <c:v>18.868498950000003</c:v>
                </c:pt>
                <c:pt idx="168">
                  <c:v>18.868498950000003</c:v>
                </c:pt>
                <c:pt idx="169">
                  <c:v>18.868498950000003</c:v>
                </c:pt>
                <c:pt idx="170">
                  <c:v>18.868498950000003</c:v>
                </c:pt>
                <c:pt idx="171">
                  <c:v>18.868498950000003</c:v>
                </c:pt>
                <c:pt idx="172">
                  <c:v>18.868498950000003</c:v>
                </c:pt>
                <c:pt idx="173">
                  <c:v>18.868498950000003</c:v>
                </c:pt>
                <c:pt idx="174">
                  <c:v>18.868498950000003</c:v>
                </c:pt>
                <c:pt idx="175">
                  <c:v>18.868498950000003</c:v>
                </c:pt>
                <c:pt idx="176">
                  <c:v>18.868498950000003</c:v>
                </c:pt>
                <c:pt idx="177">
                  <c:v>18.868498950000003</c:v>
                </c:pt>
                <c:pt idx="178">
                  <c:v>18.868498950000003</c:v>
                </c:pt>
                <c:pt idx="179">
                  <c:v>18.868498950000003</c:v>
                </c:pt>
                <c:pt idx="180">
                  <c:v>18.868498950000003</c:v>
                </c:pt>
                <c:pt idx="181">
                  <c:v>18.868498950000003</c:v>
                </c:pt>
                <c:pt idx="182">
                  <c:v>18.868498950000003</c:v>
                </c:pt>
                <c:pt idx="183">
                  <c:v>18.868498950000003</c:v>
                </c:pt>
                <c:pt idx="184">
                  <c:v>18.868498950000003</c:v>
                </c:pt>
                <c:pt idx="185">
                  <c:v>18.868498950000003</c:v>
                </c:pt>
                <c:pt idx="186">
                  <c:v>18.868498950000003</c:v>
                </c:pt>
                <c:pt idx="187">
                  <c:v>18.868498950000003</c:v>
                </c:pt>
                <c:pt idx="188">
                  <c:v>18.868498950000003</c:v>
                </c:pt>
                <c:pt idx="189">
                  <c:v>18.868498950000003</c:v>
                </c:pt>
                <c:pt idx="190">
                  <c:v>18.868498950000003</c:v>
                </c:pt>
                <c:pt idx="191">
                  <c:v>18.868498950000003</c:v>
                </c:pt>
                <c:pt idx="192">
                  <c:v>18.868498950000003</c:v>
                </c:pt>
                <c:pt idx="193">
                  <c:v>18.868498950000003</c:v>
                </c:pt>
                <c:pt idx="194">
                  <c:v>18.868498950000003</c:v>
                </c:pt>
                <c:pt idx="195">
                  <c:v>18.868498950000003</c:v>
                </c:pt>
                <c:pt idx="196">
                  <c:v>18.868498950000003</c:v>
                </c:pt>
                <c:pt idx="197">
                  <c:v>18.868498950000003</c:v>
                </c:pt>
                <c:pt idx="198">
                  <c:v>18.868498950000003</c:v>
                </c:pt>
                <c:pt idx="199">
                  <c:v>18.868498950000003</c:v>
                </c:pt>
                <c:pt idx="200">
                  <c:v>18.868498950000003</c:v>
                </c:pt>
                <c:pt idx="201">
                  <c:v>18.868498950000003</c:v>
                </c:pt>
                <c:pt idx="202">
                  <c:v>18.868498950000003</c:v>
                </c:pt>
                <c:pt idx="203">
                  <c:v>18.868498950000003</c:v>
                </c:pt>
                <c:pt idx="204">
                  <c:v>18.868498950000003</c:v>
                </c:pt>
                <c:pt idx="205">
                  <c:v>18.868498950000003</c:v>
                </c:pt>
                <c:pt idx="206">
                  <c:v>18.868498950000003</c:v>
                </c:pt>
                <c:pt idx="207">
                  <c:v>19.813501049999999</c:v>
                </c:pt>
                <c:pt idx="208">
                  <c:v>19.813501049999999</c:v>
                </c:pt>
                <c:pt idx="209">
                  <c:v>19.813501049999999</c:v>
                </c:pt>
                <c:pt idx="210">
                  <c:v>19.813501049999999</c:v>
                </c:pt>
                <c:pt idx="211">
                  <c:v>21.031501049999999</c:v>
                </c:pt>
                <c:pt idx="212">
                  <c:v>21.031501049999999</c:v>
                </c:pt>
                <c:pt idx="213">
                  <c:v>21.031501049999999</c:v>
                </c:pt>
                <c:pt idx="214">
                  <c:v>21.031501049999999</c:v>
                </c:pt>
                <c:pt idx="215">
                  <c:v>22.007998950000001</c:v>
                </c:pt>
                <c:pt idx="216">
                  <c:v>22.007998950000001</c:v>
                </c:pt>
                <c:pt idx="217">
                  <c:v>22.007998950000001</c:v>
                </c:pt>
                <c:pt idx="218">
                  <c:v>22.007998950000001</c:v>
                </c:pt>
                <c:pt idx="219">
                  <c:v>22.007998950000001</c:v>
                </c:pt>
                <c:pt idx="220">
                  <c:v>22.007998950000001</c:v>
                </c:pt>
                <c:pt idx="221">
                  <c:v>22.007998950000001</c:v>
                </c:pt>
                <c:pt idx="222">
                  <c:v>22.007998950000001</c:v>
                </c:pt>
                <c:pt idx="223">
                  <c:v>22.007998950000001</c:v>
                </c:pt>
                <c:pt idx="224">
                  <c:v>22.007998950000001</c:v>
                </c:pt>
                <c:pt idx="225">
                  <c:v>22.007998950000001</c:v>
                </c:pt>
                <c:pt idx="226">
                  <c:v>22.007998950000001</c:v>
                </c:pt>
                <c:pt idx="227">
                  <c:v>22.007998950000001</c:v>
                </c:pt>
                <c:pt idx="228">
                  <c:v>22.007998950000001</c:v>
                </c:pt>
                <c:pt idx="229">
                  <c:v>22.007998950000001</c:v>
                </c:pt>
                <c:pt idx="230">
                  <c:v>22.007998950000001</c:v>
                </c:pt>
                <c:pt idx="231">
                  <c:v>22.007998950000001</c:v>
                </c:pt>
                <c:pt idx="232">
                  <c:v>22.007998950000001</c:v>
                </c:pt>
                <c:pt idx="233">
                  <c:v>22.007998950000001</c:v>
                </c:pt>
                <c:pt idx="234">
                  <c:v>22.007998950000001</c:v>
                </c:pt>
                <c:pt idx="235">
                  <c:v>22.007998950000001</c:v>
                </c:pt>
                <c:pt idx="236">
                  <c:v>22.007998950000001</c:v>
                </c:pt>
                <c:pt idx="237">
                  <c:v>22.007998950000001</c:v>
                </c:pt>
                <c:pt idx="238">
                  <c:v>22.007998950000001</c:v>
                </c:pt>
                <c:pt idx="239">
                  <c:v>22.007998950000001</c:v>
                </c:pt>
                <c:pt idx="240">
                  <c:v>22.007998950000001</c:v>
                </c:pt>
                <c:pt idx="241">
                  <c:v>22.007998950000001</c:v>
                </c:pt>
                <c:pt idx="242">
                  <c:v>22.007998950000001</c:v>
                </c:pt>
                <c:pt idx="243">
                  <c:v>22.007998950000001</c:v>
                </c:pt>
                <c:pt idx="244">
                  <c:v>22.007998950000001</c:v>
                </c:pt>
                <c:pt idx="245">
                  <c:v>22.007998950000001</c:v>
                </c:pt>
                <c:pt idx="246">
                  <c:v>22.007998950000001</c:v>
                </c:pt>
                <c:pt idx="247">
                  <c:v>22.007998950000001</c:v>
                </c:pt>
                <c:pt idx="248">
                  <c:v>22.007998950000001</c:v>
                </c:pt>
                <c:pt idx="249">
                  <c:v>22.007998950000001</c:v>
                </c:pt>
                <c:pt idx="250">
                  <c:v>22.007998950000001</c:v>
                </c:pt>
                <c:pt idx="251">
                  <c:v>22.007998950000001</c:v>
                </c:pt>
                <c:pt idx="252">
                  <c:v>22.007998950000001</c:v>
                </c:pt>
                <c:pt idx="253">
                  <c:v>22.007998950000001</c:v>
                </c:pt>
                <c:pt idx="254">
                  <c:v>22.007998950000001</c:v>
                </c:pt>
                <c:pt idx="255">
                  <c:v>22.007998950000001</c:v>
                </c:pt>
                <c:pt idx="256">
                  <c:v>22.007998950000001</c:v>
                </c:pt>
                <c:pt idx="257">
                  <c:v>22.007998950000001</c:v>
                </c:pt>
                <c:pt idx="258">
                  <c:v>22.007998950000001</c:v>
                </c:pt>
                <c:pt idx="259">
                  <c:v>22.007998950000001</c:v>
                </c:pt>
                <c:pt idx="260">
                  <c:v>22.007998950000001</c:v>
                </c:pt>
                <c:pt idx="261">
                  <c:v>22.007998950000001</c:v>
                </c:pt>
                <c:pt idx="262">
                  <c:v>22.007998950000001</c:v>
                </c:pt>
                <c:pt idx="263">
                  <c:v>22.007998950000001</c:v>
                </c:pt>
                <c:pt idx="264">
                  <c:v>22.007998950000001</c:v>
                </c:pt>
                <c:pt idx="265">
                  <c:v>22.007998950000001</c:v>
                </c:pt>
                <c:pt idx="266">
                  <c:v>22.007998950000001</c:v>
                </c:pt>
                <c:pt idx="267">
                  <c:v>22.007998950000001</c:v>
                </c:pt>
                <c:pt idx="268">
                  <c:v>22.007998950000001</c:v>
                </c:pt>
                <c:pt idx="269">
                  <c:v>22.007998950000001</c:v>
                </c:pt>
                <c:pt idx="270">
                  <c:v>22.007998950000001</c:v>
                </c:pt>
                <c:pt idx="271">
                  <c:v>22.007998950000001</c:v>
                </c:pt>
                <c:pt idx="272">
                  <c:v>22.007998950000001</c:v>
                </c:pt>
                <c:pt idx="273">
                  <c:v>22.007998950000001</c:v>
                </c:pt>
                <c:pt idx="274">
                  <c:v>22.007998950000001</c:v>
                </c:pt>
                <c:pt idx="275">
                  <c:v>22.007998950000001</c:v>
                </c:pt>
                <c:pt idx="276">
                  <c:v>22.007998950000001</c:v>
                </c:pt>
                <c:pt idx="277">
                  <c:v>22.007998950000001</c:v>
                </c:pt>
                <c:pt idx="278">
                  <c:v>22.007998950000001</c:v>
                </c:pt>
                <c:pt idx="279">
                  <c:v>22.007998950000001</c:v>
                </c:pt>
                <c:pt idx="280">
                  <c:v>22.007998950000001</c:v>
                </c:pt>
                <c:pt idx="281">
                  <c:v>22.007998950000001</c:v>
                </c:pt>
                <c:pt idx="282">
                  <c:v>22.007998950000001</c:v>
                </c:pt>
                <c:pt idx="283">
                  <c:v>22.007998950000001</c:v>
                </c:pt>
                <c:pt idx="284">
                  <c:v>22.007998950000001</c:v>
                </c:pt>
                <c:pt idx="285">
                  <c:v>22.007998950000001</c:v>
                </c:pt>
                <c:pt idx="286">
                  <c:v>22.007998950000001</c:v>
                </c:pt>
                <c:pt idx="287">
                  <c:v>22.007998950000001</c:v>
                </c:pt>
                <c:pt idx="288">
                  <c:v>22.007998950000001</c:v>
                </c:pt>
                <c:pt idx="289">
                  <c:v>22.007998950000001</c:v>
                </c:pt>
                <c:pt idx="290">
                  <c:v>22.007998950000001</c:v>
                </c:pt>
                <c:pt idx="291">
                  <c:v>22.007998950000001</c:v>
                </c:pt>
                <c:pt idx="292">
                  <c:v>22.007998950000001</c:v>
                </c:pt>
                <c:pt idx="293">
                  <c:v>22.007998950000001</c:v>
                </c:pt>
                <c:pt idx="294">
                  <c:v>22.007998950000001</c:v>
                </c:pt>
                <c:pt idx="295">
                  <c:v>22.007998950000001</c:v>
                </c:pt>
                <c:pt idx="296">
                  <c:v>22.007998950000001</c:v>
                </c:pt>
                <c:pt idx="297">
                  <c:v>22.007998950000001</c:v>
                </c:pt>
                <c:pt idx="298">
                  <c:v>22.007998950000001</c:v>
                </c:pt>
                <c:pt idx="299">
                  <c:v>22.007998950000001</c:v>
                </c:pt>
                <c:pt idx="300">
                  <c:v>22.007998950000001</c:v>
                </c:pt>
                <c:pt idx="301">
                  <c:v>22.007998950000001</c:v>
                </c:pt>
                <c:pt idx="302">
                  <c:v>22.007998950000001</c:v>
                </c:pt>
                <c:pt idx="303">
                  <c:v>22.007998950000001</c:v>
                </c:pt>
                <c:pt idx="304">
                  <c:v>22.007998950000001</c:v>
                </c:pt>
                <c:pt idx="305">
                  <c:v>22.007998950000001</c:v>
                </c:pt>
                <c:pt idx="306">
                  <c:v>22.007998950000001</c:v>
                </c:pt>
                <c:pt idx="307">
                  <c:v>22.007998950000001</c:v>
                </c:pt>
                <c:pt idx="308">
                  <c:v>22.007998950000001</c:v>
                </c:pt>
                <c:pt idx="309">
                  <c:v>22.007998950000001</c:v>
                </c:pt>
                <c:pt idx="310">
                  <c:v>22.007998950000001</c:v>
                </c:pt>
                <c:pt idx="311">
                  <c:v>22.007998950000001</c:v>
                </c:pt>
                <c:pt idx="312">
                  <c:v>22.007998950000001</c:v>
                </c:pt>
                <c:pt idx="313">
                  <c:v>22.007998950000001</c:v>
                </c:pt>
                <c:pt idx="314">
                  <c:v>22.007998950000001</c:v>
                </c:pt>
                <c:pt idx="315">
                  <c:v>22.007998950000001</c:v>
                </c:pt>
                <c:pt idx="316">
                  <c:v>22.007998950000001</c:v>
                </c:pt>
                <c:pt idx="317">
                  <c:v>22.007998950000001</c:v>
                </c:pt>
                <c:pt idx="318">
                  <c:v>22.007998950000001</c:v>
                </c:pt>
                <c:pt idx="319">
                  <c:v>22.007998950000001</c:v>
                </c:pt>
                <c:pt idx="320">
                  <c:v>22.007998950000001</c:v>
                </c:pt>
                <c:pt idx="321">
                  <c:v>22.007998950000001</c:v>
                </c:pt>
                <c:pt idx="322">
                  <c:v>22.007998950000001</c:v>
                </c:pt>
                <c:pt idx="323">
                  <c:v>22.007998950000001</c:v>
                </c:pt>
                <c:pt idx="324">
                  <c:v>22.007998950000001</c:v>
                </c:pt>
                <c:pt idx="325">
                  <c:v>22.007998950000001</c:v>
                </c:pt>
                <c:pt idx="326">
                  <c:v>22.007998950000001</c:v>
                </c:pt>
                <c:pt idx="327">
                  <c:v>22.007998950000001</c:v>
                </c:pt>
                <c:pt idx="328">
                  <c:v>22.007998950000001</c:v>
                </c:pt>
                <c:pt idx="329">
                  <c:v>22.007998950000001</c:v>
                </c:pt>
                <c:pt idx="330">
                  <c:v>23.110500000000002</c:v>
                </c:pt>
                <c:pt idx="331">
                  <c:v>23.110500000000002</c:v>
                </c:pt>
                <c:pt idx="332">
                  <c:v>23.110500000000002</c:v>
                </c:pt>
                <c:pt idx="333">
                  <c:v>23.110500000000002</c:v>
                </c:pt>
                <c:pt idx="334">
                  <c:v>23.110500000000002</c:v>
                </c:pt>
                <c:pt idx="335">
                  <c:v>23.110500000000002</c:v>
                </c:pt>
                <c:pt idx="336">
                  <c:v>23.110500000000002</c:v>
                </c:pt>
                <c:pt idx="337">
                  <c:v>23.110500000000002</c:v>
                </c:pt>
                <c:pt idx="338">
                  <c:v>23.110500000000002</c:v>
                </c:pt>
                <c:pt idx="339">
                  <c:v>23.110500000000002</c:v>
                </c:pt>
                <c:pt idx="340">
                  <c:v>23.110500000000002</c:v>
                </c:pt>
                <c:pt idx="341">
                  <c:v>23.110500000000002</c:v>
                </c:pt>
                <c:pt idx="342">
                  <c:v>23.110500000000002</c:v>
                </c:pt>
                <c:pt idx="343">
                  <c:v>23.110500000000002</c:v>
                </c:pt>
                <c:pt idx="344">
                  <c:v>23.110500000000002</c:v>
                </c:pt>
                <c:pt idx="345">
                  <c:v>23.110500000000002</c:v>
                </c:pt>
                <c:pt idx="346">
                  <c:v>23.110500000000002</c:v>
                </c:pt>
                <c:pt idx="347">
                  <c:v>23.110500000000002</c:v>
                </c:pt>
                <c:pt idx="348">
                  <c:v>23.110500000000002</c:v>
                </c:pt>
                <c:pt idx="349">
                  <c:v>23.110500000000002</c:v>
                </c:pt>
                <c:pt idx="350">
                  <c:v>23.110500000000002</c:v>
                </c:pt>
                <c:pt idx="351">
                  <c:v>24.6645</c:v>
                </c:pt>
                <c:pt idx="352">
                  <c:v>24.6645</c:v>
                </c:pt>
                <c:pt idx="353">
                  <c:v>24.6645</c:v>
                </c:pt>
                <c:pt idx="354">
                  <c:v>24.6645</c:v>
                </c:pt>
                <c:pt idx="355">
                  <c:v>24.6645</c:v>
                </c:pt>
                <c:pt idx="356">
                  <c:v>26.312998950000001</c:v>
                </c:pt>
                <c:pt idx="357">
                  <c:v>26.312998950000001</c:v>
                </c:pt>
                <c:pt idx="358">
                  <c:v>26.312998950000001</c:v>
                </c:pt>
                <c:pt idx="359">
                  <c:v>26.312998950000001</c:v>
                </c:pt>
                <c:pt idx="360">
                  <c:v>26.312998950000001</c:v>
                </c:pt>
                <c:pt idx="361">
                  <c:v>26.312998950000001</c:v>
                </c:pt>
                <c:pt idx="362">
                  <c:v>26.312998950000001</c:v>
                </c:pt>
                <c:pt idx="363">
                  <c:v>26.312998950000001</c:v>
                </c:pt>
                <c:pt idx="364">
                  <c:v>26.312998950000001</c:v>
                </c:pt>
                <c:pt idx="365">
                  <c:v>26.312998950000001</c:v>
                </c:pt>
                <c:pt idx="366">
                  <c:v>26.312998950000001</c:v>
                </c:pt>
                <c:pt idx="367">
                  <c:v>26.312998950000001</c:v>
                </c:pt>
                <c:pt idx="368">
                  <c:v>26.312998950000001</c:v>
                </c:pt>
                <c:pt idx="369">
                  <c:v>26.312998950000001</c:v>
                </c:pt>
                <c:pt idx="370">
                  <c:v>26.312998950000001</c:v>
                </c:pt>
                <c:pt idx="371">
                  <c:v>26.312998950000001</c:v>
                </c:pt>
                <c:pt idx="372">
                  <c:v>26.312998950000001</c:v>
                </c:pt>
                <c:pt idx="373">
                  <c:v>26.312998950000001</c:v>
                </c:pt>
                <c:pt idx="374">
                  <c:v>26.312998950000001</c:v>
                </c:pt>
                <c:pt idx="375">
                  <c:v>26.312998950000001</c:v>
                </c:pt>
                <c:pt idx="376">
                  <c:v>26.312998950000001</c:v>
                </c:pt>
                <c:pt idx="377">
                  <c:v>26.312998950000001</c:v>
                </c:pt>
                <c:pt idx="378">
                  <c:v>26.312998950000001</c:v>
                </c:pt>
                <c:pt idx="379">
                  <c:v>26.312998950000001</c:v>
                </c:pt>
                <c:pt idx="380">
                  <c:v>26.312998950000001</c:v>
                </c:pt>
                <c:pt idx="381">
                  <c:v>26.312998950000001</c:v>
                </c:pt>
                <c:pt idx="382">
                  <c:v>26.312998950000001</c:v>
                </c:pt>
                <c:pt idx="383">
                  <c:v>26.312998950000001</c:v>
                </c:pt>
                <c:pt idx="384">
                  <c:v>26.312998950000001</c:v>
                </c:pt>
                <c:pt idx="385">
                  <c:v>26.312998950000001</c:v>
                </c:pt>
                <c:pt idx="386">
                  <c:v>26.312998950000001</c:v>
                </c:pt>
                <c:pt idx="387">
                  <c:v>26.312998950000001</c:v>
                </c:pt>
                <c:pt idx="388">
                  <c:v>26.312998950000001</c:v>
                </c:pt>
                <c:pt idx="389">
                  <c:v>26.312998950000001</c:v>
                </c:pt>
                <c:pt idx="390">
                  <c:v>26.312998950000001</c:v>
                </c:pt>
                <c:pt idx="391">
                  <c:v>26.312998950000001</c:v>
                </c:pt>
                <c:pt idx="392">
                  <c:v>26.312998950000001</c:v>
                </c:pt>
                <c:pt idx="393">
                  <c:v>26.312998950000001</c:v>
                </c:pt>
                <c:pt idx="394">
                  <c:v>26.312998950000001</c:v>
                </c:pt>
                <c:pt idx="395">
                  <c:v>26.312998950000001</c:v>
                </c:pt>
                <c:pt idx="396">
                  <c:v>26.312998950000001</c:v>
                </c:pt>
                <c:pt idx="397">
                  <c:v>26.312998950000001</c:v>
                </c:pt>
                <c:pt idx="398">
                  <c:v>26.312998950000001</c:v>
                </c:pt>
                <c:pt idx="399">
                  <c:v>26.312998950000001</c:v>
                </c:pt>
                <c:pt idx="400">
                  <c:v>26.312998950000001</c:v>
                </c:pt>
                <c:pt idx="401">
                  <c:v>26.312998950000001</c:v>
                </c:pt>
                <c:pt idx="402">
                  <c:v>26.312998950000001</c:v>
                </c:pt>
                <c:pt idx="403">
                  <c:v>26.312998950000001</c:v>
                </c:pt>
                <c:pt idx="404">
                  <c:v>26.312998950000001</c:v>
                </c:pt>
                <c:pt idx="405">
                  <c:v>26.312998950000001</c:v>
                </c:pt>
                <c:pt idx="406">
                  <c:v>27.698998950000004</c:v>
                </c:pt>
                <c:pt idx="407">
                  <c:v>27.698998950000004</c:v>
                </c:pt>
                <c:pt idx="408">
                  <c:v>27.698998950000004</c:v>
                </c:pt>
                <c:pt idx="409">
                  <c:v>27.698998950000004</c:v>
                </c:pt>
                <c:pt idx="410">
                  <c:v>27.698998950000004</c:v>
                </c:pt>
                <c:pt idx="411">
                  <c:v>27.698998950000004</c:v>
                </c:pt>
                <c:pt idx="412">
                  <c:v>27.698998950000004</c:v>
                </c:pt>
                <c:pt idx="413">
                  <c:v>27.698998950000004</c:v>
                </c:pt>
                <c:pt idx="414">
                  <c:v>27.698998950000004</c:v>
                </c:pt>
                <c:pt idx="415">
                  <c:v>27.698998950000004</c:v>
                </c:pt>
                <c:pt idx="416">
                  <c:v>27.698998950000004</c:v>
                </c:pt>
                <c:pt idx="417">
                  <c:v>27.698998950000004</c:v>
                </c:pt>
                <c:pt idx="418">
                  <c:v>27.698998950000004</c:v>
                </c:pt>
                <c:pt idx="419">
                  <c:v>27.698998950000004</c:v>
                </c:pt>
                <c:pt idx="420">
                  <c:v>27.698998950000004</c:v>
                </c:pt>
                <c:pt idx="421">
                  <c:v>27.698998950000004</c:v>
                </c:pt>
                <c:pt idx="422">
                  <c:v>27.698998950000004</c:v>
                </c:pt>
                <c:pt idx="423">
                  <c:v>27.698998950000004</c:v>
                </c:pt>
                <c:pt idx="424">
                  <c:v>27.698998950000004</c:v>
                </c:pt>
                <c:pt idx="425">
                  <c:v>27.698998950000004</c:v>
                </c:pt>
                <c:pt idx="426">
                  <c:v>27.698998950000004</c:v>
                </c:pt>
                <c:pt idx="427">
                  <c:v>27.698998950000004</c:v>
                </c:pt>
                <c:pt idx="428">
                  <c:v>27.698998950000004</c:v>
                </c:pt>
                <c:pt idx="429">
                  <c:v>27.698998950000004</c:v>
                </c:pt>
                <c:pt idx="430">
                  <c:v>27.698998950000004</c:v>
                </c:pt>
                <c:pt idx="431">
                  <c:v>27.698998950000004</c:v>
                </c:pt>
                <c:pt idx="432">
                  <c:v>27.698998950000004</c:v>
                </c:pt>
                <c:pt idx="433">
                  <c:v>27.698998950000004</c:v>
                </c:pt>
                <c:pt idx="434">
                  <c:v>27.698998950000004</c:v>
                </c:pt>
                <c:pt idx="435">
                  <c:v>27.698998950000004</c:v>
                </c:pt>
                <c:pt idx="436">
                  <c:v>27.698998950000004</c:v>
                </c:pt>
                <c:pt idx="437">
                  <c:v>27.698998950000004</c:v>
                </c:pt>
                <c:pt idx="438">
                  <c:v>27.698998950000004</c:v>
                </c:pt>
                <c:pt idx="439">
                  <c:v>27.698998950000004</c:v>
                </c:pt>
                <c:pt idx="440">
                  <c:v>27.698998950000004</c:v>
                </c:pt>
                <c:pt idx="441">
                  <c:v>27.698998950000004</c:v>
                </c:pt>
                <c:pt idx="442">
                  <c:v>27.698998950000004</c:v>
                </c:pt>
                <c:pt idx="443">
                  <c:v>27.698998950000004</c:v>
                </c:pt>
                <c:pt idx="444">
                  <c:v>27.698998950000004</c:v>
                </c:pt>
                <c:pt idx="445">
                  <c:v>27.698998950000004</c:v>
                </c:pt>
                <c:pt idx="446">
                  <c:v>27.698998950000004</c:v>
                </c:pt>
                <c:pt idx="447">
                  <c:v>27.698998950000004</c:v>
                </c:pt>
                <c:pt idx="448">
                  <c:v>27.698998950000004</c:v>
                </c:pt>
                <c:pt idx="449">
                  <c:v>27.698998950000004</c:v>
                </c:pt>
                <c:pt idx="450">
                  <c:v>27.698998950000004</c:v>
                </c:pt>
                <c:pt idx="451">
                  <c:v>27.698998950000004</c:v>
                </c:pt>
                <c:pt idx="452">
                  <c:v>27.698998950000004</c:v>
                </c:pt>
                <c:pt idx="453">
                  <c:v>27.698998950000004</c:v>
                </c:pt>
                <c:pt idx="454">
                  <c:v>27.698998950000004</c:v>
                </c:pt>
                <c:pt idx="455">
                  <c:v>27.698998950000004</c:v>
                </c:pt>
                <c:pt idx="456">
                  <c:v>27.698998950000004</c:v>
                </c:pt>
                <c:pt idx="457">
                  <c:v>27.698998950000004</c:v>
                </c:pt>
                <c:pt idx="458">
                  <c:v>27.698998950000004</c:v>
                </c:pt>
                <c:pt idx="459">
                  <c:v>27.698998950000004</c:v>
                </c:pt>
                <c:pt idx="460">
                  <c:v>27.698998950000004</c:v>
                </c:pt>
                <c:pt idx="461">
                  <c:v>27.698998950000004</c:v>
                </c:pt>
                <c:pt idx="462">
                  <c:v>27.698998950000004</c:v>
                </c:pt>
                <c:pt idx="463">
                  <c:v>27.698998950000004</c:v>
                </c:pt>
                <c:pt idx="464">
                  <c:v>27.698998950000004</c:v>
                </c:pt>
                <c:pt idx="465">
                  <c:v>27.698998950000004</c:v>
                </c:pt>
                <c:pt idx="466">
                  <c:v>27.698998950000004</c:v>
                </c:pt>
                <c:pt idx="467">
                  <c:v>27.698998950000004</c:v>
                </c:pt>
                <c:pt idx="468">
                  <c:v>27.698998950000004</c:v>
                </c:pt>
                <c:pt idx="469">
                  <c:v>27.698998950000004</c:v>
                </c:pt>
                <c:pt idx="470">
                  <c:v>27.698998950000004</c:v>
                </c:pt>
                <c:pt idx="471">
                  <c:v>27.698998950000004</c:v>
                </c:pt>
                <c:pt idx="472">
                  <c:v>27.698998950000004</c:v>
                </c:pt>
                <c:pt idx="473">
                  <c:v>27.698998950000004</c:v>
                </c:pt>
                <c:pt idx="474">
                  <c:v>27.698998950000004</c:v>
                </c:pt>
                <c:pt idx="475">
                  <c:v>27.698998950000004</c:v>
                </c:pt>
                <c:pt idx="476">
                  <c:v>27.698998950000004</c:v>
                </c:pt>
                <c:pt idx="477">
                  <c:v>27.698998950000004</c:v>
                </c:pt>
                <c:pt idx="478">
                  <c:v>27.698998950000004</c:v>
                </c:pt>
                <c:pt idx="479">
                  <c:v>27.698998950000004</c:v>
                </c:pt>
                <c:pt idx="480">
                  <c:v>27.698998950000004</c:v>
                </c:pt>
                <c:pt idx="481">
                  <c:v>27.698998950000004</c:v>
                </c:pt>
                <c:pt idx="482">
                  <c:v>27.698998950000004</c:v>
                </c:pt>
                <c:pt idx="483">
                  <c:v>27.698998950000004</c:v>
                </c:pt>
                <c:pt idx="484">
                  <c:v>27.698998950000004</c:v>
                </c:pt>
                <c:pt idx="485">
                  <c:v>27.698998950000004</c:v>
                </c:pt>
                <c:pt idx="486">
                  <c:v>27.698998950000004</c:v>
                </c:pt>
                <c:pt idx="487">
                  <c:v>27.698998950000004</c:v>
                </c:pt>
                <c:pt idx="488">
                  <c:v>27.698998950000004</c:v>
                </c:pt>
                <c:pt idx="489">
                  <c:v>27.698998950000004</c:v>
                </c:pt>
                <c:pt idx="490">
                  <c:v>27.698998950000004</c:v>
                </c:pt>
                <c:pt idx="491">
                  <c:v>27.698998950000004</c:v>
                </c:pt>
                <c:pt idx="492">
                  <c:v>27.698998950000004</c:v>
                </c:pt>
                <c:pt idx="493">
                  <c:v>27.698998950000004</c:v>
                </c:pt>
                <c:pt idx="494">
                  <c:v>27.698998950000004</c:v>
                </c:pt>
                <c:pt idx="495">
                  <c:v>27.698998950000004</c:v>
                </c:pt>
                <c:pt idx="496">
                  <c:v>27.698998950000004</c:v>
                </c:pt>
                <c:pt idx="497">
                  <c:v>27.698998950000004</c:v>
                </c:pt>
                <c:pt idx="498">
                  <c:v>27.698998950000004</c:v>
                </c:pt>
                <c:pt idx="499">
                  <c:v>27.698998950000004</c:v>
                </c:pt>
                <c:pt idx="500">
                  <c:v>27.698998950000004</c:v>
                </c:pt>
                <c:pt idx="501">
                  <c:v>27.698998950000004</c:v>
                </c:pt>
                <c:pt idx="502">
                  <c:v>27.698998950000004</c:v>
                </c:pt>
                <c:pt idx="503">
                  <c:v>27.698998950000004</c:v>
                </c:pt>
                <c:pt idx="504">
                  <c:v>27.698998950000004</c:v>
                </c:pt>
                <c:pt idx="505">
                  <c:v>27.698998950000004</c:v>
                </c:pt>
                <c:pt idx="506">
                  <c:v>27.698998950000004</c:v>
                </c:pt>
                <c:pt idx="507">
                  <c:v>27.698998950000004</c:v>
                </c:pt>
                <c:pt idx="508">
                  <c:v>27.698998950000004</c:v>
                </c:pt>
                <c:pt idx="509">
                  <c:v>27.698998950000004</c:v>
                </c:pt>
                <c:pt idx="510">
                  <c:v>27.698998950000004</c:v>
                </c:pt>
                <c:pt idx="511">
                  <c:v>27.698998950000004</c:v>
                </c:pt>
                <c:pt idx="512">
                  <c:v>27.698998950000004</c:v>
                </c:pt>
                <c:pt idx="513">
                  <c:v>27.698998950000004</c:v>
                </c:pt>
                <c:pt idx="514">
                  <c:v>27.698998950000004</c:v>
                </c:pt>
                <c:pt idx="515">
                  <c:v>27.698998950000004</c:v>
                </c:pt>
                <c:pt idx="516">
                  <c:v>27.698998950000004</c:v>
                </c:pt>
                <c:pt idx="517">
                  <c:v>27.698998950000004</c:v>
                </c:pt>
                <c:pt idx="518">
                  <c:v>27.698998950000004</c:v>
                </c:pt>
                <c:pt idx="519">
                  <c:v>27.698998950000004</c:v>
                </c:pt>
                <c:pt idx="520">
                  <c:v>27.698998950000004</c:v>
                </c:pt>
                <c:pt idx="521">
                  <c:v>27.698998950000004</c:v>
                </c:pt>
                <c:pt idx="522">
                  <c:v>27.698998950000004</c:v>
                </c:pt>
                <c:pt idx="523">
                  <c:v>27.698998950000004</c:v>
                </c:pt>
                <c:pt idx="524">
                  <c:v>27.698998950000004</c:v>
                </c:pt>
                <c:pt idx="525">
                  <c:v>27.698998950000004</c:v>
                </c:pt>
                <c:pt idx="526">
                  <c:v>27.698998950000004</c:v>
                </c:pt>
                <c:pt idx="527">
                  <c:v>27.698998950000004</c:v>
                </c:pt>
                <c:pt idx="528">
                  <c:v>27.698998950000004</c:v>
                </c:pt>
                <c:pt idx="529">
                  <c:v>27.698998950000004</c:v>
                </c:pt>
                <c:pt idx="530">
                  <c:v>27.698998950000004</c:v>
                </c:pt>
                <c:pt idx="531">
                  <c:v>27.698998950000004</c:v>
                </c:pt>
                <c:pt idx="532">
                  <c:v>27.698998950000004</c:v>
                </c:pt>
                <c:pt idx="533">
                  <c:v>27.698998950000004</c:v>
                </c:pt>
                <c:pt idx="534">
                  <c:v>27.698998950000004</c:v>
                </c:pt>
                <c:pt idx="535">
                  <c:v>27.698998950000004</c:v>
                </c:pt>
                <c:pt idx="536">
                  <c:v>27.698998950000004</c:v>
                </c:pt>
                <c:pt idx="537">
                  <c:v>27.698998950000004</c:v>
                </c:pt>
                <c:pt idx="538">
                  <c:v>27.698998950000004</c:v>
                </c:pt>
                <c:pt idx="539">
                  <c:v>27.698998950000004</c:v>
                </c:pt>
                <c:pt idx="540">
                  <c:v>27.698998950000004</c:v>
                </c:pt>
                <c:pt idx="541">
                  <c:v>27.698998950000004</c:v>
                </c:pt>
                <c:pt idx="542">
                  <c:v>27.698998950000004</c:v>
                </c:pt>
                <c:pt idx="543">
                  <c:v>27.698998950000004</c:v>
                </c:pt>
                <c:pt idx="544">
                  <c:v>27.698998950000004</c:v>
                </c:pt>
                <c:pt idx="545">
                  <c:v>27.698998950000004</c:v>
                </c:pt>
                <c:pt idx="546">
                  <c:v>27.698998950000004</c:v>
                </c:pt>
                <c:pt idx="547">
                  <c:v>27.698998950000004</c:v>
                </c:pt>
                <c:pt idx="548">
                  <c:v>27.698998950000004</c:v>
                </c:pt>
                <c:pt idx="549">
                  <c:v>27.698998950000004</c:v>
                </c:pt>
                <c:pt idx="550">
                  <c:v>27.698998950000004</c:v>
                </c:pt>
                <c:pt idx="551">
                  <c:v>27.698998950000004</c:v>
                </c:pt>
                <c:pt idx="552">
                  <c:v>27.698998950000004</c:v>
                </c:pt>
                <c:pt idx="553">
                  <c:v>27.698998950000004</c:v>
                </c:pt>
                <c:pt idx="554">
                  <c:v>27.698998950000004</c:v>
                </c:pt>
                <c:pt idx="555">
                  <c:v>27.698998950000004</c:v>
                </c:pt>
                <c:pt idx="556">
                  <c:v>27.698998950000004</c:v>
                </c:pt>
                <c:pt idx="557">
                  <c:v>27.698998950000004</c:v>
                </c:pt>
                <c:pt idx="558">
                  <c:v>27.698998950000004</c:v>
                </c:pt>
                <c:pt idx="559">
                  <c:v>27.698998950000004</c:v>
                </c:pt>
                <c:pt idx="560">
                  <c:v>27.698998950000004</c:v>
                </c:pt>
                <c:pt idx="561">
                  <c:v>27.698998950000004</c:v>
                </c:pt>
                <c:pt idx="562">
                  <c:v>27.698998950000004</c:v>
                </c:pt>
                <c:pt idx="563">
                  <c:v>27.698998950000004</c:v>
                </c:pt>
                <c:pt idx="564">
                  <c:v>27.698998950000004</c:v>
                </c:pt>
                <c:pt idx="565">
                  <c:v>27.698998950000004</c:v>
                </c:pt>
                <c:pt idx="566">
                  <c:v>27.698998950000004</c:v>
                </c:pt>
                <c:pt idx="567">
                  <c:v>27.698998950000004</c:v>
                </c:pt>
                <c:pt idx="568">
                  <c:v>27.698998950000004</c:v>
                </c:pt>
                <c:pt idx="569">
                  <c:v>27.698998950000004</c:v>
                </c:pt>
                <c:pt idx="570">
                  <c:v>27.698998950000004</c:v>
                </c:pt>
                <c:pt idx="571">
                  <c:v>27.698998950000004</c:v>
                </c:pt>
                <c:pt idx="572">
                  <c:v>27.698998950000004</c:v>
                </c:pt>
                <c:pt idx="573">
                  <c:v>27.698998950000004</c:v>
                </c:pt>
                <c:pt idx="574">
                  <c:v>27.698998950000004</c:v>
                </c:pt>
                <c:pt idx="575">
                  <c:v>27.698998950000004</c:v>
                </c:pt>
                <c:pt idx="576">
                  <c:v>27.698998950000004</c:v>
                </c:pt>
                <c:pt idx="577">
                  <c:v>27.698998950000004</c:v>
                </c:pt>
                <c:pt idx="578">
                  <c:v>27.698998950000004</c:v>
                </c:pt>
                <c:pt idx="579">
                  <c:v>27.698998950000004</c:v>
                </c:pt>
                <c:pt idx="580">
                  <c:v>27.698998950000004</c:v>
                </c:pt>
                <c:pt idx="581">
                  <c:v>27.698998950000004</c:v>
                </c:pt>
                <c:pt idx="582">
                  <c:v>27.698998950000004</c:v>
                </c:pt>
                <c:pt idx="583">
                  <c:v>27.698998950000004</c:v>
                </c:pt>
                <c:pt idx="584">
                  <c:v>27.698998950000004</c:v>
                </c:pt>
                <c:pt idx="585">
                  <c:v>27.698998950000004</c:v>
                </c:pt>
                <c:pt idx="586">
                  <c:v>27.698998950000004</c:v>
                </c:pt>
                <c:pt idx="587">
                  <c:v>27.698998950000004</c:v>
                </c:pt>
                <c:pt idx="588">
                  <c:v>27.698998950000004</c:v>
                </c:pt>
                <c:pt idx="589">
                  <c:v>27.698998950000004</c:v>
                </c:pt>
                <c:pt idx="590">
                  <c:v>27.698998950000004</c:v>
                </c:pt>
                <c:pt idx="591">
                  <c:v>27.698998950000004</c:v>
                </c:pt>
                <c:pt idx="592">
                  <c:v>27.698998950000004</c:v>
                </c:pt>
                <c:pt idx="593">
                  <c:v>27.698998950000004</c:v>
                </c:pt>
                <c:pt idx="594">
                  <c:v>27.698998950000004</c:v>
                </c:pt>
                <c:pt idx="595">
                  <c:v>27.698998950000004</c:v>
                </c:pt>
                <c:pt idx="596">
                  <c:v>27.698998950000004</c:v>
                </c:pt>
                <c:pt idx="597">
                  <c:v>27.698998950000004</c:v>
                </c:pt>
                <c:pt idx="598">
                  <c:v>27.698998950000004</c:v>
                </c:pt>
                <c:pt idx="599">
                  <c:v>27.698998950000004</c:v>
                </c:pt>
                <c:pt idx="600">
                  <c:v>27.698998950000004</c:v>
                </c:pt>
                <c:pt idx="601">
                  <c:v>27.698998950000004</c:v>
                </c:pt>
                <c:pt idx="602">
                  <c:v>27.698998950000004</c:v>
                </c:pt>
                <c:pt idx="603">
                  <c:v>27.698998950000004</c:v>
                </c:pt>
                <c:pt idx="604">
                  <c:v>27.698998950000004</c:v>
                </c:pt>
                <c:pt idx="605">
                  <c:v>27.698998950000004</c:v>
                </c:pt>
                <c:pt idx="606">
                  <c:v>27.698998950000004</c:v>
                </c:pt>
                <c:pt idx="607">
                  <c:v>27.698998950000004</c:v>
                </c:pt>
                <c:pt idx="608">
                  <c:v>27.698998950000004</c:v>
                </c:pt>
                <c:pt idx="609">
                  <c:v>27.698998950000004</c:v>
                </c:pt>
                <c:pt idx="610">
                  <c:v>27.698998950000004</c:v>
                </c:pt>
                <c:pt idx="611">
                  <c:v>27.698998950000004</c:v>
                </c:pt>
                <c:pt idx="612">
                  <c:v>27.698998950000004</c:v>
                </c:pt>
                <c:pt idx="613">
                  <c:v>27.698998950000004</c:v>
                </c:pt>
                <c:pt idx="614">
                  <c:v>27.698998950000004</c:v>
                </c:pt>
                <c:pt idx="615">
                  <c:v>27.698998950000004</c:v>
                </c:pt>
                <c:pt idx="616">
                  <c:v>27.698998950000004</c:v>
                </c:pt>
                <c:pt idx="617">
                  <c:v>27.698998950000004</c:v>
                </c:pt>
                <c:pt idx="618">
                  <c:v>27.698998950000004</c:v>
                </c:pt>
                <c:pt idx="619">
                  <c:v>27.698998950000004</c:v>
                </c:pt>
                <c:pt idx="620">
                  <c:v>27.698998950000004</c:v>
                </c:pt>
                <c:pt idx="621">
                  <c:v>27.698998950000004</c:v>
                </c:pt>
                <c:pt idx="622">
                  <c:v>27.698998950000004</c:v>
                </c:pt>
                <c:pt idx="623">
                  <c:v>27.698998950000004</c:v>
                </c:pt>
                <c:pt idx="624">
                  <c:v>27.698998950000004</c:v>
                </c:pt>
                <c:pt idx="625">
                  <c:v>27.698998950000004</c:v>
                </c:pt>
                <c:pt idx="626">
                  <c:v>27.698998950000004</c:v>
                </c:pt>
                <c:pt idx="627">
                  <c:v>27.698998950000004</c:v>
                </c:pt>
                <c:pt idx="628">
                  <c:v>27.698998950000004</c:v>
                </c:pt>
                <c:pt idx="629">
                  <c:v>27.698998950000004</c:v>
                </c:pt>
                <c:pt idx="630">
                  <c:v>27.698998950000004</c:v>
                </c:pt>
                <c:pt idx="631">
                  <c:v>27.698998950000004</c:v>
                </c:pt>
                <c:pt idx="632">
                  <c:v>27.698998950000004</c:v>
                </c:pt>
                <c:pt idx="633">
                  <c:v>27.698998950000004</c:v>
                </c:pt>
                <c:pt idx="634">
                  <c:v>27.698998950000004</c:v>
                </c:pt>
                <c:pt idx="635">
                  <c:v>27.698998950000004</c:v>
                </c:pt>
                <c:pt idx="636">
                  <c:v>27.698998950000004</c:v>
                </c:pt>
                <c:pt idx="637">
                  <c:v>27.698998950000004</c:v>
                </c:pt>
                <c:pt idx="638">
                  <c:v>27.698998950000004</c:v>
                </c:pt>
                <c:pt idx="639">
                  <c:v>27.698998950000004</c:v>
                </c:pt>
                <c:pt idx="640">
                  <c:v>27.698998950000004</c:v>
                </c:pt>
                <c:pt idx="641">
                  <c:v>27.698998950000004</c:v>
                </c:pt>
                <c:pt idx="642">
                  <c:v>27.698998950000004</c:v>
                </c:pt>
                <c:pt idx="643">
                  <c:v>27.698998950000004</c:v>
                </c:pt>
                <c:pt idx="644">
                  <c:v>27.698998950000004</c:v>
                </c:pt>
                <c:pt idx="645">
                  <c:v>27.698998950000004</c:v>
                </c:pt>
                <c:pt idx="646">
                  <c:v>27.698998950000004</c:v>
                </c:pt>
                <c:pt idx="647">
                  <c:v>27.698998950000004</c:v>
                </c:pt>
                <c:pt idx="648">
                  <c:v>27.698998950000004</c:v>
                </c:pt>
                <c:pt idx="649">
                  <c:v>27.698998950000004</c:v>
                </c:pt>
                <c:pt idx="650">
                  <c:v>27.698998950000004</c:v>
                </c:pt>
                <c:pt idx="651">
                  <c:v>27.698998950000004</c:v>
                </c:pt>
                <c:pt idx="652">
                  <c:v>27.698998950000004</c:v>
                </c:pt>
                <c:pt idx="653">
                  <c:v>27.698998950000004</c:v>
                </c:pt>
                <c:pt idx="654">
                  <c:v>27.698998950000004</c:v>
                </c:pt>
                <c:pt idx="655">
                  <c:v>27.698998950000004</c:v>
                </c:pt>
                <c:pt idx="656">
                  <c:v>27.698998950000004</c:v>
                </c:pt>
                <c:pt idx="657">
                  <c:v>27.698998950000004</c:v>
                </c:pt>
                <c:pt idx="658">
                  <c:v>27.698998950000004</c:v>
                </c:pt>
                <c:pt idx="659">
                  <c:v>27.698998950000004</c:v>
                </c:pt>
                <c:pt idx="660">
                  <c:v>27.698998950000004</c:v>
                </c:pt>
                <c:pt idx="661">
                  <c:v>27.698998950000004</c:v>
                </c:pt>
                <c:pt idx="662">
                  <c:v>27.698998950000004</c:v>
                </c:pt>
                <c:pt idx="663">
                  <c:v>27.698998950000004</c:v>
                </c:pt>
                <c:pt idx="664">
                  <c:v>27.698998950000004</c:v>
                </c:pt>
                <c:pt idx="665">
                  <c:v>27.698998950000004</c:v>
                </c:pt>
                <c:pt idx="666">
                  <c:v>27.698998950000004</c:v>
                </c:pt>
                <c:pt idx="667">
                  <c:v>27.698998950000004</c:v>
                </c:pt>
                <c:pt idx="668">
                  <c:v>27.698998950000004</c:v>
                </c:pt>
                <c:pt idx="669">
                  <c:v>27.698998950000004</c:v>
                </c:pt>
                <c:pt idx="670">
                  <c:v>27.698998950000004</c:v>
                </c:pt>
                <c:pt idx="671">
                  <c:v>27.698998950000004</c:v>
                </c:pt>
                <c:pt idx="672">
                  <c:v>27.698998950000004</c:v>
                </c:pt>
                <c:pt idx="673">
                  <c:v>27.698998950000004</c:v>
                </c:pt>
                <c:pt idx="674">
                  <c:v>27.698998950000004</c:v>
                </c:pt>
                <c:pt idx="675">
                  <c:v>27.698998950000004</c:v>
                </c:pt>
                <c:pt idx="676">
                  <c:v>27.698998950000004</c:v>
                </c:pt>
                <c:pt idx="677">
                  <c:v>27.698998950000004</c:v>
                </c:pt>
                <c:pt idx="678">
                  <c:v>27.698998950000004</c:v>
                </c:pt>
                <c:pt idx="679">
                  <c:v>27.698998950000004</c:v>
                </c:pt>
                <c:pt idx="680">
                  <c:v>27.698998950000004</c:v>
                </c:pt>
                <c:pt idx="681">
                  <c:v>27.698998950000004</c:v>
                </c:pt>
                <c:pt idx="682">
                  <c:v>27.698998950000004</c:v>
                </c:pt>
                <c:pt idx="683">
                  <c:v>27.698998950000004</c:v>
                </c:pt>
                <c:pt idx="684">
                  <c:v>27.698998950000004</c:v>
                </c:pt>
                <c:pt idx="685">
                  <c:v>27.698998950000004</c:v>
                </c:pt>
                <c:pt idx="686">
                  <c:v>27.698998950000004</c:v>
                </c:pt>
                <c:pt idx="687">
                  <c:v>27.698998950000004</c:v>
                </c:pt>
                <c:pt idx="688">
                  <c:v>27.698998950000004</c:v>
                </c:pt>
                <c:pt idx="689">
                  <c:v>27.698998950000004</c:v>
                </c:pt>
                <c:pt idx="690">
                  <c:v>27.698998950000004</c:v>
                </c:pt>
                <c:pt idx="691">
                  <c:v>27.698998950000004</c:v>
                </c:pt>
                <c:pt idx="692">
                  <c:v>27.698998950000004</c:v>
                </c:pt>
                <c:pt idx="693">
                  <c:v>27.698998950000004</c:v>
                </c:pt>
                <c:pt idx="694">
                  <c:v>27.698998950000004</c:v>
                </c:pt>
                <c:pt idx="695">
                  <c:v>27.698998950000004</c:v>
                </c:pt>
                <c:pt idx="696">
                  <c:v>27.698998950000004</c:v>
                </c:pt>
                <c:pt idx="697">
                  <c:v>27.698998950000004</c:v>
                </c:pt>
                <c:pt idx="698">
                  <c:v>27.698998950000004</c:v>
                </c:pt>
                <c:pt idx="699">
                  <c:v>27.698998950000004</c:v>
                </c:pt>
                <c:pt idx="700">
                  <c:v>27.698998950000004</c:v>
                </c:pt>
                <c:pt idx="701">
                  <c:v>27.698998950000004</c:v>
                </c:pt>
                <c:pt idx="702">
                  <c:v>27.698998950000004</c:v>
                </c:pt>
                <c:pt idx="703">
                  <c:v>27.698998950000004</c:v>
                </c:pt>
                <c:pt idx="704">
                  <c:v>27.698998950000004</c:v>
                </c:pt>
                <c:pt idx="705">
                  <c:v>27.698998950000004</c:v>
                </c:pt>
                <c:pt idx="706">
                  <c:v>27.698998950000004</c:v>
                </c:pt>
                <c:pt idx="707">
                  <c:v>27.698998950000004</c:v>
                </c:pt>
                <c:pt idx="708">
                  <c:v>27.698998950000004</c:v>
                </c:pt>
                <c:pt idx="709">
                  <c:v>27.698998950000004</c:v>
                </c:pt>
                <c:pt idx="710">
                  <c:v>27.698998950000004</c:v>
                </c:pt>
                <c:pt idx="711">
                  <c:v>27.698998950000004</c:v>
                </c:pt>
                <c:pt idx="712">
                  <c:v>27.698998950000004</c:v>
                </c:pt>
                <c:pt idx="713">
                  <c:v>27.698998950000004</c:v>
                </c:pt>
                <c:pt idx="714">
                  <c:v>27.698998950000004</c:v>
                </c:pt>
                <c:pt idx="715">
                  <c:v>27.698998950000004</c:v>
                </c:pt>
                <c:pt idx="716">
                  <c:v>27.698998950000004</c:v>
                </c:pt>
                <c:pt idx="717">
                  <c:v>27.698998950000004</c:v>
                </c:pt>
                <c:pt idx="718">
                  <c:v>27.698998950000004</c:v>
                </c:pt>
                <c:pt idx="719">
                  <c:v>27.698998950000004</c:v>
                </c:pt>
                <c:pt idx="720">
                  <c:v>27.698998950000004</c:v>
                </c:pt>
                <c:pt idx="721">
                  <c:v>27.698998950000004</c:v>
                </c:pt>
                <c:pt idx="722">
                  <c:v>27.698998950000004</c:v>
                </c:pt>
                <c:pt idx="723">
                  <c:v>27.698998950000004</c:v>
                </c:pt>
                <c:pt idx="724">
                  <c:v>27.698998950000004</c:v>
                </c:pt>
                <c:pt idx="725">
                  <c:v>27.698998950000004</c:v>
                </c:pt>
                <c:pt idx="726">
                  <c:v>27.698998950000004</c:v>
                </c:pt>
                <c:pt idx="727">
                  <c:v>27.698998950000004</c:v>
                </c:pt>
                <c:pt idx="728">
                  <c:v>27.698998950000004</c:v>
                </c:pt>
                <c:pt idx="729">
                  <c:v>27.698998950000004</c:v>
                </c:pt>
                <c:pt idx="730">
                  <c:v>27.698998950000004</c:v>
                </c:pt>
                <c:pt idx="731">
                  <c:v>27.698998950000004</c:v>
                </c:pt>
                <c:pt idx="732">
                  <c:v>27.698998950000004</c:v>
                </c:pt>
                <c:pt idx="733">
                  <c:v>27.698998950000004</c:v>
                </c:pt>
                <c:pt idx="734">
                  <c:v>27.698998950000004</c:v>
                </c:pt>
                <c:pt idx="735">
                  <c:v>27.698998950000004</c:v>
                </c:pt>
                <c:pt idx="736">
                  <c:v>27.698998950000004</c:v>
                </c:pt>
                <c:pt idx="737">
                  <c:v>27.698998950000004</c:v>
                </c:pt>
                <c:pt idx="738">
                  <c:v>27.698998950000004</c:v>
                </c:pt>
                <c:pt idx="739">
                  <c:v>27.698998950000004</c:v>
                </c:pt>
                <c:pt idx="740">
                  <c:v>27.698998950000004</c:v>
                </c:pt>
                <c:pt idx="741">
                  <c:v>27.698998950000004</c:v>
                </c:pt>
                <c:pt idx="742">
                  <c:v>27.698998950000004</c:v>
                </c:pt>
                <c:pt idx="743">
                  <c:v>27.698998950000004</c:v>
                </c:pt>
                <c:pt idx="744">
                  <c:v>27.698998950000004</c:v>
                </c:pt>
                <c:pt idx="745">
                  <c:v>27.698998950000004</c:v>
                </c:pt>
                <c:pt idx="746">
                  <c:v>27.698998950000004</c:v>
                </c:pt>
                <c:pt idx="747">
                  <c:v>27.698998950000004</c:v>
                </c:pt>
                <c:pt idx="748">
                  <c:v>27.698998950000004</c:v>
                </c:pt>
                <c:pt idx="749">
                  <c:v>27.698998950000004</c:v>
                </c:pt>
                <c:pt idx="750">
                  <c:v>27.698998950000004</c:v>
                </c:pt>
                <c:pt idx="751">
                  <c:v>27.698998950000004</c:v>
                </c:pt>
                <c:pt idx="752">
                  <c:v>27.698998950000004</c:v>
                </c:pt>
                <c:pt idx="753">
                  <c:v>27.698998950000004</c:v>
                </c:pt>
                <c:pt idx="754">
                  <c:v>27.698998950000004</c:v>
                </c:pt>
                <c:pt idx="755">
                  <c:v>27.698998950000004</c:v>
                </c:pt>
                <c:pt idx="756">
                  <c:v>27.698998950000004</c:v>
                </c:pt>
                <c:pt idx="757">
                  <c:v>27.698998950000004</c:v>
                </c:pt>
                <c:pt idx="758">
                  <c:v>27.698998950000004</c:v>
                </c:pt>
                <c:pt idx="759">
                  <c:v>27.698998950000004</c:v>
                </c:pt>
                <c:pt idx="760">
                  <c:v>27.698998950000004</c:v>
                </c:pt>
                <c:pt idx="761">
                  <c:v>27.698998950000004</c:v>
                </c:pt>
                <c:pt idx="762">
                  <c:v>27.698998950000004</c:v>
                </c:pt>
                <c:pt idx="763">
                  <c:v>27.698998950000004</c:v>
                </c:pt>
                <c:pt idx="764">
                  <c:v>27.698998950000004</c:v>
                </c:pt>
                <c:pt idx="765">
                  <c:v>27.698998950000004</c:v>
                </c:pt>
                <c:pt idx="766">
                  <c:v>27.698998950000004</c:v>
                </c:pt>
                <c:pt idx="767">
                  <c:v>27.698998950000004</c:v>
                </c:pt>
                <c:pt idx="768">
                  <c:v>27.698998950000004</c:v>
                </c:pt>
                <c:pt idx="769">
                  <c:v>27.698998950000004</c:v>
                </c:pt>
                <c:pt idx="770">
                  <c:v>27.698998950000004</c:v>
                </c:pt>
                <c:pt idx="771">
                  <c:v>27.698998950000004</c:v>
                </c:pt>
                <c:pt idx="772">
                  <c:v>27.698998950000004</c:v>
                </c:pt>
                <c:pt idx="773">
                  <c:v>27.698998950000004</c:v>
                </c:pt>
                <c:pt idx="774">
                  <c:v>27.698998950000004</c:v>
                </c:pt>
                <c:pt idx="775">
                  <c:v>27.698998950000004</c:v>
                </c:pt>
                <c:pt idx="776">
                  <c:v>27.698998950000004</c:v>
                </c:pt>
                <c:pt idx="777">
                  <c:v>27.698998950000004</c:v>
                </c:pt>
                <c:pt idx="778">
                  <c:v>27.698998950000004</c:v>
                </c:pt>
                <c:pt idx="779">
                  <c:v>27.698998950000004</c:v>
                </c:pt>
                <c:pt idx="780">
                  <c:v>27.698998950000004</c:v>
                </c:pt>
                <c:pt idx="781">
                  <c:v>27.698998950000004</c:v>
                </c:pt>
                <c:pt idx="782">
                  <c:v>27.698998950000004</c:v>
                </c:pt>
                <c:pt idx="783">
                  <c:v>27.698998950000004</c:v>
                </c:pt>
                <c:pt idx="784">
                  <c:v>27.698998950000004</c:v>
                </c:pt>
                <c:pt idx="785">
                  <c:v>27.698998950000004</c:v>
                </c:pt>
                <c:pt idx="786">
                  <c:v>27.698998950000004</c:v>
                </c:pt>
                <c:pt idx="787">
                  <c:v>27.698998950000004</c:v>
                </c:pt>
                <c:pt idx="788">
                  <c:v>27.698998950000004</c:v>
                </c:pt>
                <c:pt idx="789">
                  <c:v>27.698998950000004</c:v>
                </c:pt>
                <c:pt idx="790">
                  <c:v>27.698998950000004</c:v>
                </c:pt>
                <c:pt idx="791">
                  <c:v>27.698998950000004</c:v>
                </c:pt>
                <c:pt idx="792">
                  <c:v>27.698998950000004</c:v>
                </c:pt>
                <c:pt idx="793">
                  <c:v>27.698998950000004</c:v>
                </c:pt>
                <c:pt idx="794">
                  <c:v>27.698998950000004</c:v>
                </c:pt>
                <c:pt idx="795">
                  <c:v>27.698998950000004</c:v>
                </c:pt>
                <c:pt idx="796">
                  <c:v>27.698998950000004</c:v>
                </c:pt>
                <c:pt idx="797">
                  <c:v>27.698998950000004</c:v>
                </c:pt>
                <c:pt idx="798">
                  <c:v>27.698998950000004</c:v>
                </c:pt>
                <c:pt idx="799">
                  <c:v>27.698998950000004</c:v>
                </c:pt>
                <c:pt idx="800">
                  <c:v>27.698998950000004</c:v>
                </c:pt>
                <c:pt idx="801">
                  <c:v>27.698998950000004</c:v>
                </c:pt>
                <c:pt idx="802">
                  <c:v>27.698998950000004</c:v>
                </c:pt>
                <c:pt idx="803">
                  <c:v>27.698998950000004</c:v>
                </c:pt>
                <c:pt idx="804">
                  <c:v>27.698998950000004</c:v>
                </c:pt>
                <c:pt idx="805">
                  <c:v>27.698998950000004</c:v>
                </c:pt>
                <c:pt idx="806">
                  <c:v>27.698998950000004</c:v>
                </c:pt>
                <c:pt idx="807">
                  <c:v>27.698998950000004</c:v>
                </c:pt>
                <c:pt idx="808">
                  <c:v>27.698998950000004</c:v>
                </c:pt>
                <c:pt idx="809">
                  <c:v>27.698998950000004</c:v>
                </c:pt>
                <c:pt idx="810">
                  <c:v>27.698998950000004</c:v>
                </c:pt>
                <c:pt idx="811">
                  <c:v>27.698998950000004</c:v>
                </c:pt>
                <c:pt idx="812">
                  <c:v>27.698998950000004</c:v>
                </c:pt>
                <c:pt idx="813">
                  <c:v>27.698998950000004</c:v>
                </c:pt>
                <c:pt idx="814">
                  <c:v>27.698998950000004</c:v>
                </c:pt>
                <c:pt idx="815">
                  <c:v>27.698998950000004</c:v>
                </c:pt>
                <c:pt idx="816">
                  <c:v>27.698998950000004</c:v>
                </c:pt>
                <c:pt idx="817">
                  <c:v>27.698998950000004</c:v>
                </c:pt>
                <c:pt idx="818">
                  <c:v>27.698998950000004</c:v>
                </c:pt>
                <c:pt idx="819">
                  <c:v>27.698998950000004</c:v>
                </c:pt>
                <c:pt idx="820">
                  <c:v>27.698998950000004</c:v>
                </c:pt>
                <c:pt idx="821">
                  <c:v>27.698998950000004</c:v>
                </c:pt>
                <c:pt idx="822">
                  <c:v>27.698998950000004</c:v>
                </c:pt>
                <c:pt idx="823">
                  <c:v>27.698998950000004</c:v>
                </c:pt>
                <c:pt idx="824">
                  <c:v>27.698998950000004</c:v>
                </c:pt>
                <c:pt idx="825">
                  <c:v>27.698998950000004</c:v>
                </c:pt>
                <c:pt idx="826">
                  <c:v>27.698998950000004</c:v>
                </c:pt>
                <c:pt idx="827">
                  <c:v>27.698998950000004</c:v>
                </c:pt>
                <c:pt idx="828">
                  <c:v>27.698998950000004</c:v>
                </c:pt>
                <c:pt idx="829">
                  <c:v>27.698998950000004</c:v>
                </c:pt>
                <c:pt idx="830">
                  <c:v>27.698998950000004</c:v>
                </c:pt>
                <c:pt idx="831">
                  <c:v>27.698998950000004</c:v>
                </c:pt>
                <c:pt idx="832">
                  <c:v>27.698998950000004</c:v>
                </c:pt>
                <c:pt idx="833">
                  <c:v>27.698998950000004</c:v>
                </c:pt>
                <c:pt idx="834">
                  <c:v>27.698998950000004</c:v>
                </c:pt>
                <c:pt idx="835">
                  <c:v>27.698998950000004</c:v>
                </c:pt>
                <c:pt idx="836">
                  <c:v>27.698998950000004</c:v>
                </c:pt>
                <c:pt idx="837">
                  <c:v>27.698998950000004</c:v>
                </c:pt>
                <c:pt idx="838">
                  <c:v>27.698998950000004</c:v>
                </c:pt>
                <c:pt idx="839">
                  <c:v>27.698998950000004</c:v>
                </c:pt>
                <c:pt idx="840">
                  <c:v>27.698998950000004</c:v>
                </c:pt>
                <c:pt idx="841">
                  <c:v>27.698998950000004</c:v>
                </c:pt>
                <c:pt idx="842">
                  <c:v>27.698998950000004</c:v>
                </c:pt>
                <c:pt idx="843">
                  <c:v>27.698998950000004</c:v>
                </c:pt>
                <c:pt idx="844">
                  <c:v>27.698998950000004</c:v>
                </c:pt>
                <c:pt idx="845">
                  <c:v>27.698998950000004</c:v>
                </c:pt>
                <c:pt idx="846">
                  <c:v>27.698998950000004</c:v>
                </c:pt>
                <c:pt idx="847">
                  <c:v>27.698998950000004</c:v>
                </c:pt>
                <c:pt idx="848">
                  <c:v>27.698998950000004</c:v>
                </c:pt>
                <c:pt idx="849">
                  <c:v>27.698998950000004</c:v>
                </c:pt>
                <c:pt idx="850">
                  <c:v>27.698998950000004</c:v>
                </c:pt>
                <c:pt idx="851">
                  <c:v>27.698998950000004</c:v>
                </c:pt>
                <c:pt idx="852">
                  <c:v>27.698998950000004</c:v>
                </c:pt>
                <c:pt idx="853">
                  <c:v>27.698998950000004</c:v>
                </c:pt>
                <c:pt idx="854">
                  <c:v>27.698998950000004</c:v>
                </c:pt>
                <c:pt idx="855">
                  <c:v>27.698998950000004</c:v>
                </c:pt>
                <c:pt idx="856">
                  <c:v>27.698998950000004</c:v>
                </c:pt>
                <c:pt idx="857">
                  <c:v>27.698998950000004</c:v>
                </c:pt>
                <c:pt idx="858">
                  <c:v>27.698998950000004</c:v>
                </c:pt>
                <c:pt idx="859">
                  <c:v>27.698998950000004</c:v>
                </c:pt>
                <c:pt idx="860">
                  <c:v>27.698998950000004</c:v>
                </c:pt>
                <c:pt idx="861">
                  <c:v>27.698998950000004</c:v>
                </c:pt>
                <c:pt idx="862">
                  <c:v>27.698998950000004</c:v>
                </c:pt>
                <c:pt idx="863">
                  <c:v>27.698998950000004</c:v>
                </c:pt>
                <c:pt idx="864">
                  <c:v>27.698998950000004</c:v>
                </c:pt>
                <c:pt idx="865">
                  <c:v>27.698998950000004</c:v>
                </c:pt>
                <c:pt idx="866">
                  <c:v>27.698998950000004</c:v>
                </c:pt>
                <c:pt idx="867">
                  <c:v>27.698998950000004</c:v>
                </c:pt>
                <c:pt idx="868">
                  <c:v>27.698998950000004</c:v>
                </c:pt>
                <c:pt idx="869">
                  <c:v>27.698998950000004</c:v>
                </c:pt>
                <c:pt idx="870">
                  <c:v>27.698998950000004</c:v>
                </c:pt>
                <c:pt idx="871">
                  <c:v>27.698998950000004</c:v>
                </c:pt>
                <c:pt idx="872">
                  <c:v>27.698998950000004</c:v>
                </c:pt>
                <c:pt idx="873">
                  <c:v>27.698998950000004</c:v>
                </c:pt>
                <c:pt idx="874">
                  <c:v>27.698998950000004</c:v>
                </c:pt>
                <c:pt idx="875">
                  <c:v>27.698998950000004</c:v>
                </c:pt>
                <c:pt idx="876">
                  <c:v>27.698998950000004</c:v>
                </c:pt>
                <c:pt idx="877">
                  <c:v>27.698998950000004</c:v>
                </c:pt>
                <c:pt idx="878">
                  <c:v>27.698998950000004</c:v>
                </c:pt>
                <c:pt idx="879">
                  <c:v>27.698998950000004</c:v>
                </c:pt>
                <c:pt idx="880">
                  <c:v>27.698998950000004</c:v>
                </c:pt>
                <c:pt idx="881">
                  <c:v>27.698998950000004</c:v>
                </c:pt>
                <c:pt idx="882">
                  <c:v>27.698998950000004</c:v>
                </c:pt>
                <c:pt idx="883">
                  <c:v>27.698998950000004</c:v>
                </c:pt>
                <c:pt idx="884">
                  <c:v>27.698998950000004</c:v>
                </c:pt>
                <c:pt idx="885">
                  <c:v>27.698998950000004</c:v>
                </c:pt>
                <c:pt idx="886">
                  <c:v>27.698998950000004</c:v>
                </c:pt>
                <c:pt idx="887">
                  <c:v>27.698998950000004</c:v>
                </c:pt>
                <c:pt idx="888">
                  <c:v>27.698998950000004</c:v>
                </c:pt>
                <c:pt idx="889">
                  <c:v>27.698998950000004</c:v>
                </c:pt>
                <c:pt idx="890">
                  <c:v>27.698998950000004</c:v>
                </c:pt>
                <c:pt idx="891">
                  <c:v>27.698998950000004</c:v>
                </c:pt>
                <c:pt idx="892">
                  <c:v>27.698998950000004</c:v>
                </c:pt>
                <c:pt idx="893">
                  <c:v>27.698998950000004</c:v>
                </c:pt>
                <c:pt idx="894">
                  <c:v>27.698998950000004</c:v>
                </c:pt>
                <c:pt idx="895">
                  <c:v>27.698998950000004</c:v>
                </c:pt>
                <c:pt idx="896">
                  <c:v>27.698998950000004</c:v>
                </c:pt>
                <c:pt idx="897">
                  <c:v>27.698998950000004</c:v>
                </c:pt>
                <c:pt idx="898">
                  <c:v>27.698998950000004</c:v>
                </c:pt>
                <c:pt idx="899">
                  <c:v>27.698998950000004</c:v>
                </c:pt>
                <c:pt idx="900">
                  <c:v>27.698998950000004</c:v>
                </c:pt>
                <c:pt idx="901">
                  <c:v>27.698998950000004</c:v>
                </c:pt>
                <c:pt idx="902">
                  <c:v>27.698998950000004</c:v>
                </c:pt>
                <c:pt idx="903">
                  <c:v>27.698998950000004</c:v>
                </c:pt>
                <c:pt idx="904">
                  <c:v>27.698998950000004</c:v>
                </c:pt>
                <c:pt idx="905">
                  <c:v>27.698998950000004</c:v>
                </c:pt>
                <c:pt idx="906">
                  <c:v>27.698998950000004</c:v>
                </c:pt>
                <c:pt idx="907">
                  <c:v>27.698998950000004</c:v>
                </c:pt>
                <c:pt idx="908">
                  <c:v>27.698998950000004</c:v>
                </c:pt>
                <c:pt idx="909">
                  <c:v>27.698998950000004</c:v>
                </c:pt>
                <c:pt idx="910">
                  <c:v>27.698998950000004</c:v>
                </c:pt>
                <c:pt idx="911">
                  <c:v>27.698998950000004</c:v>
                </c:pt>
                <c:pt idx="912">
                  <c:v>27.698998950000004</c:v>
                </c:pt>
                <c:pt idx="913">
                  <c:v>27.698998950000004</c:v>
                </c:pt>
                <c:pt idx="914">
                  <c:v>27.698998950000004</c:v>
                </c:pt>
                <c:pt idx="915">
                  <c:v>27.698998950000004</c:v>
                </c:pt>
                <c:pt idx="916">
                  <c:v>27.698998950000004</c:v>
                </c:pt>
                <c:pt idx="917">
                  <c:v>27.698998950000004</c:v>
                </c:pt>
                <c:pt idx="918">
                  <c:v>27.698998950000004</c:v>
                </c:pt>
                <c:pt idx="919">
                  <c:v>27.698998950000004</c:v>
                </c:pt>
                <c:pt idx="920">
                  <c:v>27.698998950000004</c:v>
                </c:pt>
                <c:pt idx="921">
                  <c:v>27.698998950000004</c:v>
                </c:pt>
                <c:pt idx="922">
                  <c:v>27.698998950000004</c:v>
                </c:pt>
                <c:pt idx="923">
                  <c:v>27.698998950000004</c:v>
                </c:pt>
                <c:pt idx="924">
                  <c:v>27.698998950000004</c:v>
                </c:pt>
                <c:pt idx="925">
                  <c:v>27.698998950000004</c:v>
                </c:pt>
                <c:pt idx="926">
                  <c:v>27.698998950000004</c:v>
                </c:pt>
                <c:pt idx="927">
                  <c:v>27.698998950000004</c:v>
                </c:pt>
                <c:pt idx="928">
                  <c:v>27.698998950000004</c:v>
                </c:pt>
                <c:pt idx="929">
                  <c:v>27.698998950000004</c:v>
                </c:pt>
                <c:pt idx="930">
                  <c:v>27.698998950000004</c:v>
                </c:pt>
                <c:pt idx="931">
                  <c:v>27.698998950000004</c:v>
                </c:pt>
                <c:pt idx="932">
                  <c:v>27.698998950000004</c:v>
                </c:pt>
                <c:pt idx="933">
                  <c:v>27.698998950000004</c:v>
                </c:pt>
                <c:pt idx="934">
                  <c:v>27.698998950000004</c:v>
                </c:pt>
                <c:pt idx="935">
                  <c:v>27.698998950000004</c:v>
                </c:pt>
                <c:pt idx="936">
                  <c:v>27.698998950000004</c:v>
                </c:pt>
                <c:pt idx="937">
                  <c:v>27.698998950000004</c:v>
                </c:pt>
                <c:pt idx="938">
                  <c:v>27.698998950000004</c:v>
                </c:pt>
                <c:pt idx="939">
                  <c:v>27.698998950000004</c:v>
                </c:pt>
                <c:pt idx="940">
                  <c:v>27.698998950000004</c:v>
                </c:pt>
                <c:pt idx="941">
                  <c:v>27.698998950000004</c:v>
                </c:pt>
                <c:pt idx="942">
                  <c:v>27.698998950000004</c:v>
                </c:pt>
                <c:pt idx="943">
                  <c:v>27.698998950000004</c:v>
                </c:pt>
                <c:pt idx="944">
                  <c:v>27.698998950000004</c:v>
                </c:pt>
                <c:pt idx="945">
                  <c:v>27.698998950000004</c:v>
                </c:pt>
                <c:pt idx="946">
                  <c:v>27.698998950000004</c:v>
                </c:pt>
                <c:pt idx="947">
                  <c:v>27.698998950000004</c:v>
                </c:pt>
                <c:pt idx="948">
                  <c:v>27.698998950000004</c:v>
                </c:pt>
                <c:pt idx="949">
                  <c:v>27.698998950000004</c:v>
                </c:pt>
                <c:pt idx="950">
                  <c:v>27.698998950000004</c:v>
                </c:pt>
                <c:pt idx="951">
                  <c:v>27.698998950000004</c:v>
                </c:pt>
                <c:pt idx="952">
                  <c:v>27.698998950000004</c:v>
                </c:pt>
                <c:pt idx="953">
                  <c:v>27.698998950000004</c:v>
                </c:pt>
                <c:pt idx="954">
                  <c:v>27.698998950000004</c:v>
                </c:pt>
                <c:pt idx="955">
                  <c:v>27.698998950000004</c:v>
                </c:pt>
                <c:pt idx="956">
                  <c:v>27.698998950000004</c:v>
                </c:pt>
                <c:pt idx="957">
                  <c:v>27.698998950000004</c:v>
                </c:pt>
                <c:pt idx="958">
                  <c:v>27.698998950000004</c:v>
                </c:pt>
                <c:pt idx="959">
                  <c:v>27.698998950000004</c:v>
                </c:pt>
                <c:pt idx="960">
                  <c:v>27.698998950000004</c:v>
                </c:pt>
                <c:pt idx="961">
                  <c:v>27.698998950000004</c:v>
                </c:pt>
                <c:pt idx="962">
                  <c:v>27.698998950000004</c:v>
                </c:pt>
                <c:pt idx="963">
                  <c:v>27.698998950000004</c:v>
                </c:pt>
                <c:pt idx="964">
                  <c:v>27.698998950000004</c:v>
                </c:pt>
                <c:pt idx="965">
                  <c:v>27.698998950000004</c:v>
                </c:pt>
                <c:pt idx="966">
                  <c:v>27.698998950000004</c:v>
                </c:pt>
                <c:pt idx="967">
                  <c:v>27.698998950000004</c:v>
                </c:pt>
                <c:pt idx="968">
                  <c:v>27.698998950000004</c:v>
                </c:pt>
                <c:pt idx="969">
                  <c:v>27.698998950000004</c:v>
                </c:pt>
                <c:pt idx="970">
                  <c:v>27.698998950000004</c:v>
                </c:pt>
                <c:pt idx="971">
                  <c:v>27.698998950000004</c:v>
                </c:pt>
                <c:pt idx="972">
                  <c:v>27.698998950000004</c:v>
                </c:pt>
                <c:pt idx="973">
                  <c:v>27.698998950000004</c:v>
                </c:pt>
                <c:pt idx="974">
                  <c:v>27.698998950000004</c:v>
                </c:pt>
                <c:pt idx="975">
                  <c:v>27.698998950000004</c:v>
                </c:pt>
                <c:pt idx="976">
                  <c:v>27.698998950000004</c:v>
                </c:pt>
                <c:pt idx="977">
                  <c:v>27.698998950000004</c:v>
                </c:pt>
                <c:pt idx="978">
                  <c:v>27.698998950000004</c:v>
                </c:pt>
                <c:pt idx="979">
                  <c:v>27.698998950000004</c:v>
                </c:pt>
                <c:pt idx="980">
                  <c:v>27.698998950000004</c:v>
                </c:pt>
                <c:pt idx="981">
                  <c:v>27.698998950000004</c:v>
                </c:pt>
                <c:pt idx="982">
                  <c:v>27.698998950000004</c:v>
                </c:pt>
                <c:pt idx="983">
                  <c:v>27.698998950000004</c:v>
                </c:pt>
                <c:pt idx="984">
                  <c:v>27.698998950000004</c:v>
                </c:pt>
                <c:pt idx="985">
                  <c:v>27.698998950000004</c:v>
                </c:pt>
                <c:pt idx="986">
                  <c:v>27.698998950000004</c:v>
                </c:pt>
                <c:pt idx="987">
                  <c:v>27.698998950000004</c:v>
                </c:pt>
                <c:pt idx="988">
                  <c:v>27.698998950000004</c:v>
                </c:pt>
                <c:pt idx="989">
                  <c:v>27.698998950000004</c:v>
                </c:pt>
                <c:pt idx="990">
                  <c:v>27.698998950000004</c:v>
                </c:pt>
                <c:pt idx="991">
                  <c:v>27.698998950000004</c:v>
                </c:pt>
                <c:pt idx="992">
                  <c:v>27.698998950000004</c:v>
                </c:pt>
                <c:pt idx="993">
                  <c:v>27.698998950000004</c:v>
                </c:pt>
                <c:pt idx="994">
                  <c:v>27.698998950000004</c:v>
                </c:pt>
                <c:pt idx="995">
                  <c:v>27.698998950000004</c:v>
                </c:pt>
                <c:pt idx="996">
                  <c:v>27.698998950000004</c:v>
                </c:pt>
                <c:pt idx="997">
                  <c:v>27.698998950000004</c:v>
                </c:pt>
                <c:pt idx="998">
                  <c:v>27.698998950000004</c:v>
                </c:pt>
                <c:pt idx="999">
                  <c:v>27.698998950000004</c:v>
                </c:pt>
                <c:pt idx="1000">
                  <c:v>27.698998950000004</c:v>
                </c:pt>
                <c:pt idx="1001">
                  <c:v>27.698998950000004</c:v>
                </c:pt>
                <c:pt idx="1002">
                  <c:v>27.698998950000004</c:v>
                </c:pt>
                <c:pt idx="1003">
                  <c:v>27.698998950000004</c:v>
                </c:pt>
                <c:pt idx="1004">
                  <c:v>27.698998950000004</c:v>
                </c:pt>
                <c:pt idx="1005">
                  <c:v>27.698998950000004</c:v>
                </c:pt>
                <c:pt idx="1006">
                  <c:v>27.698998950000004</c:v>
                </c:pt>
                <c:pt idx="1007">
                  <c:v>27.698998950000004</c:v>
                </c:pt>
                <c:pt idx="1008">
                  <c:v>27.698998950000004</c:v>
                </c:pt>
                <c:pt idx="1009">
                  <c:v>27.698998950000004</c:v>
                </c:pt>
                <c:pt idx="1010">
                  <c:v>27.698998950000004</c:v>
                </c:pt>
                <c:pt idx="1011">
                  <c:v>27.698998950000004</c:v>
                </c:pt>
                <c:pt idx="1012">
                  <c:v>27.698998950000004</c:v>
                </c:pt>
                <c:pt idx="1013">
                  <c:v>27.698998950000004</c:v>
                </c:pt>
                <c:pt idx="1014">
                  <c:v>27.698998950000004</c:v>
                </c:pt>
                <c:pt idx="1015">
                  <c:v>27.698998950000004</c:v>
                </c:pt>
                <c:pt idx="1016">
                  <c:v>27.698998950000004</c:v>
                </c:pt>
                <c:pt idx="1017">
                  <c:v>27.698998950000004</c:v>
                </c:pt>
                <c:pt idx="1018">
                  <c:v>27.698998950000004</c:v>
                </c:pt>
                <c:pt idx="1019">
                  <c:v>27.698998950000004</c:v>
                </c:pt>
                <c:pt idx="1020">
                  <c:v>27.698998950000004</c:v>
                </c:pt>
                <c:pt idx="1021">
                  <c:v>27.698998950000004</c:v>
                </c:pt>
                <c:pt idx="1022">
                  <c:v>27.698998950000004</c:v>
                </c:pt>
                <c:pt idx="1023">
                  <c:v>27.698998950000004</c:v>
                </c:pt>
                <c:pt idx="1024">
                  <c:v>27.698998950000004</c:v>
                </c:pt>
                <c:pt idx="1025">
                  <c:v>27.698998950000004</c:v>
                </c:pt>
                <c:pt idx="1026">
                  <c:v>27.698998950000004</c:v>
                </c:pt>
                <c:pt idx="1027">
                  <c:v>27.698998950000004</c:v>
                </c:pt>
                <c:pt idx="1028">
                  <c:v>27.698998950000004</c:v>
                </c:pt>
                <c:pt idx="1029">
                  <c:v>27.698998950000004</c:v>
                </c:pt>
                <c:pt idx="1030">
                  <c:v>27.698998950000004</c:v>
                </c:pt>
                <c:pt idx="1031">
                  <c:v>27.698998950000004</c:v>
                </c:pt>
                <c:pt idx="1032">
                  <c:v>27.698998950000004</c:v>
                </c:pt>
                <c:pt idx="1033">
                  <c:v>27.698998950000004</c:v>
                </c:pt>
                <c:pt idx="1034">
                  <c:v>27.698998950000004</c:v>
                </c:pt>
                <c:pt idx="1035">
                  <c:v>27.698998950000004</c:v>
                </c:pt>
                <c:pt idx="1036">
                  <c:v>27.698998950000004</c:v>
                </c:pt>
                <c:pt idx="1037">
                  <c:v>27.698998950000004</c:v>
                </c:pt>
                <c:pt idx="1038">
                  <c:v>27.698998950000004</c:v>
                </c:pt>
                <c:pt idx="1039">
                  <c:v>27.698998950000004</c:v>
                </c:pt>
                <c:pt idx="1040">
                  <c:v>27.698998950000004</c:v>
                </c:pt>
                <c:pt idx="1041">
                  <c:v>27.698998950000004</c:v>
                </c:pt>
                <c:pt idx="1042">
                  <c:v>27.698998950000004</c:v>
                </c:pt>
                <c:pt idx="1043">
                  <c:v>27.698998950000004</c:v>
                </c:pt>
                <c:pt idx="1044">
                  <c:v>27.698998950000004</c:v>
                </c:pt>
                <c:pt idx="1045">
                  <c:v>27.698998950000004</c:v>
                </c:pt>
                <c:pt idx="1046">
                  <c:v>27.698998950000004</c:v>
                </c:pt>
                <c:pt idx="1047">
                  <c:v>27.698998950000004</c:v>
                </c:pt>
                <c:pt idx="1048">
                  <c:v>27.698998950000004</c:v>
                </c:pt>
                <c:pt idx="1049">
                  <c:v>27.698998950000004</c:v>
                </c:pt>
                <c:pt idx="1050">
                  <c:v>27.698998950000004</c:v>
                </c:pt>
                <c:pt idx="1051">
                  <c:v>27.698998950000004</c:v>
                </c:pt>
                <c:pt idx="1052">
                  <c:v>27.698998950000004</c:v>
                </c:pt>
                <c:pt idx="1053">
                  <c:v>27.698998950000004</c:v>
                </c:pt>
                <c:pt idx="1054">
                  <c:v>27.698998950000004</c:v>
                </c:pt>
                <c:pt idx="1055">
                  <c:v>27.698998950000004</c:v>
                </c:pt>
                <c:pt idx="1056">
                  <c:v>27.698998950000004</c:v>
                </c:pt>
                <c:pt idx="1057">
                  <c:v>27.698998950000004</c:v>
                </c:pt>
                <c:pt idx="1058">
                  <c:v>27.698998950000004</c:v>
                </c:pt>
                <c:pt idx="1059">
                  <c:v>27.698998950000004</c:v>
                </c:pt>
                <c:pt idx="1060">
                  <c:v>27.698998950000004</c:v>
                </c:pt>
                <c:pt idx="1061">
                  <c:v>27.698998950000004</c:v>
                </c:pt>
                <c:pt idx="1062">
                  <c:v>27.698998950000004</c:v>
                </c:pt>
                <c:pt idx="1063">
                  <c:v>27.698998950000004</c:v>
                </c:pt>
                <c:pt idx="1064">
                  <c:v>27.698998950000004</c:v>
                </c:pt>
                <c:pt idx="1065">
                  <c:v>27.698998950000004</c:v>
                </c:pt>
                <c:pt idx="1066">
                  <c:v>27.698998950000004</c:v>
                </c:pt>
                <c:pt idx="1067">
                  <c:v>27.698998950000004</c:v>
                </c:pt>
                <c:pt idx="1068">
                  <c:v>27.698998950000004</c:v>
                </c:pt>
                <c:pt idx="1069">
                  <c:v>27.698998950000004</c:v>
                </c:pt>
                <c:pt idx="1070">
                  <c:v>27.698998950000004</c:v>
                </c:pt>
                <c:pt idx="1071">
                  <c:v>27.698998950000004</c:v>
                </c:pt>
                <c:pt idx="1072">
                  <c:v>27.698998950000004</c:v>
                </c:pt>
                <c:pt idx="1073">
                  <c:v>27.698998950000004</c:v>
                </c:pt>
                <c:pt idx="1074">
                  <c:v>27.698998950000004</c:v>
                </c:pt>
                <c:pt idx="1075">
                  <c:v>27.698998950000004</c:v>
                </c:pt>
                <c:pt idx="1076">
                  <c:v>27.698998950000004</c:v>
                </c:pt>
                <c:pt idx="1077">
                  <c:v>27.698998950000004</c:v>
                </c:pt>
                <c:pt idx="1078">
                  <c:v>27.698998950000004</c:v>
                </c:pt>
                <c:pt idx="1079">
                  <c:v>27.698998950000004</c:v>
                </c:pt>
                <c:pt idx="1080">
                  <c:v>27.698998950000004</c:v>
                </c:pt>
                <c:pt idx="1081">
                  <c:v>27.698998950000004</c:v>
                </c:pt>
                <c:pt idx="1082">
                  <c:v>27.698998950000004</c:v>
                </c:pt>
                <c:pt idx="1083">
                  <c:v>27.698998950000004</c:v>
                </c:pt>
                <c:pt idx="1084">
                  <c:v>27.698998950000004</c:v>
                </c:pt>
                <c:pt idx="1085">
                  <c:v>27.698998950000004</c:v>
                </c:pt>
                <c:pt idx="1086">
                  <c:v>27.698998950000004</c:v>
                </c:pt>
                <c:pt idx="1087">
                  <c:v>27.698998950000004</c:v>
                </c:pt>
                <c:pt idx="1088">
                  <c:v>27.698998950000004</c:v>
                </c:pt>
                <c:pt idx="1089">
                  <c:v>27.698998950000004</c:v>
                </c:pt>
                <c:pt idx="1090">
                  <c:v>27.698998950000004</c:v>
                </c:pt>
                <c:pt idx="1091">
                  <c:v>27.698998950000004</c:v>
                </c:pt>
                <c:pt idx="1092">
                  <c:v>27.698998950000004</c:v>
                </c:pt>
                <c:pt idx="1093">
                  <c:v>27.698998950000004</c:v>
                </c:pt>
                <c:pt idx="1094">
                  <c:v>27.698998950000004</c:v>
                </c:pt>
                <c:pt idx="1095">
                  <c:v>27.698998950000004</c:v>
                </c:pt>
                <c:pt idx="1096">
                  <c:v>27.698998950000004</c:v>
                </c:pt>
                <c:pt idx="1097">
                  <c:v>27.698998950000004</c:v>
                </c:pt>
                <c:pt idx="1098">
                  <c:v>27.698998950000004</c:v>
                </c:pt>
                <c:pt idx="1099">
                  <c:v>27.698998950000004</c:v>
                </c:pt>
                <c:pt idx="1100">
                  <c:v>27.698998950000004</c:v>
                </c:pt>
                <c:pt idx="1101">
                  <c:v>27.698998950000004</c:v>
                </c:pt>
                <c:pt idx="1102">
                  <c:v>27.698998950000004</c:v>
                </c:pt>
                <c:pt idx="1103">
                  <c:v>27.698998950000004</c:v>
                </c:pt>
                <c:pt idx="1104">
                  <c:v>27.698998950000004</c:v>
                </c:pt>
                <c:pt idx="1105">
                  <c:v>27.698998950000004</c:v>
                </c:pt>
                <c:pt idx="1106">
                  <c:v>27.698998950000004</c:v>
                </c:pt>
                <c:pt idx="1107">
                  <c:v>27.698998950000004</c:v>
                </c:pt>
                <c:pt idx="1108">
                  <c:v>27.698998950000004</c:v>
                </c:pt>
                <c:pt idx="1109">
                  <c:v>27.698998950000004</c:v>
                </c:pt>
                <c:pt idx="1110">
                  <c:v>27.698998950000004</c:v>
                </c:pt>
                <c:pt idx="1111">
                  <c:v>27.698998950000004</c:v>
                </c:pt>
                <c:pt idx="1112">
                  <c:v>27.698998950000004</c:v>
                </c:pt>
                <c:pt idx="1113">
                  <c:v>27.698998950000004</c:v>
                </c:pt>
                <c:pt idx="1114">
                  <c:v>27.698998950000004</c:v>
                </c:pt>
                <c:pt idx="1115">
                  <c:v>27.698998950000004</c:v>
                </c:pt>
                <c:pt idx="1116">
                  <c:v>27.698998950000004</c:v>
                </c:pt>
                <c:pt idx="1117">
                  <c:v>27.698998950000004</c:v>
                </c:pt>
                <c:pt idx="1118">
                  <c:v>27.698998950000004</c:v>
                </c:pt>
                <c:pt idx="1119">
                  <c:v>27.698998950000004</c:v>
                </c:pt>
                <c:pt idx="1120">
                  <c:v>27.698998950000004</c:v>
                </c:pt>
                <c:pt idx="1121">
                  <c:v>27.698998950000004</c:v>
                </c:pt>
                <c:pt idx="1122">
                  <c:v>27.698998950000004</c:v>
                </c:pt>
                <c:pt idx="1123">
                  <c:v>27.698998950000004</c:v>
                </c:pt>
                <c:pt idx="1124">
                  <c:v>27.698998950000004</c:v>
                </c:pt>
                <c:pt idx="1125">
                  <c:v>27.698998950000004</c:v>
                </c:pt>
                <c:pt idx="1126">
                  <c:v>27.698998950000004</c:v>
                </c:pt>
                <c:pt idx="1127">
                  <c:v>27.698998950000004</c:v>
                </c:pt>
                <c:pt idx="1128">
                  <c:v>27.698998950000004</c:v>
                </c:pt>
                <c:pt idx="1129">
                  <c:v>27.698998950000004</c:v>
                </c:pt>
                <c:pt idx="1130">
                  <c:v>27.698998950000004</c:v>
                </c:pt>
                <c:pt idx="1131">
                  <c:v>27.698998950000004</c:v>
                </c:pt>
                <c:pt idx="1132">
                  <c:v>27.698998950000004</c:v>
                </c:pt>
                <c:pt idx="1133">
                  <c:v>27.698998950000004</c:v>
                </c:pt>
                <c:pt idx="1134">
                  <c:v>27.698998950000004</c:v>
                </c:pt>
                <c:pt idx="1135">
                  <c:v>27.698998950000004</c:v>
                </c:pt>
                <c:pt idx="1136">
                  <c:v>27.698998950000004</c:v>
                </c:pt>
                <c:pt idx="1137">
                  <c:v>27.698998950000004</c:v>
                </c:pt>
                <c:pt idx="1138">
                  <c:v>27.698998950000004</c:v>
                </c:pt>
                <c:pt idx="1139">
                  <c:v>27.698998950000004</c:v>
                </c:pt>
                <c:pt idx="1140">
                  <c:v>27.698998950000004</c:v>
                </c:pt>
                <c:pt idx="1141">
                  <c:v>27.698998950000004</c:v>
                </c:pt>
                <c:pt idx="1142">
                  <c:v>27.698998950000004</c:v>
                </c:pt>
                <c:pt idx="1143">
                  <c:v>27.698998950000004</c:v>
                </c:pt>
                <c:pt idx="1144">
                  <c:v>27.698998950000004</c:v>
                </c:pt>
                <c:pt idx="1145">
                  <c:v>27.698998950000004</c:v>
                </c:pt>
                <c:pt idx="1146">
                  <c:v>27.698998950000004</c:v>
                </c:pt>
                <c:pt idx="1147">
                  <c:v>27.698998950000004</c:v>
                </c:pt>
                <c:pt idx="1148">
                  <c:v>27.698998950000004</c:v>
                </c:pt>
                <c:pt idx="1149">
                  <c:v>27.698998950000004</c:v>
                </c:pt>
                <c:pt idx="1150">
                  <c:v>27.698998950000004</c:v>
                </c:pt>
                <c:pt idx="1151">
                  <c:v>27.698998950000004</c:v>
                </c:pt>
                <c:pt idx="1152">
                  <c:v>27.698998950000004</c:v>
                </c:pt>
                <c:pt idx="1153">
                  <c:v>27.698998950000004</c:v>
                </c:pt>
                <c:pt idx="1154">
                  <c:v>27.698998950000004</c:v>
                </c:pt>
                <c:pt idx="1155">
                  <c:v>27.698998950000004</c:v>
                </c:pt>
                <c:pt idx="1156">
                  <c:v>27.698998950000004</c:v>
                </c:pt>
                <c:pt idx="1157">
                  <c:v>27.698998950000004</c:v>
                </c:pt>
                <c:pt idx="1158">
                  <c:v>27.698998950000004</c:v>
                </c:pt>
                <c:pt idx="1159">
                  <c:v>27.698998950000004</c:v>
                </c:pt>
                <c:pt idx="1160">
                  <c:v>27.698998950000004</c:v>
                </c:pt>
                <c:pt idx="1161">
                  <c:v>27.698998950000004</c:v>
                </c:pt>
                <c:pt idx="1162">
                  <c:v>27.698998950000004</c:v>
                </c:pt>
                <c:pt idx="1163">
                  <c:v>27.698998950000004</c:v>
                </c:pt>
                <c:pt idx="1164">
                  <c:v>27.698998950000004</c:v>
                </c:pt>
                <c:pt idx="1165">
                  <c:v>27.698998950000004</c:v>
                </c:pt>
                <c:pt idx="1166">
                  <c:v>27.698998950000004</c:v>
                </c:pt>
                <c:pt idx="1167">
                  <c:v>27.698998950000004</c:v>
                </c:pt>
                <c:pt idx="1168">
                  <c:v>27.698998950000004</c:v>
                </c:pt>
                <c:pt idx="1169">
                  <c:v>27.698998950000004</c:v>
                </c:pt>
                <c:pt idx="1170">
                  <c:v>27.698998950000004</c:v>
                </c:pt>
                <c:pt idx="1171">
                  <c:v>27.698998950000004</c:v>
                </c:pt>
                <c:pt idx="1172">
                  <c:v>27.698998950000004</c:v>
                </c:pt>
                <c:pt idx="1173">
                  <c:v>27.698998950000004</c:v>
                </c:pt>
                <c:pt idx="1174">
                  <c:v>27.698998950000004</c:v>
                </c:pt>
                <c:pt idx="1175">
                  <c:v>27.698998950000004</c:v>
                </c:pt>
                <c:pt idx="1176">
                  <c:v>27.698998950000004</c:v>
                </c:pt>
                <c:pt idx="1177">
                  <c:v>27.698998950000004</c:v>
                </c:pt>
                <c:pt idx="1178">
                  <c:v>27.698998950000004</c:v>
                </c:pt>
                <c:pt idx="1179">
                  <c:v>27.698998950000004</c:v>
                </c:pt>
                <c:pt idx="1180">
                  <c:v>27.698998950000004</c:v>
                </c:pt>
                <c:pt idx="1181">
                  <c:v>27.698998950000004</c:v>
                </c:pt>
                <c:pt idx="1182">
                  <c:v>27.698998950000004</c:v>
                </c:pt>
                <c:pt idx="1183">
                  <c:v>27.698998950000004</c:v>
                </c:pt>
                <c:pt idx="1184">
                  <c:v>27.698998950000004</c:v>
                </c:pt>
                <c:pt idx="1185">
                  <c:v>27.698998950000004</c:v>
                </c:pt>
                <c:pt idx="1186">
                  <c:v>27.698998950000004</c:v>
                </c:pt>
                <c:pt idx="1187">
                  <c:v>27.698998950000004</c:v>
                </c:pt>
                <c:pt idx="1188">
                  <c:v>27.698998950000004</c:v>
                </c:pt>
                <c:pt idx="1189">
                  <c:v>27.698998950000004</c:v>
                </c:pt>
                <c:pt idx="1190">
                  <c:v>27.698998950000004</c:v>
                </c:pt>
                <c:pt idx="1191">
                  <c:v>27.698998950000004</c:v>
                </c:pt>
                <c:pt idx="1192">
                  <c:v>27.698998950000004</c:v>
                </c:pt>
                <c:pt idx="1193">
                  <c:v>27.698998950000004</c:v>
                </c:pt>
                <c:pt idx="1194">
                  <c:v>27.698998950000004</c:v>
                </c:pt>
                <c:pt idx="1195">
                  <c:v>27.698998950000004</c:v>
                </c:pt>
                <c:pt idx="1196">
                  <c:v>27.698998950000004</c:v>
                </c:pt>
                <c:pt idx="1197">
                  <c:v>27.698998950000004</c:v>
                </c:pt>
                <c:pt idx="1198">
                  <c:v>27.698998950000004</c:v>
                </c:pt>
                <c:pt idx="1199">
                  <c:v>27.698998950000004</c:v>
                </c:pt>
                <c:pt idx="1200">
                  <c:v>27.698998950000004</c:v>
                </c:pt>
                <c:pt idx="1201">
                  <c:v>27.698998950000004</c:v>
                </c:pt>
                <c:pt idx="1202">
                  <c:v>27.698998950000004</c:v>
                </c:pt>
                <c:pt idx="1203">
                  <c:v>27.698998950000004</c:v>
                </c:pt>
                <c:pt idx="1204">
                  <c:v>27.698998950000004</c:v>
                </c:pt>
                <c:pt idx="1205">
                  <c:v>27.698998950000004</c:v>
                </c:pt>
                <c:pt idx="1206">
                  <c:v>27.698998950000004</c:v>
                </c:pt>
                <c:pt idx="1207">
                  <c:v>27.698998950000004</c:v>
                </c:pt>
                <c:pt idx="1208">
                  <c:v>27.698998950000004</c:v>
                </c:pt>
                <c:pt idx="1209">
                  <c:v>27.698998950000004</c:v>
                </c:pt>
                <c:pt idx="1210">
                  <c:v>27.698998950000004</c:v>
                </c:pt>
                <c:pt idx="1211">
                  <c:v>27.698998950000004</c:v>
                </c:pt>
                <c:pt idx="1212">
                  <c:v>27.698998950000004</c:v>
                </c:pt>
                <c:pt idx="1213">
                  <c:v>27.698998950000004</c:v>
                </c:pt>
                <c:pt idx="1214">
                  <c:v>27.698998950000004</c:v>
                </c:pt>
                <c:pt idx="1215">
                  <c:v>27.698998950000004</c:v>
                </c:pt>
                <c:pt idx="1216">
                  <c:v>27.698998950000004</c:v>
                </c:pt>
                <c:pt idx="1217">
                  <c:v>27.698998950000004</c:v>
                </c:pt>
                <c:pt idx="1218">
                  <c:v>27.698998950000004</c:v>
                </c:pt>
                <c:pt idx="1219">
                  <c:v>27.698998950000004</c:v>
                </c:pt>
                <c:pt idx="1220">
                  <c:v>27.698998950000004</c:v>
                </c:pt>
                <c:pt idx="1221">
                  <c:v>27.698998950000004</c:v>
                </c:pt>
                <c:pt idx="1222">
                  <c:v>27.698998950000004</c:v>
                </c:pt>
                <c:pt idx="1223">
                  <c:v>27.698998950000004</c:v>
                </c:pt>
                <c:pt idx="1224">
                  <c:v>27.698998950000004</c:v>
                </c:pt>
                <c:pt idx="1225">
                  <c:v>27.698998950000004</c:v>
                </c:pt>
                <c:pt idx="1226">
                  <c:v>27.698998950000004</c:v>
                </c:pt>
                <c:pt idx="1227">
                  <c:v>27.698998950000004</c:v>
                </c:pt>
                <c:pt idx="1228">
                  <c:v>27.698998950000004</c:v>
                </c:pt>
                <c:pt idx="1229">
                  <c:v>27.698998950000004</c:v>
                </c:pt>
                <c:pt idx="1230">
                  <c:v>27.698998950000004</c:v>
                </c:pt>
                <c:pt idx="1231">
                  <c:v>27.698998950000004</c:v>
                </c:pt>
                <c:pt idx="1232">
                  <c:v>27.698998950000004</c:v>
                </c:pt>
                <c:pt idx="1233">
                  <c:v>27.698998950000004</c:v>
                </c:pt>
                <c:pt idx="1234">
                  <c:v>27.698998950000004</c:v>
                </c:pt>
                <c:pt idx="1235">
                  <c:v>27.698998950000004</c:v>
                </c:pt>
                <c:pt idx="1236">
                  <c:v>27.698998950000004</c:v>
                </c:pt>
                <c:pt idx="1237">
                  <c:v>27.698998950000004</c:v>
                </c:pt>
                <c:pt idx="1238">
                  <c:v>27.698998950000004</c:v>
                </c:pt>
                <c:pt idx="1239">
                  <c:v>27.698998950000004</c:v>
                </c:pt>
                <c:pt idx="1240">
                  <c:v>27.698998950000004</c:v>
                </c:pt>
                <c:pt idx="1241">
                  <c:v>27.698998950000004</c:v>
                </c:pt>
                <c:pt idx="1242">
                  <c:v>27.698998950000004</c:v>
                </c:pt>
                <c:pt idx="1243">
                  <c:v>27.698998950000004</c:v>
                </c:pt>
                <c:pt idx="1244">
                  <c:v>27.698998950000004</c:v>
                </c:pt>
                <c:pt idx="1245">
                  <c:v>27.698998950000004</c:v>
                </c:pt>
                <c:pt idx="1246">
                  <c:v>27.698998950000004</c:v>
                </c:pt>
                <c:pt idx="1247">
                  <c:v>27.698998950000004</c:v>
                </c:pt>
                <c:pt idx="1248">
                  <c:v>27.698998950000004</c:v>
                </c:pt>
                <c:pt idx="1249">
                  <c:v>27.698998950000004</c:v>
                </c:pt>
                <c:pt idx="1250">
                  <c:v>27.698998950000004</c:v>
                </c:pt>
                <c:pt idx="1251">
                  <c:v>27.698998950000004</c:v>
                </c:pt>
                <c:pt idx="1252">
                  <c:v>27.698998950000004</c:v>
                </c:pt>
                <c:pt idx="1253">
                  <c:v>27.698998950000004</c:v>
                </c:pt>
                <c:pt idx="1254">
                  <c:v>27.698998950000004</c:v>
                </c:pt>
                <c:pt idx="1255">
                  <c:v>27.698998950000004</c:v>
                </c:pt>
                <c:pt idx="1256">
                  <c:v>27.698998950000004</c:v>
                </c:pt>
                <c:pt idx="1257">
                  <c:v>27.698998950000004</c:v>
                </c:pt>
                <c:pt idx="1258">
                  <c:v>27.698998950000004</c:v>
                </c:pt>
                <c:pt idx="1259">
                  <c:v>27.698998950000004</c:v>
                </c:pt>
                <c:pt idx="1260">
                  <c:v>27.698998950000004</c:v>
                </c:pt>
                <c:pt idx="1261">
                  <c:v>27.698998950000004</c:v>
                </c:pt>
                <c:pt idx="1262">
                  <c:v>27.698998950000004</c:v>
                </c:pt>
                <c:pt idx="1263">
                  <c:v>27.698998950000004</c:v>
                </c:pt>
                <c:pt idx="1264">
                  <c:v>27.698998950000004</c:v>
                </c:pt>
                <c:pt idx="1265">
                  <c:v>27.698998950000004</c:v>
                </c:pt>
                <c:pt idx="1266">
                  <c:v>27.698998950000004</c:v>
                </c:pt>
                <c:pt idx="1267">
                  <c:v>27.698998950000004</c:v>
                </c:pt>
                <c:pt idx="1268">
                  <c:v>27.698998950000004</c:v>
                </c:pt>
                <c:pt idx="1269">
                  <c:v>27.698998950000004</c:v>
                </c:pt>
                <c:pt idx="1270">
                  <c:v>27.698998950000004</c:v>
                </c:pt>
                <c:pt idx="1271">
                  <c:v>27.698998950000004</c:v>
                </c:pt>
                <c:pt idx="1272">
                  <c:v>27.698998950000004</c:v>
                </c:pt>
                <c:pt idx="1273">
                  <c:v>27.698998950000004</c:v>
                </c:pt>
                <c:pt idx="1274">
                  <c:v>27.698998950000004</c:v>
                </c:pt>
                <c:pt idx="1275">
                  <c:v>27.698998950000004</c:v>
                </c:pt>
                <c:pt idx="1276">
                  <c:v>27.698998950000004</c:v>
                </c:pt>
                <c:pt idx="1277">
                  <c:v>27.698998950000004</c:v>
                </c:pt>
                <c:pt idx="1278">
                  <c:v>27.698998950000004</c:v>
                </c:pt>
                <c:pt idx="1279">
                  <c:v>27.698998950000004</c:v>
                </c:pt>
                <c:pt idx="1280">
                  <c:v>27.698998950000004</c:v>
                </c:pt>
                <c:pt idx="1281">
                  <c:v>27.698998950000004</c:v>
                </c:pt>
                <c:pt idx="1282">
                  <c:v>27.698998950000004</c:v>
                </c:pt>
                <c:pt idx="1283">
                  <c:v>27.698998950000004</c:v>
                </c:pt>
                <c:pt idx="1284">
                  <c:v>27.698998950000004</c:v>
                </c:pt>
                <c:pt idx="1285">
                  <c:v>27.698998950000004</c:v>
                </c:pt>
                <c:pt idx="1286">
                  <c:v>27.698998950000004</c:v>
                </c:pt>
                <c:pt idx="1287">
                  <c:v>27.698998950000004</c:v>
                </c:pt>
                <c:pt idx="1288">
                  <c:v>27.698998950000004</c:v>
                </c:pt>
                <c:pt idx="1289">
                  <c:v>27.698998950000004</c:v>
                </c:pt>
                <c:pt idx="1290">
                  <c:v>27.698998950000004</c:v>
                </c:pt>
                <c:pt idx="1291">
                  <c:v>27.698998950000004</c:v>
                </c:pt>
                <c:pt idx="1292">
                  <c:v>27.698998950000004</c:v>
                </c:pt>
                <c:pt idx="1293">
                  <c:v>27.698998950000004</c:v>
                </c:pt>
                <c:pt idx="1294">
                  <c:v>27.698998950000004</c:v>
                </c:pt>
                <c:pt idx="1295">
                  <c:v>27.698998950000004</c:v>
                </c:pt>
                <c:pt idx="1296">
                  <c:v>27.698998950000004</c:v>
                </c:pt>
                <c:pt idx="1297">
                  <c:v>27.698998950000004</c:v>
                </c:pt>
                <c:pt idx="1298">
                  <c:v>27.698998950000004</c:v>
                </c:pt>
                <c:pt idx="1299">
                  <c:v>27.698998950000004</c:v>
                </c:pt>
                <c:pt idx="1300">
                  <c:v>27.698998950000004</c:v>
                </c:pt>
                <c:pt idx="1301">
                  <c:v>27.698998950000004</c:v>
                </c:pt>
                <c:pt idx="1302">
                  <c:v>27.698998950000004</c:v>
                </c:pt>
                <c:pt idx="1303">
                  <c:v>27.698998950000004</c:v>
                </c:pt>
                <c:pt idx="1304">
                  <c:v>27.698998950000004</c:v>
                </c:pt>
                <c:pt idx="1305">
                  <c:v>27.698998950000004</c:v>
                </c:pt>
                <c:pt idx="1306">
                  <c:v>27.698998950000004</c:v>
                </c:pt>
                <c:pt idx="1307">
                  <c:v>27.698998950000004</c:v>
                </c:pt>
                <c:pt idx="1308">
                  <c:v>27.698998950000004</c:v>
                </c:pt>
                <c:pt idx="1309">
                  <c:v>27.698998950000004</c:v>
                </c:pt>
                <c:pt idx="1310">
                  <c:v>27.698998950000004</c:v>
                </c:pt>
                <c:pt idx="1311">
                  <c:v>27.698998950000004</c:v>
                </c:pt>
                <c:pt idx="1312">
                  <c:v>27.698998950000004</c:v>
                </c:pt>
                <c:pt idx="1313">
                  <c:v>27.698998950000004</c:v>
                </c:pt>
                <c:pt idx="1314">
                  <c:v>27.698998950000004</c:v>
                </c:pt>
                <c:pt idx="1315">
                  <c:v>27.698998950000004</c:v>
                </c:pt>
                <c:pt idx="1316">
                  <c:v>27.698998950000004</c:v>
                </c:pt>
                <c:pt idx="1317">
                  <c:v>27.698998950000004</c:v>
                </c:pt>
                <c:pt idx="1318">
                  <c:v>27.698998950000004</c:v>
                </c:pt>
                <c:pt idx="1319">
                  <c:v>27.698998950000004</c:v>
                </c:pt>
                <c:pt idx="1320">
                  <c:v>27.698998950000004</c:v>
                </c:pt>
                <c:pt idx="1321">
                  <c:v>27.698998950000004</c:v>
                </c:pt>
                <c:pt idx="1322">
                  <c:v>27.698998950000004</c:v>
                </c:pt>
                <c:pt idx="1323">
                  <c:v>27.698998950000004</c:v>
                </c:pt>
                <c:pt idx="1324">
                  <c:v>27.698998950000004</c:v>
                </c:pt>
                <c:pt idx="1325">
                  <c:v>27.698998950000004</c:v>
                </c:pt>
                <c:pt idx="1326">
                  <c:v>27.698998950000004</c:v>
                </c:pt>
                <c:pt idx="1327">
                  <c:v>27.698998950000004</c:v>
                </c:pt>
                <c:pt idx="1328">
                  <c:v>27.698998950000004</c:v>
                </c:pt>
                <c:pt idx="1329">
                  <c:v>27.698998950000004</c:v>
                </c:pt>
                <c:pt idx="1330">
                  <c:v>27.698998950000004</c:v>
                </c:pt>
                <c:pt idx="1331">
                  <c:v>27.698998950000004</c:v>
                </c:pt>
                <c:pt idx="1332">
                  <c:v>27.698998950000004</c:v>
                </c:pt>
                <c:pt idx="1333">
                  <c:v>27.698998950000004</c:v>
                </c:pt>
                <c:pt idx="1334">
                  <c:v>27.698998950000004</c:v>
                </c:pt>
                <c:pt idx="1335">
                  <c:v>27.698998950000004</c:v>
                </c:pt>
                <c:pt idx="1336">
                  <c:v>27.698998950000004</c:v>
                </c:pt>
                <c:pt idx="1337">
                  <c:v>27.698998950000004</c:v>
                </c:pt>
                <c:pt idx="1338">
                  <c:v>27.698998950000004</c:v>
                </c:pt>
                <c:pt idx="1339">
                  <c:v>27.698998950000004</c:v>
                </c:pt>
                <c:pt idx="1340">
                  <c:v>27.698998950000004</c:v>
                </c:pt>
                <c:pt idx="1341">
                  <c:v>27.698998950000004</c:v>
                </c:pt>
                <c:pt idx="1342">
                  <c:v>27.698998950000004</c:v>
                </c:pt>
                <c:pt idx="1343">
                  <c:v>27.698998950000004</c:v>
                </c:pt>
                <c:pt idx="1344">
                  <c:v>27.698998950000004</c:v>
                </c:pt>
                <c:pt idx="1345">
                  <c:v>27.698998950000004</c:v>
                </c:pt>
                <c:pt idx="1346">
                  <c:v>27.698998950000004</c:v>
                </c:pt>
                <c:pt idx="1347">
                  <c:v>27.698998950000004</c:v>
                </c:pt>
                <c:pt idx="1348">
                  <c:v>27.698998950000004</c:v>
                </c:pt>
                <c:pt idx="1349">
                  <c:v>27.698998950000004</c:v>
                </c:pt>
                <c:pt idx="1350">
                  <c:v>27.698998950000004</c:v>
                </c:pt>
                <c:pt idx="1351">
                  <c:v>27.698998950000004</c:v>
                </c:pt>
                <c:pt idx="1352">
                  <c:v>27.698998950000004</c:v>
                </c:pt>
                <c:pt idx="1353">
                  <c:v>27.698998950000004</c:v>
                </c:pt>
                <c:pt idx="1354">
                  <c:v>27.698998950000004</c:v>
                </c:pt>
                <c:pt idx="1355">
                  <c:v>27.698998950000004</c:v>
                </c:pt>
                <c:pt idx="1356">
                  <c:v>27.698998950000004</c:v>
                </c:pt>
                <c:pt idx="1357">
                  <c:v>27.698998950000004</c:v>
                </c:pt>
                <c:pt idx="1358">
                  <c:v>27.698998950000004</c:v>
                </c:pt>
                <c:pt idx="1359">
                  <c:v>27.698998950000004</c:v>
                </c:pt>
                <c:pt idx="1360">
                  <c:v>27.698998950000004</c:v>
                </c:pt>
                <c:pt idx="1361">
                  <c:v>27.698998950000004</c:v>
                </c:pt>
                <c:pt idx="1362">
                  <c:v>27.698998950000004</c:v>
                </c:pt>
                <c:pt idx="1363">
                  <c:v>27.698998950000004</c:v>
                </c:pt>
                <c:pt idx="1364">
                  <c:v>27.698998950000004</c:v>
                </c:pt>
                <c:pt idx="1365">
                  <c:v>27.698998950000004</c:v>
                </c:pt>
                <c:pt idx="1366">
                  <c:v>27.698998950000004</c:v>
                </c:pt>
                <c:pt idx="1367">
                  <c:v>27.698998950000004</c:v>
                </c:pt>
                <c:pt idx="1368">
                  <c:v>27.698998950000004</c:v>
                </c:pt>
                <c:pt idx="1369">
                  <c:v>27.698998950000004</c:v>
                </c:pt>
                <c:pt idx="1370">
                  <c:v>27.698998950000004</c:v>
                </c:pt>
                <c:pt idx="1371">
                  <c:v>27.698998950000004</c:v>
                </c:pt>
                <c:pt idx="1372">
                  <c:v>27.698998950000004</c:v>
                </c:pt>
                <c:pt idx="1373">
                  <c:v>27.698998950000004</c:v>
                </c:pt>
                <c:pt idx="1374">
                  <c:v>27.698998950000004</c:v>
                </c:pt>
                <c:pt idx="1375">
                  <c:v>27.698998950000004</c:v>
                </c:pt>
                <c:pt idx="1376">
                  <c:v>27.698998950000004</c:v>
                </c:pt>
                <c:pt idx="1377">
                  <c:v>27.698998950000004</c:v>
                </c:pt>
                <c:pt idx="1378">
                  <c:v>27.698998950000004</c:v>
                </c:pt>
                <c:pt idx="1379">
                  <c:v>27.698998950000004</c:v>
                </c:pt>
                <c:pt idx="1380">
                  <c:v>27.698998950000004</c:v>
                </c:pt>
                <c:pt idx="1381">
                  <c:v>27.698998950000004</c:v>
                </c:pt>
                <c:pt idx="1382">
                  <c:v>27.698998950000004</c:v>
                </c:pt>
                <c:pt idx="1383">
                  <c:v>27.698998950000004</c:v>
                </c:pt>
                <c:pt idx="1384">
                  <c:v>27.698998950000004</c:v>
                </c:pt>
                <c:pt idx="1385">
                  <c:v>27.698998950000004</c:v>
                </c:pt>
                <c:pt idx="1386">
                  <c:v>27.698998950000004</c:v>
                </c:pt>
                <c:pt idx="1387">
                  <c:v>27.698998950000004</c:v>
                </c:pt>
                <c:pt idx="1388">
                  <c:v>27.698998950000004</c:v>
                </c:pt>
                <c:pt idx="1389">
                  <c:v>27.698998950000004</c:v>
                </c:pt>
                <c:pt idx="1390">
                  <c:v>27.698998950000004</c:v>
                </c:pt>
                <c:pt idx="1391">
                  <c:v>27.698998950000004</c:v>
                </c:pt>
                <c:pt idx="1392">
                  <c:v>27.698998950000004</c:v>
                </c:pt>
                <c:pt idx="1393">
                  <c:v>27.698998950000004</c:v>
                </c:pt>
                <c:pt idx="1394">
                  <c:v>27.698998950000004</c:v>
                </c:pt>
                <c:pt idx="1395">
                  <c:v>27.698998950000004</c:v>
                </c:pt>
                <c:pt idx="1396">
                  <c:v>27.698998950000004</c:v>
                </c:pt>
                <c:pt idx="1397">
                  <c:v>27.698998950000004</c:v>
                </c:pt>
                <c:pt idx="1398">
                  <c:v>27.698998950000004</c:v>
                </c:pt>
                <c:pt idx="1399">
                  <c:v>27.698998950000004</c:v>
                </c:pt>
                <c:pt idx="1400">
                  <c:v>27.698998950000004</c:v>
                </c:pt>
                <c:pt idx="1401">
                  <c:v>27.698998950000004</c:v>
                </c:pt>
                <c:pt idx="1402">
                  <c:v>27.698998950000004</c:v>
                </c:pt>
                <c:pt idx="1403">
                  <c:v>27.698998950000004</c:v>
                </c:pt>
                <c:pt idx="1404">
                  <c:v>27.698998950000004</c:v>
                </c:pt>
                <c:pt idx="1405">
                  <c:v>27.698998950000004</c:v>
                </c:pt>
                <c:pt idx="1406">
                  <c:v>27.698998950000004</c:v>
                </c:pt>
                <c:pt idx="1407">
                  <c:v>27.698998950000004</c:v>
                </c:pt>
                <c:pt idx="1408">
                  <c:v>27.698998950000004</c:v>
                </c:pt>
                <c:pt idx="1409">
                  <c:v>27.698998950000004</c:v>
                </c:pt>
                <c:pt idx="1410">
                  <c:v>27.698998950000004</c:v>
                </c:pt>
                <c:pt idx="1411">
                  <c:v>27.698998950000004</c:v>
                </c:pt>
                <c:pt idx="1412">
                  <c:v>27.698998950000004</c:v>
                </c:pt>
                <c:pt idx="1413">
                  <c:v>27.698998950000004</c:v>
                </c:pt>
                <c:pt idx="1414">
                  <c:v>27.698998950000004</c:v>
                </c:pt>
                <c:pt idx="1415">
                  <c:v>27.698998950000004</c:v>
                </c:pt>
                <c:pt idx="1416">
                  <c:v>27.698998950000004</c:v>
                </c:pt>
                <c:pt idx="1417">
                  <c:v>27.698998950000004</c:v>
                </c:pt>
                <c:pt idx="1418">
                  <c:v>27.698998950000004</c:v>
                </c:pt>
                <c:pt idx="1419">
                  <c:v>27.698998950000004</c:v>
                </c:pt>
                <c:pt idx="1420">
                  <c:v>27.698998950000004</c:v>
                </c:pt>
                <c:pt idx="1421">
                  <c:v>27.698998950000004</c:v>
                </c:pt>
                <c:pt idx="1422">
                  <c:v>27.698998950000004</c:v>
                </c:pt>
                <c:pt idx="1423">
                  <c:v>27.698998950000004</c:v>
                </c:pt>
                <c:pt idx="1424">
                  <c:v>27.698998950000004</c:v>
                </c:pt>
                <c:pt idx="1425">
                  <c:v>27.698998950000004</c:v>
                </c:pt>
                <c:pt idx="1426">
                  <c:v>27.698998950000004</c:v>
                </c:pt>
                <c:pt idx="1427">
                  <c:v>27.698998950000004</c:v>
                </c:pt>
                <c:pt idx="1428">
                  <c:v>27.698998950000004</c:v>
                </c:pt>
                <c:pt idx="1429">
                  <c:v>27.698998950000004</c:v>
                </c:pt>
                <c:pt idx="1430">
                  <c:v>27.698998950000004</c:v>
                </c:pt>
                <c:pt idx="1431">
                  <c:v>27.698998950000004</c:v>
                </c:pt>
                <c:pt idx="1432">
                  <c:v>27.698998950000004</c:v>
                </c:pt>
                <c:pt idx="1433">
                  <c:v>27.698998950000004</c:v>
                </c:pt>
                <c:pt idx="1434">
                  <c:v>27.698998950000004</c:v>
                </c:pt>
                <c:pt idx="1435">
                  <c:v>27.698998950000004</c:v>
                </c:pt>
                <c:pt idx="1436">
                  <c:v>27.698998950000004</c:v>
                </c:pt>
                <c:pt idx="1437">
                  <c:v>27.698998950000004</c:v>
                </c:pt>
                <c:pt idx="1438">
                  <c:v>27.698998950000004</c:v>
                </c:pt>
                <c:pt idx="1439">
                  <c:v>27.698998950000004</c:v>
                </c:pt>
                <c:pt idx="1440">
                  <c:v>27.698998950000004</c:v>
                </c:pt>
                <c:pt idx="1441">
                  <c:v>27.698998950000004</c:v>
                </c:pt>
                <c:pt idx="1442">
                  <c:v>27.698998950000004</c:v>
                </c:pt>
                <c:pt idx="1443">
                  <c:v>27.698998950000004</c:v>
                </c:pt>
                <c:pt idx="1444">
                  <c:v>27.698998950000004</c:v>
                </c:pt>
                <c:pt idx="1445">
                  <c:v>27.698998950000004</c:v>
                </c:pt>
                <c:pt idx="1446">
                  <c:v>27.698998950000004</c:v>
                </c:pt>
                <c:pt idx="1447">
                  <c:v>27.698998950000004</c:v>
                </c:pt>
                <c:pt idx="1448">
                  <c:v>27.698998950000004</c:v>
                </c:pt>
                <c:pt idx="1449">
                  <c:v>27.698998950000004</c:v>
                </c:pt>
                <c:pt idx="1450">
                  <c:v>27.698998950000004</c:v>
                </c:pt>
                <c:pt idx="1451">
                  <c:v>27.698998950000004</c:v>
                </c:pt>
                <c:pt idx="1452">
                  <c:v>27.698998950000004</c:v>
                </c:pt>
                <c:pt idx="1453">
                  <c:v>27.698998950000004</c:v>
                </c:pt>
                <c:pt idx="1454">
                  <c:v>27.698998950000004</c:v>
                </c:pt>
                <c:pt idx="1455">
                  <c:v>27.698998950000004</c:v>
                </c:pt>
                <c:pt idx="1456">
                  <c:v>27.698998950000004</c:v>
                </c:pt>
                <c:pt idx="1457">
                  <c:v>27.698998950000004</c:v>
                </c:pt>
                <c:pt idx="1458">
                  <c:v>27.698998950000004</c:v>
                </c:pt>
                <c:pt idx="1459">
                  <c:v>27.698998950000004</c:v>
                </c:pt>
                <c:pt idx="1460">
                  <c:v>27.698998950000004</c:v>
                </c:pt>
                <c:pt idx="1461">
                  <c:v>27.698998950000004</c:v>
                </c:pt>
                <c:pt idx="1462">
                  <c:v>27.698998950000004</c:v>
                </c:pt>
                <c:pt idx="1463">
                  <c:v>27.698998950000004</c:v>
                </c:pt>
                <c:pt idx="1464">
                  <c:v>27.698998950000004</c:v>
                </c:pt>
                <c:pt idx="1465">
                  <c:v>27.698998950000004</c:v>
                </c:pt>
                <c:pt idx="1466">
                  <c:v>27.698998950000004</c:v>
                </c:pt>
                <c:pt idx="1467">
                  <c:v>27.698998950000004</c:v>
                </c:pt>
                <c:pt idx="1468">
                  <c:v>27.698998950000004</c:v>
                </c:pt>
                <c:pt idx="1469">
                  <c:v>27.698998950000004</c:v>
                </c:pt>
                <c:pt idx="1470">
                  <c:v>27.698998950000004</c:v>
                </c:pt>
                <c:pt idx="1471">
                  <c:v>27.698998950000004</c:v>
                </c:pt>
                <c:pt idx="1472">
                  <c:v>27.698998950000004</c:v>
                </c:pt>
                <c:pt idx="1473">
                  <c:v>27.698998950000004</c:v>
                </c:pt>
                <c:pt idx="1474">
                  <c:v>27.698998950000004</c:v>
                </c:pt>
                <c:pt idx="1475">
                  <c:v>27.698998950000004</c:v>
                </c:pt>
                <c:pt idx="1476">
                  <c:v>27.698998950000004</c:v>
                </c:pt>
                <c:pt idx="1477">
                  <c:v>27.698998950000004</c:v>
                </c:pt>
                <c:pt idx="1478">
                  <c:v>27.698998950000004</c:v>
                </c:pt>
                <c:pt idx="1479">
                  <c:v>27.698998950000004</c:v>
                </c:pt>
                <c:pt idx="1480">
                  <c:v>27.698998950000004</c:v>
                </c:pt>
                <c:pt idx="1481">
                  <c:v>27.698998950000004</c:v>
                </c:pt>
                <c:pt idx="1482">
                  <c:v>27.698998950000004</c:v>
                </c:pt>
                <c:pt idx="1483">
                  <c:v>27.698998950000004</c:v>
                </c:pt>
                <c:pt idx="1484">
                  <c:v>27.698998950000004</c:v>
                </c:pt>
                <c:pt idx="1485">
                  <c:v>27.698998950000004</c:v>
                </c:pt>
                <c:pt idx="1486">
                  <c:v>27.698998950000004</c:v>
                </c:pt>
                <c:pt idx="1487">
                  <c:v>27.698998950000004</c:v>
                </c:pt>
                <c:pt idx="1488">
                  <c:v>27.698998950000004</c:v>
                </c:pt>
                <c:pt idx="1489">
                  <c:v>27.698998950000004</c:v>
                </c:pt>
                <c:pt idx="1490">
                  <c:v>27.698998950000004</c:v>
                </c:pt>
                <c:pt idx="1491">
                  <c:v>27.698998950000004</c:v>
                </c:pt>
                <c:pt idx="1492">
                  <c:v>27.698998950000004</c:v>
                </c:pt>
                <c:pt idx="1493">
                  <c:v>27.698998950000004</c:v>
                </c:pt>
                <c:pt idx="1494">
                  <c:v>27.698998950000004</c:v>
                </c:pt>
                <c:pt idx="1495">
                  <c:v>27.698998950000004</c:v>
                </c:pt>
                <c:pt idx="1496">
                  <c:v>27.698998950000004</c:v>
                </c:pt>
                <c:pt idx="1497">
                  <c:v>27.698998950000004</c:v>
                </c:pt>
                <c:pt idx="1498">
                  <c:v>27.698998950000004</c:v>
                </c:pt>
                <c:pt idx="1499">
                  <c:v>27.698998950000004</c:v>
                </c:pt>
                <c:pt idx="1500">
                  <c:v>27.698998950000004</c:v>
                </c:pt>
                <c:pt idx="1501">
                  <c:v>27.698998950000004</c:v>
                </c:pt>
                <c:pt idx="1502">
                  <c:v>27.698998950000004</c:v>
                </c:pt>
                <c:pt idx="1503">
                  <c:v>27.698998950000004</c:v>
                </c:pt>
                <c:pt idx="1504">
                  <c:v>27.698998950000004</c:v>
                </c:pt>
                <c:pt idx="1505">
                  <c:v>27.698998950000004</c:v>
                </c:pt>
                <c:pt idx="1506">
                  <c:v>27.698998950000004</c:v>
                </c:pt>
                <c:pt idx="1507">
                  <c:v>27.698998950000004</c:v>
                </c:pt>
                <c:pt idx="1508">
                  <c:v>27.698998950000004</c:v>
                </c:pt>
                <c:pt idx="1509">
                  <c:v>27.698998950000004</c:v>
                </c:pt>
                <c:pt idx="1510">
                  <c:v>27.698998950000004</c:v>
                </c:pt>
                <c:pt idx="1511">
                  <c:v>27.698998950000004</c:v>
                </c:pt>
                <c:pt idx="1512">
                  <c:v>27.698998950000004</c:v>
                </c:pt>
                <c:pt idx="1513">
                  <c:v>27.698998950000004</c:v>
                </c:pt>
                <c:pt idx="1514">
                  <c:v>27.698998950000004</c:v>
                </c:pt>
                <c:pt idx="1515">
                  <c:v>27.698998950000004</c:v>
                </c:pt>
                <c:pt idx="1516">
                  <c:v>27.698998950000004</c:v>
                </c:pt>
                <c:pt idx="1517">
                  <c:v>27.698998950000004</c:v>
                </c:pt>
                <c:pt idx="1518">
                  <c:v>27.698998950000004</c:v>
                </c:pt>
                <c:pt idx="1519">
                  <c:v>27.698998950000004</c:v>
                </c:pt>
                <c:pt idx="1520">
                  <c:v>27.698998950000004</c:v>
                </c:pt>
                <c:pt idx="1521">
                  <c:v>27.698998950000004</c:v>
                </c:pt>
                <c:pt idx="1522">
                  <c:v>27.698998950000004</c:v>
                </c:pt>
                <c:pt idx="1523">
                  <c:v>27.698998950000004</c:v>
                </c:pt>
                <c:pt idx="1524">
                  <c:v>27.698998950000004</c:v>
                </c:pt>
                <c:pt idx="1525">
                  <c:v>27.698998950000004</c:v>
                </c:pt>
                <c:pt idx="1526">
                  <c:v>27.698998950000004</c:v>
                </c:pt>
                <c:pt idx="1527">
                  <c:v>27.698998950000004</c:v>
                </c:pt>
                <c:pt idx="1528">
                  <c:v>27.698998950000004</c:v>
                </c:pt>
                <c:pt idx="1529">
                  <c:v>27.698998950000004</c:v>
                </c:pt>
                <c:pt idx="1530">
                  <c:v>27.698998950000004</c:v>
                </c:pt>
                <c:pt idx="1531">
                  <c:v>27.698998950000004</c:v>
                </c:pt>
                <c:pt idx="1532">
                  <c:v>27.698998950000004</c:v>
                </c:pt>
                <c:pt idx="1533">
                  <c:v>27.698998950000004</c:v>
                </c:pt>
                <c:pt idx="1534">
                  <c:v>27.698998950000004</c:v>
                </c:pt>
                <c:pt idx="1535">
                  <c:v>27.698998950000004</c:v>
                </c:pt>
                <c:pt idx="1536">
                  <c:v>27.698998950000004</c:v>
                </c:pt>
                <c:pt idx="1537">
                  <c:v>27.698998950000004</c:v>
                </c:pt>
                <c:pt idx="1538">
                  <c:v>27.698998950000004</c:v>
                </c:pt>
                <c:pt idx="1539">
                  <c:v>27.698998950000004</c:v>
                </c:pt>
                <c:pt idx="1540">
                  <c:v>27.698998950000004</c:v>
                </c:pt>
                <c:pt idx="1541">
                  <c:v>27.698998950000004</c:v>
                </c:pt>
                <c:pt idx="1542">
                  <c:v>27.698998950000004</c:v>
                </c:pt>
                <c:pt idx="1543">
                  <c:v>27.698998950000004</c:v>
                </c:pt>
                <c:pt idx="1544">
                  <c:v>27.698998950000004</c:v>
                </c:pt>
                <c:pt idx="1545">
                  <c:v>27.698998950000004</c:v>
                </c:pt>
                <c:pt idx="1546">
                  <c:v>27.698998950000004</c:v>
                </c:pt>
                <c:pt idx="1547">
                  <c:v>27.698998950000004</c:v>
                </c:pt>
                <c:pt idx="1548">
                  <c:v>27.698998950000004</c:v>
                </c:pt>
                <c:pt idx="1549">
                  <c:v>27.698998950000004</c:v>
                </c:pt>
                <c:pt idx="1550">
                  <c:v>27.698998950000004</c:v>
                </c:pt>
                <c:pt idx="1551">
                  <c:v>27.698998950000004</c:v>
                </c:pt>
                <c:pt idx="1552">
                  <c:v>27.698998950000004</c:v>
                </c:pt>
                <c:pt idx="1553">
                  <c:v>27.698998950000004</c:v>
                </c:pt>
                <c:pt idx="1554">
                  <c:v>27.698998950000004</c:v>
                </c:pt>
                <c:pt idx="1555">
                  <c:v>27.698998950000004</c:v>
                </c:pt>
                <c:pt idx="1556">
                  <c:v>27.698998950000004</c:v>
                </c:pt>
                <c:pt idx="1557">
                  <c:v>27.698998950000004</c:v>
                </c:pt>
                <c:pt idx="1558">
                  <c:v>27.698998950000004</c:v>
                </c:pt>
                <c:pt idx="1559">
                  <c:v>27.698998950000004</c:v>
                </c:pt>
                <c:pt idx="1560">
                  <c:v>27.698998950000004</c:v>
                </c:pt>
                <c:pt idx="1561">
                  <c:v>27.698998950000004</c:v>
                </c:pt>
                <c:pt idx="1562">
                  <c:v>27.698998950000004</c:v>
                </c:pt>
                <c:pt idx="1563">
                  <c:v>27.698998950000004</c:v>
                </c:pt>
                <c:pt idx="1564">
                  <c:v>27.698998950000004</c:v>
                </c:pt>
                <c:pt idx="1565">
                  <c:v>27.698998950000004</c:v>
                </c:pt>
                <c:pt idx="1566">
                  <c:v>27.698998950000004</c:v>
                </c:pt>
                <c:pt idx="1567">
                  <c:v>27.698998950000004</c:v>
                </c:pt>
                <c:pt idx="1568">
                  <c:v>27.698998950000004</c:v>
                </c:pt>
                <c:pt idx="1569">
                  <c:v>27.698998950000004</c:v>
                </c:pt>
                <c:pt idx="1570">
                  <c:v>27.698998950000004</c:v>
                </c:pt>
                <c:pt idx="1571">
                  <c:v>27.698998950000004</c:v>
                </c:pt>
                <c:pt idx="1572">
                  <c:v>27.698998950000004</c:v>
                </c:pt>
                <c:pt idx="1573">
                  <c:v>27.698998950000004</c:v>
                </c:pt>
                <c:pt idx="1574">
                  <c:v>27.698998950000004</c:v>
                </c:pt>
                <c:pt idx="1575">
                  <c:v>27.698998950000004</c:v>
                </c:pt>
                <c:pt idx="1576">
                  <c:v>27.698998950000004</c:v>
                </c:pt>
                <c:pt idx="1577">
                  <c:v>27.698998950000004</c:v>
                </c:pt>
                <c:pt idx="1578">
                  <c:v>27.698998950000004</c:v>
                </c:pt>
                <c:pt idx="1579">
                  <c:v>27.698998950000004</c:v>
                </c:pt>
                <c:pt idx="1580">
                  <c:v>27.698998950000004</c:v>
                </c:pt>
                <c:pt idx="1581">
                  <c:v>27.698998950000004</c:v>
                </c:pt>
                <c:pt idx="1582">
                  <c:v>27.698998950000004</c:v>
                </c:pt>
                <c:pt idx="1583">
                  <c:v>27.698998950000004</c:v>
                </c:pt>
                <c:pt idx="1584">
                  <c:v>27.698998950000004</c:v>
                </c:pt>
                <c:pt idx="1585">
                  <c:v>27.698998950000004</c:v>
                </c:pt>
                <c:pt idx="1586">
                  <c:v>27.698998950000004</c:v>
                </c:pt>
                <c:pt idx="1587">
                  <c:v>27.698998950000004</c:v>
                </c:pt>
                <c:pt idx="1588">
                  <c:v>27.698998950000004</c:v>
                </c:pt>
                <c:pt idx="1589">
                  <c:v>27.698998950000004</c:v>
                </c:pt>
                <c:pt idx="1590">
                  <c:v>27.698998950000004</c:v>
                </c:pt>
                <c:pt idx="1591">
                  <c:v>27.698998950000004</c:v>
                </c:pt>
                <c:pt idx="1592">
                  <c:v>27.698998950000004</c:v>
                </c:pt>
                <c:pt idx="1593">
                  <c:v>27.698998950000004</c:v>
                </c:pt>
                <c:pt idx="1594">
                  <c:v>27.698998950000004</c:v>
                </c:pt>
                <c:pt idx="1595">
                  <c:v>27.698998950000004</c:v>
                </c:pt>
                <c:pt idx="1596">
                  <c:v>27.698998950000004</c:v>
                </c:pt>
                <c:pt idx="1597">
                  <c:v>27.698998950000004</c:v>
                </c:pt>
                <c:pt idx="1598">
                  <c:v>27.698998950000004</c:v>
                </c:pt>
                <c:pt idx="1599">
                  <c:v>27.698998950000004</c:v>
                </c:pt>
                <c:pt idx="1600">
                  <c:v>27.698998950000004</c:v>
                </c:pt>
                <c:pt idx="1601">
                  <c:v>27.698998950000004</c:v>
                </c:pt>
                <c:pt idx="1602">
                  <c:v>27.698998950000004</c:v>
                </c:pt>
                <c:pt idx="1603">
                  <c:v>27.698998950000004</c:v>
                </c:pt>
                <c:pt idx="1604">
                  <c:v>27.698998950000004</c:v>
                </c:pt>
                <c:pt idx="1605">
                  <c:v>27.698998950000004</c:v>
                </c:pt>
                <c:pt idx="1606">
                  <c:v>27.698998950000004</c:v>
                </c:pt>
                <c:pt idx="1607">
                  <c:v>27.698998950000004</c:v>
                </c:pt>
                <c:pt idx="1608">
                  <c:v>27.698998950000004</c:v>
                </c:pt>
                <c:pt idx="1609">
                  <c:v>27.698998950000004</c:v>
                </c:pt>
                <c:pt idx="1610">
                  <c:v>27.698998950000004</c:v>
                </c:pt>
                <c:pt idx="1611">
                  <c:v>27.698998950000004</c:v>
                </c:pt>
                <c:pt idx="1612">
                  <c:v>27.698998950000004</c:v>
                </c:pt>
                <c:pt idx="1613">
                  <c:v>27.698998950000004</c:v>
                </c:pt>
                <c:pt idx="1614">
                  <c:v>27.698998950000004</c:v>
                </c:pt>
                <c:pt idx="1615">
                  <c:v>27.698998950000004</c:v>
                </c:pt>
                <c:pt idx="1616">
                  <c:v>27.698998950000004</c:v>
                </c:pt>
                <c:pt idx="1617">
                  <c:v>27.698998950000004</c:v>
                </c:pt>
                <c:pt idx="1618">
                  <c:v>27.698998950000004</c:v>
                </c:pt>
                <c:pt idx="1619">
                  <c:v>27.698998950000004</c:v>
                </c:pt>
                <c:pt idx="1620">
                  <c:v>27.698998950000004</c:v>
                </c:pt>
                <c:pt idx="1621">
                  <c:v>27.698998950000004</c:v>
                </c:pt>
                <c:pt idx="1622">
                  <c:v>27.698998950000004</c:v>
                </c:pt>
                <c:pt idx="1623">
                  <c:v>27.698998950000004</c:v>
                </c:pt>
                <c:pt idx="1624">
                  <c:v>27.698998950000004</c:v>
                </c:pt>
                <c:pt idx="1625">
                  <c:v>27.698998950000004</c:v>
                </c:pt>
                <c:pt idx="1626">
                  <c:v>27.698998950000004</c:v>
                </c:pt>
                <c:pt idx="1627">
                  <c:v>27.698998950000004</c:v>
                </c:pt>
                <c:pt idx="1628">
                  <c:v>27.698998950000004</c:v>
                </c:pt>
                <c:pt idx="1629">
                  <c:v>27.698998950000004</c:v>
                </c:pt>
                <c:pt idx="1630">
                  <c:v>27.698998950000004</c:v>
                </c:pt>
                <c:pt idx="1631">
                  <c:v>27.698998950000004</c:v>
                </c:pt>
                <c:pt idx="1632">
                  <c:v>27.698998950000004</c:v>
                </c:pt>
                <c:pt idx="1633">
                  <c:v>27.698998950000004</c:v>
                </c:pt>
                <c:pt idx="1634">
                  <c:v>27.698998950000004</c:v>
                </c:pt>
                <c:pt idx="1635">
                  <c:v>27.698998950000004</c:v>
                </c:pt>
                <c:pt idx="1636">
                  <c:v>27.698998950000004</c:v>
                </c:pt>
                <c:pt idx="1637">
                  <c:v>27.698998950000004</c:v>
                </c:pt>
                <c:pt idx="1638">
                  <c:v>27.698998950000004</c:v>
                </c:pt>
                <c:pt idx="1639">
                  <c:v>27.698998950000004</c:v>
                </c:pt>
                <c:pt idx="1640">
                  <c:v>27.698998950000004</c:v>
                </c:pt>
                <c:pt idx="1641">
                  <c:v>27.698998950000004</c:v>
                </c:pt>
                <c:pt idx="1642">
                  <c:v>27.698998950000004</c:v>
                </c:pt>
                <c:pt idx="1643">
                  <c:v>27.698998950000004</c:v>
                </c:pt>
                <c:pt idx="1644">
                  <c:v>27.698998950000004</c:v>
                </c:pt>
                <c:pt idx="1645">
                  <c:v>27.698998950000004</c:v>
                </c:pt>
                <c:pt idx="1646">
                  <c:v>27.698998950000004</c:v>
                </c:pt>
                <c:pt idx="1647">
                  <c:v>27.698998950000004</c:v>
                </c:pt>
                <c:pt idx="1648">
                  <c:v>27.698998950000004</c:v>
                </c:pt>
                <c:pt idx="1649">
                  <c:v>27.698998950000004</c:v>
                </c:pt>
                <c:pt idx="1650">
                  <c:v>27.698998950000004</c:v>
                </c:pt>
                <c:pt idx="1651">
                  <c:v>27.698998950000004</c:v>
                </c:pt>
                <c:pt idx="1652">
                  <c:v>27.698998950000004</c:v>
                </c:pt>
                <c:pt idx="1653">
                  <c:v>27.698998950000004</c:v>
                </c:pt>
                <c:pt idx="1654">
                  <c:v>27.698998950000004</c:v>
                </c:pt>
                <c:pt idx="1655">
                  <c:v>27.698998950000004</c:v>
                </c:pt>
                <c:pt idx="1656">
                  <c:v>27.698998950000004</c:v>
                </c:pt>
                <c:pt idx="1657">
                  <c:v>27.698998950000004</c:v>
                </c:pt>
                <c:pt idx="1658">
                  <c:v>27.698998950000004</c:v>
                </c:pt>
                <c:pt idx="1659">
                  <c:v>27.698998950000004</c:v>
                </c:pt>
                <c:pt idx="1660">
                  <c:v>27.698998950000004</c:v>
                </c:pt>
                <c:pt idx="1661">
                  <c:v>27.698998950000004</c:v>
                </c:pt>
                <c:pt idx="1662">
                  <c:v>27.698998950000004</c:v>
                </c:pt>
                <c:pt idx="1663">
                  <c:v>27.698998950000004</c:v>
                </c:pt>
                <c:pt idx="1664">
                  <c:v>27.698998950000004</c:v>
                </c:pt>
                <c:pt idx="1665">
                  <c:v>27.698998950000004</c:v>
                </c:pt>
                <c:pt idx="1666">
                  <c:v>27.698998950000004</c:v>
                </c:pt>
                <c:pt idx="1667">
                  <c:v>27.698998950000004</c:v>
                </c:pt>
                <c:pt idx="1668">
                  <c:v>27.698998950000004</c:v>
                </c:pt>
                <c:pt idx="1669">
                  <c:v>27.698998950000004</c:v>
                </c:pt>
                <c:pt idx="1670">
                  <c:v>27.698998950000004</c:v>
                </c:pt>
                <c:pt idx="1671">
                  <c:v>27.698998950000004</c:v>
                </c:pt>
                <c:pt idx="1672">
                  <c:v>27.698998950000004</c:v>
                </c:pt>
                <c:pt idx="1673">
                  <c:v>27.698998950000004</c:v>
                </c:pt>
                <c:pt idx="1674">
                  <c:v>27.698998950000004</c:v>
                </c:pt>
                <c:pt idx="1675">
                  <c:v>27.698998950000004</c:v>
                </c:pt>
                <c:pt idx="1676">
                  <c:v>27.698998950000004</c:v>
                </c:pt>
                <c:pt idx="1677">
                  <c:v>27.698998950000004</c:v>
                </c:pt>
                <c:pt idx="1678">
                  <c:v>27.698998950000004</c:v>
                </c:pt>
                <c:pt idx="1679">
                  <c:v>27.698998950000004</c:v>
                </c:pt>
                <c:pt idx="1680">
                  <c:v>27.698998950000004</c:v>
                </c:pt>
                <c:pt idx="1681">
                  <c:v>27.698998950000004</c:v>
                </c:pt>
                <c:pt idx="1682">
                  <c:v>27.698998950000004</c:v>
                </c:pt>
                <c:pt idx="1683">
                  <c:v>27.698998950000004</c:v>
                </c:pt>
                <c:pt idx="1684">
                  <c:v>27.698998950000004</c:v>
                </c:pt>
                <c:pt idx="1685">
                  <c:v>27.698998950000004</c:v>
                </c:pt>
                <c:pt idx="1686">
                  <c:v>27.698998950000004</c:v>
                </c:pt>
                <c:pt idx="1687">
                  <c:v>27.698998950000004</c:v>
                </c:pt>
                <c:pt idx="1688">
                  <c:v>27.698998950000004</c:v>
                </c:pt>
                <c:pt idx="1689">
                  <c:v>27.698998950000004</c:v>
                </c:pt>
                <c:pt idx="1690">
                  <c:v>27.698998950000004</c:v>
                </c:pt>
                <c:pt idx="1691">
                  <c:v>27.698998950000004</c:v>
                </c:pt>
                <c:pt idx="1692">
                  <c:v>27.698998950000004</c:v>
                </c:pt>
                <c:pt idx="1693">
                  <c:v>27.698998950000004</c:v>
                </c:pt>
                <c:pt idx="1694">
                  <c:v>27.698998950000004</c:v>
                </c:pt>
                <c:pt idx="1695">
                  <c:v>27.698998950000004</c:v>
                </c:pt>
                <c:pt idx="1696">
                  <c:v>27.698998950000004</c:v>
                </c:pt>
                <c:pt idx="1697">
                  <c:v>27.698998950000004</c:v>
                </c:pt>
                <c:pt idx="1698">
                  <c:v>27.698998950000004</c:v>
                </c:pt>
                <c:pt idx="1699">
                  <c:v>27.698998950000004</c:v>
                </c:pt>
                <c:pt idx="1700">
                  <c:v>27.698998950000004</c:v>
                </c:pt>
                <c:pt idx="1701">
                  <c:v>27.698998950000004</c:v>
                </c:pt>
                <c:pt idx="1702">
                  <c:v>27.698998950000004</c:v>
                </c:pt>
                <c:pt idx="1703">
                  <c:v>27.698998950000004</c:v>
                </c:pt>
                <c:pt idx="1704">
                  <c:v>27.698998950000004</c:v>
                </c:pt>
                <c:pt idx="1705">
                  <c:v>27.698998950000004</c:v>
                </c:pt>
                <c:pt idx="1706">
                  <c:v>27.698998950000004</c:v>
                </c:pt>
                <c:pt idx="1707">
                  <c:v>27.698998950000004</c:v>
                </c:pt>
                <c:pt idx="1708">
                  <c:v>27.698998950000004</c:v>
                </c:pt>
                <c:pt idx="1709">
                  <c:v>27.698998950000004</c:v>
                </c:pt>
                <c:pt idx="1710">
                  <c:v>27.698998950000004</c:v>
                </c:pt>
                <c:pt idx="1711">
                  <c:v>27.698998950000004</c:v>
                </c:pt>
                <c:pt idx="1712">
                  <c:v>27.698998950000004</c:v>
                </c:pt>
                <c:pt idx="1713">
                  <c:v>27.698998950000004</c:v>
                </c:pt>
                <c:pt idx="1714">
                  <c:v>27.698998950000004</c:v>
                </c:pt>
                <c:pt idx="1715">
                  <c:v>27.698998950000004</c:v>
                </c:pt>
                <c:pt idx="1716">
                  <c:v>27.698998950000004</c:v>
                </c:pt>
                <c:pt idx="1717">
                  <c:v>27.698998950000004</c:v>
                </c:pt>
                <c:pt idx="1718">
                  <c:v>27.698998950000004</c:v>
                </c:pt>
                <c:pt idx="1719">
                  <c:v>27.698998950000004</c:v>
                </c:pt>
                <c:pt idx="1720">
                  <c:v>27.698998950000004</c:v>
                </c:pt>
                <c:pt idx="1721">
                  <c:v>27.698998950000004</c:v>
                </c:pt>
                <c:pt idx="1722">
                  <c:v>27.698998950000004</c:v>
                </c:pt>
                <c:pt idx="1723">
                  <c:v>27.698998950000004</c:v>
                </c:pt>
                <c:pt idx="1724">
                  <c:v>27.698998950000004</c:v>
                </c:pt>
                <c:pt idx="1725">
                  <c:v>27.698998950000004</c:v>
                </c:pt>
                <c:pt idx="1726">
                  <c:v>27.698998950000004</c:v>
                </c:pt>
                <c:pt idx="1727">
                  <c:v>27.698998950000004</c:v>
                </c:pt>
                <c:pt idx="1728">
                  <c:v>27.698998950000004</c:v>
                </c:pt>
                <c:pt idx="1729">
                  <c:v>27.698998950000004</c:v>
                </c:pt>
                <c:pt idx="1730">
                  <c:v>27.698998950000004</c:v>
                </c:pt>
                <c:pt idx="1731">
                  <c:v>27.698998950000004</c:v>
                </c:pt>
                <c:pt idx="1732">
                  <c:v>27.698998950000004</c:v>
                </c:pt>
                <c:pt idx="1733">
                  <c:v>27.698998950000004</c:v>
                </c:pt>
                <c:pt idx="1734">
                  <c:v>27.698998950000004</c:v>
                </c:pt>
                <c:pt idx="1735">
                  <c:v>27.698998950000004</c:v>
                </c:pt>
                <c:pt idx="1736">
                  <c:v>27.698998950000004</c:v>
                </c:pt>
                <c:pt idx="1737">
                  <c:v>27.698998950000004</c:v>
                </c:pt>
                <c:pt idx="1738">
                  <c:v>27.698998950000004</c:v>
                </c:pt>
                <c:pt idx="1739">
                  <c:v>27.698998950000004</c:v>
                </c:pt>
                <c:pt idx="1740">
                  <c:v>27.698998950000004</c:v>
                </c:pt>
                <c:pt idx="1741">
                  <c:v>27.698998950000004</c:v>
                </c:pt>
                <c:pt idx="1742">
                  <c:v>27.698998950000004</c:v>
                </c:pt>
                <c:pt idx="1743">
                  <c:v>27.698998950000004</c:v>
                </c:pt>
                <c:pt idx="1744">
                  <c:v>27.698998950000004</c:v>
                </c:pt>
                <c:pt idx="1745">
                  <c:v>27.698998950000004</c:v>
                </c:pt>
                <c:pt idx="1746">
                  <c:v>27.698998950000004</c:v>
                </c:pt>
                <c:pt idx="1747">
                  <c:v>27.698998950000004</c:v>
                </c:pt>
                <c:pt idx="1748">
                  <c:v>27.698998950000004</c:v>
                </c:pt>
                <c:pt idx="1749">
                  <c:v>27.698998950000004</c:v>
                </c:pt>
                <c:pt idx="1750">
                  <c:v>27.698998950000004</c:v>
                </c:pt>
                <c:pt idx="1751">
                  <c:v>27.698998950000004</c:v>
                </c:pt>
                <c:pt idx="1752">
                  <c:v>27.698998950000004</c:v>
                </c:pt>
                <c:pt idx="1753">
                  <c:v>27.698998950000004</c:v>
                </c:pt>
                <c:pt idx="1754">
                  <c:v>27.698998950000004</c:v>
                </c:pt>
                <c:pt idx="1755">
                  <c:v>27.698998950000004</c:v>
                </c:pt>
                <c:pt idx="1756">
                  <c:v>27.698998950000004</c:v>
                </c:pt>
                <c:pt idx="1757">
                  <c:v>27.698998950000004</c:v>
                </c:pt>
                <c:pt idx="1758">
                  <c:v>27.698998950000004</c:v>
                </c:pt>
                <c:pt idx="1759">
                  <c:v>27.698998950000004</c:v>
                </c:pt>
                <c:pt idx="1760">
                  <c:v>27.698998950000004</c:v>
                </c:pt>
                <c:pt idx="1761">
                  <c:v>27.698998950000004</c:v>
                </c:pt>
                <c:pt idx="1762">
                  <c:v>27.698998950000004</c:v>
                </c:pt>
                <c:pt idx="1763">
                  <c:v>27.698998950000004</c:v>
                </c:pt>
                <c:pt idx="1764">
                  <c:v>27.698998950000004</c:v>
                </c:pt>
                <c:pt idx="1765">
                  <c:v>27.698998950000004</c:v>
                </c:pt>
                <c:pt idx="1766">
                  <c:v>27.698998950000004</c:v>
                </c:pt>
                <c:pt idx="1767">
                  <c:v>27.698998950000004</c:v>
                </c:pt>
                <c:pt idx="1768">
                  <c:v>27.698998950000004</c:v>
                </c:pt>
                <c:pt idx="1769">
                  <c:v>27.698998950000004</c:v>
                </c:pt>
                <c:pt idx="1770">
                  <c:v>27.698998950000004</c:v>
                </c:pt>
                <c:pt idx="1771">
                  <c:v>27.698998950000004</c:v>
                </c:pt>
                <c:pt idx="1772">
                  <c:v>27.698998950000004</c:v>
                </c:pt>
                <c:pt idx="1773">
                  <c:v>27.698998950000004</c:v>
                </c:pt>
                <c:pt idx="1774">
                  <c:v>27.698998950000004</c:v>
                </c:pt>
                <c:pt idx="1775">
                  <c:v>27.698998950000004</c:v>
                </c:pt>
                <c:pt idx="1776">
                  <c:v>27.698998950000004</c:v>
                </c:pt>
                <c:pt idx="1777">
                  <c:v>27.698998950000004</c:v>
                </c:pt>
                <c:pt idx="1778">
                  <c:v>27.698998950000004</c:v>
                </c:pt>
                <c:pt idx="1779">
                  <c:v>27.698998950000004</c:v>
                </c:pt>
                <c:pt idx="1780">
                  <c:v>27.698998950000004</c:v>
                </c:pt>
                <c:pt idx="1781">
                  <c:v>27.698998950000004</c:v>
                </c:pt>
                <c:pt idx="1782">
                  <c:v>27.698998950000004</c:v>
                </c:pt>
                <c:pt idx="1783">
                  <c:v>27.698998950000004</c:v>
                </c:pt>
                <c:pt idx="1784">
                  <c:v>27.698998950000004</c:v>
                </c:pt>
                <c:pt idx="1785">
                  <c:v>27.698998950000004</c:v>
                </c:pt>
                <c:pt idx="1786">
                  <c:v>27.698998950000004</c:v>
                </c:pt>
                <c:pt idx="1787">
                  <c:v>27.698998950000004</c:v>
                </c:pt>
                <c:pt idx="1788">
                  <c:v>27.698998950000004</c:v>
                </c:pt>
                <c:pt idx="1789">
                  <c:v>27.698998950000004</c:v>
                </c:pt>
                <c:pt idx="1790">
                  <c:v>27.698998950000004</c:v>
                </c:pt>
                <c:pt idx="1791">
                  <c:v>27.698998950000004</c:v>
                </c:pt>
                <c:pt idx="1792">
                  <c:v>27.698998950000004</c:v>
                </c:pt>
                <c:pt idx="1793">
                  <c:v>27.698998950000004</c:v>
                </c:pt>
                <c:pt idx="1794">
                  <c:v>27.698998950000004</c:v>
                </c:pt>
                <c:pt idx="1795">
                  <c:v>27.698998950000004</c:v>
                </c:pt>
                <c:pt idx="1796">
                  <c:v>27.698998950000004</c:v>
                </c:pt>
                <c:pt idx="1797">
                  <c:v>27.698998950000004</c:v>
                </c:pt>
                <c:pt idx="1798">
                  <c:v>27.698998950000004</c:v>
                </c:pt>
                <c:pt idx="1799">
                  <c:v>27.698998950000004</c:v>
                </c:pt>
                <c:pt idx="1800">
                  <c:v>27.698998950000004</c:v>
                </c:pt>
                <c:pt idx="1801">
                  <c:v>27.698998950000004</c:v>
                </c:pt>
                <c:pt idx="1802">
                  <c:v>27.698998950000004</c:v>
                </c:pt>
                <c:pt idx="1803">
                  <c:v>27.698998950000004</c:v>
                </c:pt>
                <c:pt idx="1804">
                  <c:v>27.698998950000004</c:v>
                </c:pt>
                <c:pt idx="1805">
                  <c:v>27.698998950000004</c:v>
                </c:pt>
                <c:pt idx="1806">
                  <c:v>27.698998950000004</c:v>
                </c:pt>
                <c:pt idx="1807">
                  <c:v>27.698998950000004</c:v>
                </c:pt>
                <c:pt idx="1808">
                  <c:v>27.698998950000004</c:v>
                </c:pt>
                <c:pt idx="1809">
                  <c:v>27.698998950000004</c:v>
                </c:pt>
                <c:pt idx="1810">
                  <c:v>27.698998950000004</c:v>
                </c:pt>
                <c:pt idx="1811">
                  <c:v>27.698998950000004</c:v>
                </c:pt>
                <c:pt idx="1812">
                  <c:v>27.698998950000004</c:v>
                </c:pt>
                <c:pt idx="1813">
                  <c:v>27.698998950000004</c:v>
                </c:pt>
                <c:pt idx="1814">
                  <c:v>27.698998950000004</c:v>
                </c:pt>
                <c:pt idx="1815">
                  <c:v>27.698998950000004</c:v>
                </c:pt>
                <c:pt idx="1816">
                  <c:v>27.698998950000004</c:v>
                </c:pt>
                <c:pt idx="1817">
                  <c:v>27.698998950000004</c:v>
                </c:pt>
                <c:pt idx="1818">
                  <c:v>27.698998950000004</c:v>
                </c:pt>
                <c:pt idx="1819">
                  <c:v>27.698998950000004</c:v>
                </c:pt>
                <c:pt idx="1820">
                  <c:v>27.698998950000004</c:v>
                </c:pt>
                <c:pt idx="1821">
                  <c:v>27.698998950000004</c:v>
                </c:pt>
                <c:pt idx="1822">
                  <c:v>27.698998950000004</c:v>
                </c:pt>
                <c:pt idx="1823">
                  <c:v>27.698998950000004</c:v>
                </c:pt>
                <c:pt idx="1824">
                  <c:v>27.698998950000004</c:v>
                </c:pt>
                <c:pt idx="1825">
                  <c:v>27.698998950000004</c:v>
                </c:pt>
                <c:pt idx="1826">
                  <c:v>27.698998950000004</c:v>
                </c:pt>
                <c:pt idx="1827">
                  <c:v>27.698998950000004</c:v>
                </c:pt>
                <c:pt idx="1828">
                  <c:v>27.698998950000004</c:v>
                </c:pt>
                <c:pt idx="1829">
                  <c:v>27.698998950000004</c:v>
                </c:pt>
                <c:pt idx="1830">
                  <c:v>27.698998950000004</c:v>
                </c:pt>
                <c:pt idx="1831">
                  <c:v>27.698998950000004</c:v>
                </c:pt>
                <c:pt idx="1832">
                  <c:v>27.698998950000004</c:v>
                </c:pt>
                <c:pt idx="1833">
                  <c:v>27.698998950000004</c:v>
                </c:pt>
                <c:pt idx="1834">
                  <c:v>27.698998950000004</c:v>
                </c:pt>
                <c:pt idx="1835">
                  <c:v>27.698998950000004</c:v>
                </c:pt>
                <c:pt idx="1836">
                  <c:v>27.698998950000004</c:v>
                </c:pt>
                <c:pt idx="1837">
                  <c:v>27.698998950000004</c:v>
                </c:pt>
                <c:pt idx="1838">
                  <c:v>27.698998950000004</c:v>
                </c:pt>
                <c:pt idx="1839">
                  <c:v>27.698998950000004</c:v>
                </c:pt>
                <c:pt idx="1840">
                  <c:v>27.698998950000004</c:v>
                </c:pt>
                <c:pt idx="1841">
                  <c:v>27.698998950000004</c:v>
                </c:pt>
                <c:pt idx="1842">
                  <c:v>27.698998950000004</c:v>
                </c:pt>
                <c:pt idx="1843">
                  <c:v>27.698998950000004</c:v>
                </c:pt>
                <c:pt idx="1844">
                  <c:v>27.698998950000004</c:v>
                </c:pt>
                <c:pt idx="1845">
                  <c:v>27.698998950000004</c:v>
                </c:pt>
                <c:pt idx="1846">
                  <c:v>27.698998950000004</c:v>
                </c:pt>
                <c:pt idx="1847">
                  <c:v>27.698998950000004</c:v>
                </c:pt>
                <c:pt idx="1848">
                  <c:v>27.698998950000004</c:v>
                </c:pt>
                <c:pt idx="1849">
                  <c:v>27.698998950000004</c:v>
                </c:pt>
                <c:pt idx="1850">
                  <c:v>27.698998950000004</c:v>
                </c:pt>
                <c:pt idx="1851">
                  <c:v>27.698998950000004</c:v>
                </c:pt>
                <c:pt idx="1852">
                  <c:v>27.698998950000004</c:v>
                </c:pt>
                <c:pt idx="1853">
                  <c:v>27.698998950000004</c:v>
                </c:pt>
                <c:pt idx="1854">
                  <c:v>27.698998950000004</c:v>
                </c:pt>
                <c:pt idx="1855">
                  <c:v>27.698998950000004</c:v>
                </c:pt>
                <c:pt idx="1856">
                  <c:v>27.698998950000004</c:v>
                </c:pt>
                <c:pt idx="1857">
                  <c:v>27.698998950000004</c:v>
                </c:pt>
                <c:pt idx="1858">
                  <c:v>27.698998950000004</c:v>
                </c:pt>
                <c:pt idx="1859">
                  <c:v>27.698998950000004</c:v>
                </c:pt>
                <c:pt idx="1860">
                  <c:v>27.698998950000004</c:v>
                </c:pt>
                <c:pt idx="1861">
                  <c:v>27.698998950000004</c:v>
                </c:pt>
                <c:pt idx="1862">
                  <c:v>27.698998950000004</c:v>
                </c:pt>
                <c:pt idx="1863">
                  <c:v>27.698998950000004</c:v>
                </c:pt>
                <c:pt idx="1864">
                  <c:v>27.698998950000004</c:v>
                </c:pt>
                <c:pt idx="1865">
                  <c:v>27.698998950000004</c:v>
                </c:pt>
                <c:pt idx="1866">
                  <c:v>27.698998950000004</c:v>
                </c:pt>
                <c:pt idx="1867">
                  <c:v>27.698998950000004</c:v>
                </c:pt>
                <c:pt idx="1868">
                  <c:v>27.698998950000004</c:v>
                </c:pt>
                <c:pt idx="1869">
                  <c:v>27.698998950000004</c:v>
                </c:pt>
                <c:pt idx="1870">
                  <c:v>27.698998950000004</c:v>
                </c:pt>
                <c:pt idx="1871">
                  <c:v>27.698998950000004</c:v>
                </c:pt>
                <c:pt idx="1872">
                  <c:v>27.698998950000004</c:v>
                </c:pt>
                <c:pt idx="1873">
                  <c:v>27.698998950000004</c:v>
                </c:pt>
                <c:pt idx="1874">
                  <c:v>27.698998950000004</c:v>
                </c:pt>
                <c:pt idx="1875">
                  <c:v>27.698998950000004</c:v>
                </c:pt>
                <c:pt idx="1876">
                  <c:v>27.698998950000004</c:v>
                </c:pt>
                <c:pt idx="1877">
                  <c:v>27.698998950000004</c:v>
                </c:pt>
                <c:pt idx="1878">
                  <c:v>27.698998950000004</c:v>
                </c:pt>
                <c:pt idx="1879">
                  <c:v>27.698998950000004</c:v>
                </c:pt>
                <c:pt idx="1880">
                  <c:v>27.698998950000004</c:v>
                </c:pt>
                <c:pt idx="1881">
                  <c:v>27.698998950000004</c:v>
                </c:pt>
                <c:pt idx="1882">
                  <c:v>27.698998950000004</c:v>
                </c:pt>
                <c:pt idx="1883">
                  <c:v>27.698998950000004</c:v>
                </c:pt>
                <c:pt idx="1884">
                  <c:v>27.698998950000004</c:v>
                </c:pt>
                <c:pt idx="1885">
                  <c:v>27.698998950000004</c:v>
                </c:pt>
                <c:pt idx="1886">
                  <c:v>27.698998950000004</c:v>
                </c:pt>
                <c:pt idx="1887">
                  <c:v>27.698998950000004</c:v>
                </c:pt>
                <c:pt idx="1888">
                  <c:v>27.698998950000004</c:v>
                </c:pt>
                <c:pt idx="1889">
                  <c:v>27.698998950000004</c:v>
                </c:pt>
                <c:pt idx="1890">
                  <c:v>27.698998950000004</c:v>
                </c:pt>
                <c:pt idx="1891">
                  <c:v>27.698998950000004</c:v>
                </c:pt>
                <c:pt idx="1892">
                  <c:v>27.698998950000004</c:v>
                </c:pt>
                <c:pt idx="1893">
                  <c:v>27.698998950000004</c:v>
                </c:pt>
                <c:pt idx="1894">
                  <c:v>27.698998950000004</c:v>
                </c:pt>
                <c:pt idx="1895">
                  <c:v>27.698998950000004</c:v>
                </c:pt>
                <c:pt idx="1896">
                  <c:v>27.698998950000004</c:v>
                </c:pt>
                <c:pt idx="1897">
                  <c:v>27.698998950000004</c:v>
                </c:pt>
                <c:pt idx="1898">
                  <c:v>27.698998950000004</c:v>
                </c:pt>
                <c:pt idx="1899">
                  <c:v>27.698998950000004</c:v>
                </c:pt>
                <c:pt idx="1900">
                  <c:v>27.698998950000004</c:v>
                </c:pt>
                <c:pt idx="1901">
                  <c:v>27.698998950000004</c:v>
                </c:pt>
                <c:pt idx="1902">
                  <c:v>27.698998950000004</c:v>
                </c:pt>
                <c:pt idx="1903">
                  <c:v>27.698998950000004</c:v>
                </c:pt>
                <c:pt idx="1904">
                  <c:v>27.698998950000004</c:v>
                </c:pt>
                <c:pt idx="1905">
                  <c:v>27.698998950000004</c:v>
                </c:pt>
                <c:pt idx="1906">
                  <c:v>27.698998950000004</c:v>
                </c:pt>
                <c:pt idx="1907">
                  <c:v>27.698998950000004</c:v>
                </c:pt>
                <c:pt idx="1908">
                  <c:v>27.698998950000004</c:v>
                </c:pt>
                <c:pt idx="1909">
                  <c:v>27.698998950000004</c:v>
                </c:pt>
                <c:pt idx="1910">
                  <c:v>27.698998950000004</c:v>
                </c:pt>
                <c:pt idx="1911">
                  <c:v>27.698998950000004</c:v>
                </c:pt>
                <c:pt idx="1912">
                  <c:v>27.698998950000004</c:v>
                </c:pt>
                <c:pt idx="1913">
                  <c:v>27.698998950000004</c:v>
                </c:pt>
                <c:pt idx="1914">
                  <c:v>27.698998950000004</c:v>
                </c:pt>
                <c:pt idx="1915">
                  <c:v>27.698998950000004</c:v>
                </c:pt>
                <c:pt idx="1916">
                  <c:v>27.698998950000004</c:v>
                </c:pt>
                <c:pt idx="1917">
                  <c:v>27.698998950000004</c:v>
                </c:pt>
                <c:pt idx="1918">
                  <c:v>27.698998950000004</c:v>
                </c:pt>
                <c:pt idx="1919">
                  <c:v>27.698998950000004</c:v>
                </c:pt>
                <c:pt idx="1920">
                  <c:v>27.698998950000004</c:v>
                </c:pt>
                <c:pt idx="1921">
                  <c:v>27.698998950000004</c:v>
                </c:pt>
                <c:pt idx="1922">
                  <c:v>27.698998950000004</c:v>
                </c:pt>
                <c:pt idx="1923">
                  <c:v>27.698998950000004</c:v>
                </c:pt>
                <c:pt idx="1924">
                  <c:v>27.698998950000004</c:v>
                </c:pt>
                <c:pt idx="1925">
                  <c:v>27.698998950000004</c:v>
                </c:pt>
                <c:pt idx="1926">
                  <c:v>27.698998950000004</c:v>
                </c:pt>
                <c:pt idx="1927">
                  <c:v>27.698998950000004</c:v>
                </c:pt>
                <c:pt idx="1928">
                  <c:v>27.698998950000004</c:v>
                </c:pt>
                <c:pt idx="1929">
                  <c:v>27.698998950000004</c:v>
                </c:pt>
                <c:pt idx="1930">
                  <c:v>27.698998950000004</c:v>
                </c:pt>
                <c:pt idx="1931">
                  <c:v>27.698998950000004</c:v>
                </c:pt>
                <c:pt idx="1932">
                  <c:v>27.698998950000004</c:v>
                </c:pt>
                <c:pt idx="1933">
                  <c:v>27.698998950000004</c:v>
                </c:pt>
                <c:pt idx="1934">
                  <c:v>27.698998950000004</c:v>
                </c:pt>
                <c:pt idx="1935">
                  <c:v>27.698998950000004</c:v>
                </c:pt>
                <c:pt idx="1936">
                  <c:v>27.698998950000004</c:v>
                </c:pt>
                <c:pt idx="1937">
                  <c:v>27.698998950000004</c:v>
                </c:pt>
                <c:pt idx="1938">
                  <c:v>27.698998950000004</c:v>
                </c:pt>
                <c:pt idx="1939">
                  <c:v>27.698998950000004</c:v>
                </c:pt>
                <c:pt idx="1940">
                  <c:v>27.698998950000004</c:v>
                </c:pt>
                <c:pt idx="1941">
                  <c:v>27.698998950000004</c:v>
                </c:pt>
                <c:pt idx="1942">
                  <c:v>27.698998950000004</c:v>
                </c:pt>
                <c:pt idx="1943">
                  <c:v>27.698998950000004</c:v>
                </c:pt>
                <c:pt idx="1944">
                  <c:v>27.698998950000004</c:v>
                </c:pt>
                <c:pt idx="1945">
                  <c:v>27.698998950000004</c:v>
                </c:pt>
                <c:pt idx="1946">
                  <c:v>27.698998950000004</c:v>
                </c:pt>
                <c:pt idx="1947">
                  <c:v>27.698998950000004</c:v>
                </c:pt>
                <c:pt idx="1948">
                  <c:v>27.698998950000004</c:v>
                </c:pt>
                <c:pt idx="1949">
                  <c:v>27.698998950000004</c:v>
                </c:pt>
                <c:pt idx="1950">
                  <c:v>27.698998950000004</c:v>
                </c:pt>
                <c:pt idx="1951">
                  <c:v>27.698998950000004</c:v>
                </c:pt>
                <c:pt idx="1952">
                  <c:v>27.698998950000004</c:v>
                </c:pt>
                <c:pt idx="1953">
                  <c:v>27.698998950000004</c:v>
                </c:pt>
                <c:pt idx="1954">
                  <c:v>27.698998950000004</c:v>
                </c:pt>
                <c:pt idx="1955">
                  <c:v>27.698998950000004</c:v>
                </c:pt>
                <c:pt idx="1956">
                  <c:v>27.698998950000004</c:v>
                </c:pt>
                <c:pt idx="1957">
                  <c:v>27.698998950000004</c:v>
                </c:pt>
                <c:pt idx="1958">
                  <c:v>27.698998950000004</c:v>
                </c:pt>
                <c:pt idx="1959">
                  <c:v>27.698998950000004</c:v>
                </c:pt>
                <c:pt idx="1960">
                  <c:v>27.698998950000004</c:v>
                </c:pt>
                <c:pt idx="1961">
                  <c:v>27.698998950000004</c:v>
                </c:pt>
                <c:pt idx="1962">
                  <c:v>27.698998950000004</c:v>
                </c:pt>
                <c:pt idx="1963">
                  <c:v>27.698998950000004</c:v>
                </c:pt>
                <c:pt idx="1964">
                  <c:v>27.698998950000004</c:v>
                </c:pt>
                <c:pt idx="1965">
                  <c:v>27.698998950000004</c:v>
                </c:pt>
                <c:pt idx="1966">
                  <c:v>27.698998950000004</c:v>
                </c:pt>
                <c:pt idx="1967">
                  <c:v>27.698998950000004</c:v>
                </c:pt>
                <c:pt idx="1968">
                  <c:v>27.698998950000004</c:v>
                </c:pt>
                <c:pt idx="1969">
                  <c:v>27.698998950000004</c:v>
                </c:pt>
                <c:pt idx="1970">
                  <c:v>27.698998950000004</c:v>
                </c:pt>
                <c:pt idx="1971">
                  <c:v>27.698998950000004</c:v>
                </c:pt>
                <c:pt idx="1972">
                  <c:v>27.698998950000004</c:v>
                </c:pt>
                <c:pt idx="1973">
                  <c:v>27.698998950000004</c:v>
                </c:pt>
                <c:pt idx="1974">
                  <c:v>27.698998950000004</c:v>
                </c:pt>
                <c:pt idx="1975">
                  <c:v>27.698998950000004</c:v>
                </c:pt>
                <c:pt idx="1976">
                  <c:v>27.698998950000004</c:v>
                </c:pt>
                <c:pt idx="1977">
                  <c:v>27.698998950000004</c:v>
                </c:pt>
                <c:pt idx="1978">
                  <c:v>27.698998950000004</c:v>
                </c:pt>
                <c:pt idx="1979">
                  <c:v>27.698998950000004</c:v>
                </c:pt>
                <c:pt idx="1980">
                  <c:v>27.698998950000004</c:v>
                </c:pt>
                <c:pt idx="1981">
                  <c:v>27.698998950000004</c:v>
                </c:pt>
                <c:pt idx="1982">
                  <c:v>27.698998950000004</c:v>
                </c:pt>
                <c:pt idx="1983">
                  <c:v>27.698998950000004</c:v>
                </c:pt>
                <c:pt idx="1984">
                  <c:v>27.698998950000004</c:v>
                </c:pt>
                <c:pt idx="1985">
                  <c:v>27.698998950000004</c:v>
                </c:pt>
                <c:pt idx="1986">
                  <c:v>27.698998950000004</c:v>
                </c:pt>
                <c:pt idx="1987">
                  <c:v>27.698998950000004</c:v>
                </c:pt>
                <c:pt idx="1988">
                  <c:v>27.698998950000004</c:v>
                </c:pt>
                <c:pt idx="1989">
                  <c:v>27.698998950000004</c:v>
                </c:pt>
                <c:pt idx="1990">
                  <c:v>27.698998950000004</c:v>
                </c:pt>
                <c:pt idx="1991">
                  <c:v>27.698998950000004</c:v>
                </c:pt>
                <c:pt idx="1992">
                  <c:v>27.698998950000004</c:v>
                </c:pt>
                <c:pt idx="1993">
                  <c:v>27.698998950000004</c:v>
                </c:pt>
                <c:pt idx="1994">
                  <c:v>27.698998950000004</c:v>
                </c:pt>
                <c:pt idx="1995">
                  <c:v>27.698998950000004</c:v>
                </c:pt>
                <c:pt idx="1996">
                  <c:v>27.698998950000004</c:v>
                </c:pt>
                <c:pt idx="1997">
                  <c:v>27.698998950000004</c:v>
                </c:pt>
                <c:pt idx="1998">
                  <c:v>27.698998950000004</c:v>
                </c:pt>
                <c:pt idx="1999">
                  <c:v>27.698998950000004</c:v>
                </c:pt>
                <c:pt idx="2000">
                  <c:v>27.698998950000004</c:v>
                </c:pt>
                <c:pt idx="2001">
                  <c:v>27.698998950000004</c:v>
                </c:pt>
                <c:pt idx="2002">
                  <c:v>27.698998950000004</c:v>
                </c:pt>
                <c:pt idx="2003">
                  <c:v>27.698998950000004</c:v>
                </c:pt>
                <c:pt idx="2004">
                  <c:v>27.698998950000004</c:v>
                </c:pt>
                <c:pt idx="2005">
                  <c:v>27.698998950000004</c:v>
                </c:pt>
                <c:pt idx="2006">
                  <c:v>27.698998950000004</c:v>
                </c:pt>
                <c:pt idx="2007">
                  <c:v>27.698998950000004</c:v>
                </c:pt>
                <c:pt idx="2008">
                  <c:v>27.698998950000004</c:v>
                </c:pt>
                <c:pt idx="2009">
                  <c:v>27.698998950000004</c:v>
                </c:pt>
                <c:pt idx="2010">
                  <c:v>27.698998950000004</c:v>
                </c:pt>
                <c:pt idx="2011">
                  <c:v>27.698998950000004</c:v>
                </c:pt>
                <c:pt idx="2012">
                  <c:v>27.698998950000004</c:v>
                </c:pt>
                <c:pt idx="2013">
                  <c:v>27.698998950000004</c:v>
                </c:pt>
                <c:pt idx="2014">
                  <c:v>27.698998950000004</c:v>
                </c:pt>
                <c:pt idx="2015">
                  <c:v>27.698998950000004</c:v>
                </c:pt>
                <c:pt idx="2016">
                  <c:v>27.698998950000004</c:v>
                </c:pt>
                <c:pt idx="2017">
                  <c:v>27.698998950000004</c:v>
                </c:pt>
                <c:pt idx="2018">
                  <c:v>27.698998950000004</c:v>
                </c:pt>
                <c:pt idx="2019">
                  <c:v>27.698998950000004</c:v>
                </c:pt>
                <c:pt idx="2020">
                  <c:v>27.698998950000004</c:v>
                </c:pt>
                <c:pt idx="2021">
                  <c:v>27.698998950000004</c:v>
                </c:pt>
                <c:pt idx="2022">
                  <c:v>27.698998950000004</c:v>
                </c:pt>
                <c:pt idx="2023">
                  <c:v>27.698998950000004</c:v>
                </c:pt>
                <c:pt idx="2024">
                  <c:v>27.698998950000004</c:v>
                </c:pt>
                <c:pt idx="2025">
                  <c:v>27.698998950000004</c:v>
                </c:pt>
                <c:pt idx="2026">
                  <c:v>27.698998950000004</c:v>
                </c:pt>
                <c:pt idx="2027">
                  <c:v>27.698998950000004</c:v>
                </c:pt>
                <c:pt idx="2028">
                  <c:v>27.698998950000004</c:v>
                </c:pt>
                <c:pt idx="2029">
                  <c:v>27.698998950000004</c:v>
                </c:pt>
                <c:pt idx="2030">
                  <c:v>27.698998950000004</c:v>
                </c:pt>
                <c:pt idx="2031">
                  <c:v>27.698998950000004</c:v>
                </c:pt>
                <c:pt idx="2032">
                  <c:v>30.366000000000003</c:v>
                </c:pt>
                <c:pt idx="2033">
                  <c:v>30.366000000000003</c:v>
                </c:pt>
                <c:pt idx="2034">
                  <c:v>30.366000000000003</c:v>
                </c:pt>
                <c:pt idx="2035">
                  <c:v>30.366000000000003</c:v>
                </c:pt>
                <c:pt idx="2036">
                  <c:v>30.366000000000003</c:v>
                </c:pt>
                <c:pt idx="2037">
                  <c:v>30.366000000000003</c:v>
                </c:pt>
                <c:pt idx="2038">
                  <c:v>30.366000000000003</c:v>
                </c:pt>
                <c:pt idx="2039">
                  <c:v>30.366000000000003</c:v>
                </c:pt>
                <c:pt idx="2040">
                  <c:v>30.366000000000003</c:v>
                </c:pt>
                <c:pt idx="2041">
                  <c:v>30.366000000000003</c:v>
                </c:pt>
                <c:pt idx="2042">
                  <c:v>30.366000000000003</c:v>
                </c:pt>
                <c:pt idx="2043">
                  <c:v>30.366000000000003</c:v>
                </c:pt>
                <c:pt idx="2044">
                  <c:v>30.366000000000003</c:v>
                </c:pt>
                <c:pt idx="2045">
                  <c:v>30.366000000000003</c:v>
                </c:pt>
                <c:pt idx="2046">
                  <c:v>30.366000000000003</c:v>
                </c:pt>
                <c:pt idx="2047">
                  <c:v>30.366000000000003</c:v>
                </c:pt>
                <c:pt idx="2048">
                  <c:v>30.366000000000003</c:v>
                </c:pt>
                <c:pt idx="2049">
                  <c:v>30.366000000000003</c:v>
                </c:pt>
                <c:pt idx="2050">
                  <c:v>30.366000000000003</c:v>
                </c:pt>
                <c:pt idx="2051">
                  <c:v>30.366000000000003</c:v>
                </c:pt>
                <c:pt idx="2052">
                  <c:v>30.366000000000003</c:v>
                </c:pt>
                <c:pt idx="2053">
                  <c:v>30.366000000000003</c:v>
                </c:pt>
                <c:pt idx="2054">
                  <c:v>30.366000000000003</c:v>
                </c:pt>
                <c:pt idx="2055">
                  <c:v>30.366000000000003</c:v>
                </c:pt>
                <c:pt idx="2056">
                  <c:v>30.366000000000003</c:v>
                </c:pt>
                <c:pt idx="2057">
                  <c:v>30.366000000000003</c:v>
                </c:pt>
                <c:pt idx="2058">
                  <c:v>30.366000000000003</c:v>
                </c:pt>
                <c:pt idx="2059">
                  <c:v>30.366000000000003</c:v>
                </c:pt>
                <c:pt idx="2060">
                  <c:v>30.366000000000003</c:v>
                </c:pt>
                <c:pt idx="2061">
                  <c:v>30.366000000000003</c:v>
                </c:pt>
                <c:pt idx="2062">
                  <c:v>30.366000000000003</c:v>
                </c:pt>
                <c:pt idx="2063">
                  <c:v>30.366000000000003</c:v>
                </c:pt>
                <c:pt idx="2064">
                  <c:v>32.024999999999999</c:v>
                </c:pt>
                <c:pt idx="2065">
                  <c:v>32.024999999999999</c:v>
                </c:pt>
                <c:pt idx="2066">
                  <c:v>32.024999999999999</c:v>
                </c:pt>
                <c:pt idx="2067">
                  <c:v>32.024999999999999</c:v>
                </c:pt>
                <c:pt idx="2068">
                  <c:v>32.024999999999999</c:v>
                </c:pt>
                <c:pt idx="2069">
                  <c:v>32.024999999999999</c:v>
                </c:pt>
                <c:pt idx="2070">
                  <c:v>32.024999999999999</c:v>
                </c:pt>
                <c:pt idx="2071">
                  <c:v>32.024999999999999</c:v>
                </c:pt>
                <c:pt idx="2072">
                  <c:v>32.024999999999999</c:v>
                </c:pt>
                <c:pt idx="2073">
                  <c:v>32.024999999999999</c:v>
                </c:pt>
                <c:pt idx="2074">
                  <c:v>32.024999999999999</c:v>
                </c:pt>
                <c:pt idx="2075">
                  <c:v>32.024999999999999</c:v>
                </c:pt>
                <c:pt idx="2076">
                  <c:v>32.024999999999999</c:v>
                </c:pt>
                <c:pt idx="2077">
                  <c:v>32.024999999999999</c:v>
                </c:pt>
                <c:pt idx="2078">
                  <c:v>32.024999999999999</c:v>
                </c:pt>
                <c:pt idx="2079">
                  <c:v>32.024999999999999</c:v>
                </c:pt>
                <c:pt idx="2080">
                  <c:v>32.024999999999999</c:v>
                </c:pt>
                <c:pt idx="2081">
                  <c:v>32.024999999999999</c:v>
                </c:pt>
                <c:pt idx="2082">
                  <c:v>32.024999999999999</c:v>
                </c:pt>
                <c:pt idx="2083">
                  <c:v>32.024999999999999</c:v>
                </c:pt>
                <c:pt idx="2084">
                  <c:v>32.024999999999999</c:v>
                </c:pt>
                <c:pt idx="2085">
                  <c:v>32.024999999999999</c:v>
                </c:pt>
                <c:pt idx="2086">
                  <c:v>32.024999999999999</c:v>
                </c:pt>
                <c:pt idx="2087">
                  <c:v>32.024999999999999</c:v>
                </c:pt>
                <c:pt idx="2088">
                  <c:v>32.024999999999999</c:v>
                </c:pt>
                <c:pt idx="2089">
                  <c:v>32.024999999999999</c:v>
                </c:pt>
                <c:pt idx="2090">
                  <c:v>32.024999999999999</c:v>
                </c:pt>
                <c:pt idx="2091">
                  <c:v>32.024999999999999</c:v>
                </c:pt>
                <c:pt idx="2092">
                  <c:v>32.024999999999999</c:v>
                </c:pt>
                <c:pt idx="2093">
                  <c:v>32.024999999999999</c:v>
                </c:pt>
                <c:pt idx="2094">
                  <c:v>32.024999999999999</c:v>
                </c:pt>
                <c:pt idx="2095">
                  <c:v>32.024999999999999</c:v>
                </c:pt>
                <c:pt idx="2096">
                  <c:v>32.024999999999999</c:v>
                </c:pt>
                <c:pt idx="2097">
                  <c:v>32.024999999999999</c:v>
                </c:pt>
                <c:pt idx="2098">
                  <c:v>32.024999999999999</c:v>
                </c:pt>
                <c:pt idx="2099">
                  <c:v>32.024999999999999</c:v>
                </c:pt>
                <c:pt idx="2100">
                  <c:v>32.024999999999999</c:v>
                </c:pt>
                <c:pt idx="2101">
                  <c:v>32.024999999999999</c:v>
                </c:pt>
                <c:pt idx="2102">
                  <c:v>32.024999999999999</c:v>
                </c:pt>
                <c:pt idx="2103">
                  <c:v>32.024999999999999</c:v>
                </c:pt>
                <c:pt idx="2104">
                  <c:v>32.024999999999999</c:v>
                </c:pt>
                <c:pt idx="2105">
                  <c:v>32.024999999999999</c:v>
                </c:pt>
                <c:pt idx="2106">
                  <c:v>32.024999999999999</c:v>
                </c:pt>
                <c:pt idx="2107">
                  <c:v>32.024999999999999</c:v>
                </c:pt>
                <c:pt idx="2108">
                  <c:v>33.285001049999998</c:v>
                </c:pt>
                <c:pt idx="2109">
                  <c:v>33.285001049999998</c:v>
                </c:pt>
                <c:pt idx="2110">
                  <c:v>35.206498949999997</c:v>
                </c:pt>
                <c:pt idx="2111">
                  <c:v>35.206498949999997</c:v>
                </c:pt>
                <c:pt idx="2112">
                  <c:v>35.206498949999997</c:v>
                </c:pt>
                <c:pt idx="2113">
                  <c:v>35.206498949999997</c:v>
                </c:pt>
                <c:pt idx="2114">
                  <c:v>35.206498949999997</c:v>
                </c:pt>
                <c:pt idx="2115">
                  <c:v>35.206498949999997</c:v>
                </c:pt>
                <c:pt idx="2116">
                  <c:v>35.206498949999997</c:v>
                </c:pt>
                <c:pt idx="2117">
                  <c:v>35.206498949999997</c:v>
                </c:pt>
                <c:pt idx="2118">
                  <c:v>35.206498949999997</c:v>
                </c:pt>
                <c:pt idx="2119">
                  <c:v>35.206498949999997</c:v>
                </c:pt>
                <c:pt idx="2120">
                  <c:v>35.206498949999997</c:v>
                </c:pt>
                <c:pt idx="2121">
                  <c:v>35.206498949999997</c:v>
                </c:pt>
                <c:pt idx="2122">
                  <c:v>35.206498949999997</c:v>
                </c:pt>
                <c:pt idx="2123">
                  <c:v>35.206498949999997</c:v>
                </c:pt>
                <c:pt idx="2124">
                  <c:v>35.206498949999997</c:v>
                </c:pt>
                <c:pt idx="2125">
                  <c:v>35.206498949999997</c:v>
                </c:pt>
                <c:pt idx="2126">
                  <c:v>35.206498949999997</c:v>
                </c:pt>
                <c:pt idx="2127">
                  <c:v>35.206498949999997</c:v>
                </c:pt>
                <c:pt idx="2128">
                  <c:v>35.206498949999997</c:v>
                </c:pt>
                <c:pt idx="2129">
                  <c:v>35.206498949999997</c:v>
                </c:pt>
                <c:pt idx="2130">
                  <c:v>35.206498949999997</c:v>
                </c:pt>
                <c:pt idx="2131">
                  <c:v>35.206498949999997</c:v>
                </c:pt>
                <c:pt idx="2132">
                  <c:v>35.206498949999997</c:v>
                </c:pt>
                <c:pt idx="2133">
                  <c:v>35.206498949999997</c:v>
                </c:pt>
                <c:pt idx="2134">
                  <c:v>35.206498949999997</c:v>
                </c:pt>
                <c:pt idx="2135">
                  <c:v>35.206498949999997</c:v>
                </c:pt>
                <c:pt idx="2136">
                  <c:v>35.206498949999997</c:v>
                </c:pt>
                <c:pt idx="2137">
                  <c:v>35.206498949999997</c:v>
                </c:pt>
                <c:pt idx="2138">
                  <c:v>37.7895021</c:v>
                </c:pt>
                <c:pt idx="2139">
                  <c:v>37.7895021</c:v>
                </c:pt>
                <c:pt idx="2140">
                  <c:v>37.7895021</c:v>
                </c:pt>
                <c:pt idx="2141">
                  <c:v>37.7895021</c:v>
                </c:pt>
                <c:pt idx="2142">
                  <c:v>37.7895021</c:v>
                </c:pt>
                <c:pt idx="2143">
                  <c:v>37.7895021</c:v>
                </c:pt>
                <c:pt idx="2144">
                  <c:v>37.7895021</c:v>
                </c:pt>
                <c:pt idx="2145">
                  <c:v>37.7895021</c:v>
                </c:pt>
                <c:pt idx="2146">
                  <c:v>39.921000000000006</c:v>
                </c:pt>
                <c:pt idx="2147">
                  <c:v>39.921000000000006</c:v>
                </c:pt>
                <c:pt idx="2148">
                  <c:v>39.921000000000006</c:v>
                </c:pt>
                <c:pt idx="2149">
                  <c:v>39.921000000000006</c:v>
                </c:pt>
                <c:pt idx="2150">
                  <c:v>39.921000000000006</c:v>
                </c:pt>
                <c:pt idx="2151">
                  <c:v>39.921000000000006</c:v>
                </c:pt>
                <c:pt idx="2152">
                  <c:v>39.921000000000006</c:v>
                </c:pt>
                <c:pt idx="2153">
                  <c:v>39.921000000000006</c:v>
                </c:pt>
                <c:pt idx="2154">
                  <c:v>39.921000000000006</c:v>
                </c:pt>
                <c:pt idx="2155">
                  <c:v>39.921000000000006</c:v>
                </c:pt>
                <c:pt idx="2156">
                  <c:v>39.921000000000006</c:v>
                </c:pt>
                <c:pt idx="2157">
                  <c:v>39.921000000000006</c:v>
                </c:pt>
                <c:pt idx="2158">
                  <c:v>39.921000000000006</c:v>
                </c:pt>
                <c:pt idx="2159">
                  <c:v>39.921000000000006</c:v>
                </c:pt>
                <c:pt idx="2160">
                  <c:v>39.921000000000006</c:v>
                </c:pt>
                <c:pt idx="2161">
                  <c:v>39.921000000000006</c:v>
                </c:pt>
                <c:pt idx="2162">
                  <c:v>39.921000000000006</c:v>
                </c:pt>
                <c:pt idx="2163">
                  <c:v>39.921000000000006</c:v>
                </c:pt>
                <c:pt idx="2164">
                  <c:v>39.921000000000006</c:v>
                </c:pt>
                <c:pt idx="2165">
                  <c:v>39.921000000000006</c:v>
                </c:pt>
                <c:pt idx="2166">
                  <c:v>39.921000000000006</c:v>
                </c:pt>
                <c:pt idx="2167">
                  <c:v>39.921000000000006</c:v>
                </c:pt>
                <c:pt idx="2168">
                  <c:v>39.921000000000006</c:v>
                </c:pt>
                <c:pt idx="2169">
                  <c:v>39.921000000000006</c:v>
                </c:pt>
                <c:pt idx="2170">
                  <c:v>39.921000000000006</c:v>
                </c:pt>
                <c:pt idx="2171">
                  <c:v>39.921000000000006</c:v>
                </c:pt>
                <c:pt idx="2172">
                  <c:v>39.921000000000006</c:v>
                </c:pt>
                <c:pt idx="2173">
                  <c:v>39.921000000000006</c:v>
                </c:pt>
                <c:pt idx="2174">
                  <c:v>39.921000000000006</c:v>
                </c:pt>
                <c:pt idx="2175">
                  <c:v>39.921000000000006</c:v>
                </c:pt>
                <c:pt idx="2176">
                  <c:v>39.921000000000006</c:v>
                </c:pt>
                <c:pt idx="2177">
                  <c:v>39.921000000000006</c:v>
                </c:pt>
                <c:pt idx="2178">
                  <c:v>39.921000000000006</c:v>
                </c:pt>
                <c:pt idx="2179">
                  <c:v>39.921000000000006</c:v>
                </c:pt>
                <c:pt idx="2180">
                  <c:v>39.921000000000006</c:v>
                </c:pt>
                <c:pt idx="2181">
                  <c:v>39.921000000000006</c:v>
                </c:pt>
                <c:pt idx="2182">
                  <c:v>39.921000000000006</c:v>
                </c:pt>
                <c:pt idx="2183">
                  <c:v>39.921000000000006</c:v>
                </c:pt>
                <c:pt idx="2184">
                  <c:v>39.921000000000006</c:v>
                </c:pt>
                <c:pt idx="2185">
                  <c:v>39.921000000000006</c:v>
                </c:pt>
                <c:pt idx="2186">
                  <c:v>39.921000000000006</c:v>
                </c:pt>
                <c:pt idx="2187">
                  <c:v>39.921000000000006</c:v>
                </c:pt>
                <c:pt idx="2188">
                  <c:v>39.921000000000006</c:v>
                </c:pt>
                <c:pt idx="2189">
                  <c:v>39.921000000000006</c:v>
                </c:pt>
                <c:pt idx="2190">
                  <c:v>39.921000000000006</c:v>
                </c:pt>
                <c:pt idx="2191">
                  <c:v>39.921000000000006</c:v>
                </c:pt>
                <c:pt idx="2192">
                  <c:v>39.921000000000006</c:v>
                </c:pt>
                <c:pt idx="2193">
                  <c:v>39.921000000000006</c:v>
                </c:pt>
                <c:pt idx="2194">
                  <c:v>39.921000000000006</c:v>
                </c:pt>
                <c:pt idx="2195">
                  <c:v>39.921000000000006</c:v>
                </c:pt>
                <c:pt idx="2196">
                  <c:v>39.921000000000006</c:v>
                </c:pt>
                <c:pt idx="2197">
                  <c:v>39.921000000000006</c:v>
                </c:pt>
                <c:pt idx="2198">
                  <c:v>39.921000000000006</c:v>
                </c:pt>
                <c:pt idx="2199">
                  <c:v>39.921000000000006</c:v>
                </c:pt>
                <c:pt idx="2200">
                  <c:v>39.921000000000006</c:v>
                </c:pt>
                <c:pt idx="2201">
                  <c:v>39.921000000000006</c:v>
                </c:pt>
                <c:pt idx="2202">
                  <c:v>39.921000000000006</c:v>
                </c:pt>
                <c:pt idx="2203">
                  <c:v>39.921000000000006</c:v>
                </c:pt>
                <c:pt idx="2204">
                  <c:v>39.921000000000006</c:v>
                </c:pt>
                <c:pt idx="2205">
                  <c:v>39.921000000000006</c:v>
                </c:pt>
                <c:pt idx="2206">
                  <c:v>39.921000000000006</c:v>
                </c:pt>
                <c:pt idx="2207">
                  <c:v>39.921000000000006</c:v>
                </c:pt>
                <c:pt idx="2208">
                  <c:v>39.921000000000006</c:v>
                </c:pt>
                <c:pt idx="2209">
                  <c:v>39.921000000000006</c:v>
                </c:pt>
                <c:pt idx="2210">
                  <c:v>39.921000000000006</c:v>
                </c:pt>
                <c:pt idx="2211">
                  <c:v>39.921000000000006</c:v>
                </c:pt>
                <c:pt idx="2212">
                  <c:v>39.921000000000006</c:v>
                </c:pt>
                <c:pt idx="2213">
                  <c:v>39.921000000000006</c:v>
                </c:pt>
                <c:pt idx="2214">
                  <c:v>39.921000000000006</c:v>
                </c:pt>
                <c:pt idx="2215">
                  <c:v>39.921000000000006</c:v>
                </c:pt>
                <c:pt idx="2216">
                  <c:v>39.921000000000006</c:v>
                </c:pt>
                <c:pt idx="2217">
                  <c:v>39.921000000000006</c:v>
                </c:pt>
                <c:pt idx="2218">
                  <c:v>39.921000000000006</c:v>
                </c:pt>
                <c:pt idx="2219">
                  <c:v>39.921000000000006</c:v>
                </c:pt>
                <c:pt idx="2220">
                  <c:v>39.921000000000006</c:v>
                </c:pt>
                <c:pt idx="2221">
                  <c:v>39.921000000000006</c:v>
                </c:pt>
                <c:pt idx="2222">
                  <c:v>39.921000000000006</c:v>
                </c:pt>
                <c:pt idx="2223">
                  <c:v>39.921000000000006</c:v>
                </c:pt>
                <c:pt idx="2224">
                  <c:v>39.921000000000006</c:v>
                </c:pt>
                <c:pt idx="2225">
                  <c:v>39.921000000000006</c:v>
                </c:pt>
                <c:pt idx="2226">
                  <c:v>39.921000000000006</c:v>
                </c:pt>
                <c:pt idx="2227">
                  <c:v>39.921000000000006</c:v>
                </c:pt>
                <c:pt idx="2228">
                  <c:v>39.921000000000006</c:v>
                </c:pt>
                <c:pt idx="2229">
                  <c:v>39.921000000000006</c:v>
                </c:pt>
                <c:pt idx="2230">
                  <c:v>39.921000000000006</c:v>
                </c:pt>
                <c:pt idx="2231">
                  <c:v>39.921000000000006</c:v>
                </c:pt>
                <c:pt idx="2232">
                  <c:v>39.921000000000006</c:v>
                </c:pt>
                <c:pt idx="2233">
                  <c:v>39.921000000000006</c:v>
                </c:pt>
                <c:pt idx="2234">
                  <c:v>39.921000000000006</c:v>
                </c:pt>
                <c:pt idx="2235">
                  <c:v>39.921000000000006</c:v>
                </c:pt>
                <c:pt idx="2236">
                  <c:v>39.921000000000006</c:v>
                </c:pt>
                <c:pt idx="2237">
                  <c:v>39.921000000000006</c:v>
                </c:pt>
                <c:pt idx="2238">
                  <c:v>39.921000000000006</c:v>
                </c:pt>
                <c:pt idx="2239">
                  <c:v>39.921000000000006</c:v>
                </c:pt>
                <c:pt idx="2240">
                  <c:v>39.921000000000006</c:v>
                </c:pt>
                <c:pt idx="2241">
                  <c:v>39.921000000000006</c:v>
                </c:pt>
                <c:pt idx="2242">
                  <c:v>39.921000000000006</c:v>
                </c:pt>
                <c:pt idx="2243">
                  <c:v>39.921000000000006</c:v>
                </c:pt>
                <c:pt idx="2244">
                  <c:v>39.921000000000006</c:v>
                </c:pt>
                <c:pt idx="2245">
                  <c:v>39.921000000000006</c:v>
                </c:pt>
                <c:pt idx="2246">
                  <c:v>39.921000000000006</c:v>
                </c:pt>
                <c:pt idx="2247">
                  <c:v>39.921000000000006</c:v>
                </c:pt>
                <c:pt idx="2248">
                  <c:v>39.921000000000006</c:v>
                </c:pt>
                <c:pt idx="2249">
                  <c:v>39.921000000000006</c:v>
                </c:pt>
                <c:pt idx="2250">
                  <c:v>39.921000000000006</c:v>
                </c:pt>
                <c:pt idx="2251">
                  <c:v>39.921000000000006</c:v>
                </c:pt>
                <c:pt idx="2252">
                  <c:v>39.921000000000006</c:v>
                </c:pt>
                <c:pt idx="2253">
                  <c:v>39.921000000000006</c:v>
                </c:pt>
                <c:pt idx="2254">
                  <c:v>39.921000000000006</c:v>
                </c:pt>
                <c:pt idx="2255">
                  <c:v>39.921000000000006</c:v>
                </c:pt>
                <c:pt idx="2256">
                  <c:v>39.921000000000006</c:v>
                </c:pt>
                <c:pt idx="2257">
                  <c:v>39.921000000000006</c:v>
                </c:pt>
                <c:pt idx="2258">
                  <c:v>39.921000000000006</c:v>
                </c:pt>
                <c:pt idx="2259">
                  <c:v>39.921000000000006</c:v>
                </c:pt>
                <c:pt idx="2260">
                  <c:v>39.921000000000006</c:v>
                </c:pt>
                <c:pt idx="2261">
                  <c:v>39.921000000000006</c:v>
                </c:pt>
                <c:pt idx="2262">
                  <c:v>39.921000000000006</c:v>
                </c:pt>
                <c:pt idx="2263">
                  <c:v>39.921000000000006</c:v>
                </c:pt>
                <c:pt idx="2264">
                  <c:v>39.921000000000006</c:v>
                </c:pt>
                <c:pt idx="2265">
                  <c:v>39.921000000000006</c:v>
                </c:pt>
                <c:pt idx="2266">
                  <c:v>39.921000000000006</c:v>
                </c:pt>
                <c:pt idx="2267">
                  <c:v>39.921000000000006</c:v>
                </c:pt>
                <c:pt idx="2268">
                  <c:v>39.921000000000006</c:v>
                </c:pt>
                <c:pt idx="2269">
                  <c:v>39.921000000000006</c:v>
                </c:pt>
                <c:pt idx="2270">
                  <c:v>39.921000000000006</c:v>
                </c:pt>
                <c:pt idx="2271">
                  <c:v>39.921000000000006</c:v>
                </c:pt>
                <c:pt idx="2272">
                  <c:v>39.921000000000006</c:v>
                </c:pt>
                <c:pt idx="2273">
                  <c:v>39.921000000000006</c:v>
                </c:pt>
                <c:pt idx="2274">
                  <c:v>39.921000000000006</c:v>
                </c:pt>
                <c:pt idx="2275">
                  <c:v>39.921000000000006</c:v>
                </c:pt>
                <c:pt idx="2276">
                  <c:v>39.921000000000006</c:v>
                </c:pt>
                <c:pt idx="2277">
                  <c:v>39.921000000000006</c:v>
                </c:pt>
                <c:pt idx="2278">
                  <c:v>39.921000000000006</c:v>
                </c:pt>
                <c:pt idx="2279">
                  <c:v>39.921000000000006</c:v>
                </c:pt>
                <c:pt idx="2280">
                  <c:v>39.921000000000006</c:v>
                </c:pt>
                <c:pt idx="2281">
                  <c:v>39.921000000000006</c:v>
                </c:pt>
                <c:pt idx="2282">
                  <c:v>39.921000000000006</c:v>
                </c:pt>
                <c:pt idx="2283">
                  <c:v>39.921000000000006</c:v>
                </c:pt>
                <c:pt idx="2284">
                  <c:v>39.921000000000006</c:v>
                </c:pt>
                <c:pt idx="2285">
                  <c:v>39.921000000000006</c:v>
                </c:pt>
                <c:pt idx="2286">
                  <c:v>39.921000000000006</c:v>
                </c:pt>
                <c:pt idx="2287">
                  <c:v>39.921000000000006</c:v>
                </c:pt>
                <c:pt idx="2288">
                  <c:v>39.921000000000006</c:v>
                </c:pt>
                <c:pt idx="2289">
                  <c:v>39.921000000000006</c:v>
                </c:pt>
                <c:pt idx="2290">
                  <c:v>39.921000000000006</c:v>
                </c:pt>
                <c:pt idx="2291">
                  <c:v>39.921000000000006</c:v>
                </c:pt>
                <c:pt idx="2292">
                  <c:v>39.921000000000006</c:v>
                </c:pt>
                <c:pt idx="2293">
                  <c:v>39.921000000000006</c:v>
                </c:pt>
                <c:pt idx="2294">
                  <c:v>39.921000000000006</c:v>
                </c:pt>
                <c:pt idx="2295">
                  <c:v>39.921000000000006</c:v>
                </c:pt>
                <c:pt idx="2296">
                  <c:v>39.921000000000006</c:v>
                </c:pt>
                <c:pt idx="2297">
                  <c:v>39.921000000000006</c:v>
                </c:pt>
                <c:pt idx="2298">
                  <c:v>39.921000000000006</c:v>
                </c:pt>
                <c:pt idx="2299">
                  <c:v>39.921000000000006</c:v>
                </c:pt>
                <c:pt idx="2300">
                  <c:v>39.921000000000006</c:v>
                </c:pt>
                <c:pt idx="2301">
                  <c:v>39.921000000000006</c:v>
                </c:pt>
                <c:pt idx="2302">
                  <c:v>39.921000000000006</c:v>
                </c:pt>
                <c:pt idx="2303">
                  <c:v>39.921000000000006</c:v>
                </c:pt>
                <c:pt idx="2304">
                  <c:v>39.921000000000006</c:v>
                </c:pt>
                <c:pt idx="2305">
                  <c:v>39.921000000000006</c:v>
                </c:pt>
                <c:pt idx="2306">
                  <c:v>39.921000000000006</c:v>
                </c:pt>
                <c:pt idx="2307">
                  <c:v>39.921000000000006</c:v>
                </c:pt>
                <c:pt idx="2308">
                  <c:v>39.921000000000006</c:v>
                </c:pt>
                <c:pt idx="2309">
                  <c:v>39.921000000000006</c:v>
                </c:pt>
                <c:pt idx="2310">
                  <c:v>39.921000000000006</c:v>
                </c:pt>
                <c:pt idx="2311">
                  <c:v>39.921000000000006</c:v>
                </c:pt>
                <c:pt idx="2312">
                  <c:v>39.921000000000006</c:v>
                </c:pt>
                <c:pt idx="2313">
                  <c:v>39.921000000000006</c:v>
                </c:pt>
                <c:pt idx="2314">
                  <c:v>39.921000000000006</c:v>
                </c:pt>
                <c:pt idx="2315">
                  <c:v>39.921000000000006</c:v>
                </c:pt>
                <c:pt idx="2316">
                  <c:v>39.921000000000006</c:v>
                </c:pt>
                <c:pt idx="2317">
                  <c:v>39.921000000000006</c:v>
                </c:pt>
                <c:pt idx="2318">
                  <c:v>39.921000000000006</c:v>
                </c:pt>
                <c:pt idx="2319">
                  <c:v>39.921000000000006</c:v>
                </c:pt>
                <c:pt idx="2320">
                  <c:v>39.921000000000006</c:v>
                </c:pt>
                <c:pt idx="2321">
                  <c:v>39.921000000000006</c:v>
                </c:pt>
                <c:pt idx="2322">
                  <c:v>39.921000000000006</c:v>
                </c:pt>
                <c:pt idx="2323">
                  <c:v>39.921000000000006</c:v>
                </c:pt>
                <c:pt idx="2324">
                  <c:v>39.921000000000006</c:v>
                </c:pt>
                <c:pt idx="2325">
                  <c:v>39.921000000000006</c:v>
                </c:pt>
                <c:pt idx="2326">
                  <c:v>39.921000000000006</c:v>
                </c:pt>
                <c:pt idx="2327">
                  <c:v>39.921000000000006</c:v>
                </c:pt>
                <c:pt idx="2328">
                  <c:v>39.921000000000006</c:v>
                </c:pt>
                <c:pt idx="2329">
                  <c:v>39.921000000000006</c:v>
                </c:pt>
                <c:pt idx="2330">
                  <c:v>39.921000000000006</c:v>
                </c:pt>
                <c:pt idx="2331">
                  <c:v>39.921000000000006</c:v>
                </c:pt>
                <c:pt idx="2332">
                  <c:v>39.921000000000006</c:v>
                </c:pt>
                <c:pt idx="2333">
                  <c:v>39.921000000000006</c:v>
                </c:pt>
                <c:pt idx="2334">
                  <c:v>39.921000000000006</c:v>
                </c:pt>
                <c:pt idx="2335">
                  <c:v>39.921000000000006</c:v>
                </c:pt>
                <c:pt idx="2336">
                  <c:v>39.921000000000006</c:v>
                </c:pt>
                <c:pt idx="2337">
                  <c:v>39.921000000000006</c:v>
                </c:pt>
                <c:pt idx="2338">
                  <c:v>39.921000000000006</c:v>
                </c:pt>
                <c:pt idx="2339">
                  <c:v>39.921000000000006</c:v>
                </c:pt>
                <c:pt idx="2340">
                  <c:v>39.921000000000006</c:v>
                </c:pt>
                <c:pt idx="2341">
                  <c:v>39.921000000000006</c:v>
                </c:pt>
                <c:pt idx="2342">
                  <c:v>39.921000000000006</c:v>
                </c:pt>
                <c:pt idx="2343">
                  <c:v>39.921000000000006</c:v>
                </c:pt>
                <c:pt idx="2344">
                  <c:v>39.921000000000006</c:v>
                </c:pt>
                <c:pt idx="2345">
                  <c:v>39.921000000000006</c:v>
                </c:pt>
                <c:pt idx="2346">
                  <c:v>39.921000000000006</c:v>
                </c:pt>
                <c:pt idx="2347">
                  <c:v>39.921000000000006</c:v>
                </c:pt>
                <c:pt idx="2348">
                  <c:v>39.921000000000006</c:v>
                </c:pt>
                <c:pt idx="2349">
                  <c:v>39.921000000000006</c:v>
                </c:pt>
                <c:pt idx="2350">
                  <c:v>39.921000000000006</c:v>
                </c:pt>
                <c:pt idx="2351">
                  <c:v>39.921000000000006</c:v>
                </c:pt>
                <c:pt idx="2352">
                  <c:v>39.921000000000006</c:v>
                </c:pt>
                <c:pt idx="2353">
                  <c:v>39.921000000000006</c:v>
                </c:pt>
                <c:pt idx="2354">
                  <c:v>39.921000000000006</c:v>
                </c:pt>
                <c:pt idx="2355">
                  <c:v>39.921000000000006</c:v>
                </c:pt>
                <c:pt idx="2356">
                  <c:v>39.921000000000006</c:v>
                </c:pt>
                <c:pt idx="2357">
                  <c:v>39.921000000000006</c:v>
                </c:pt>
                <c:pt idx="2358">
                  <c:v>39.921000000000006</c:v>
                </c:pt>
                <c:pt idx="2359">
                  <c:v>39.921000000000006</c:v>
                </c:pt>
                <c:pt idx="2360">
                  <c:v>39.921000000000006</c:v>
                </c:pt>
                <c:pt idx="2361">
                  <c:v>39.921000000000006</c:v>
                </c:pt>
                <c:pt idx="2362">
                  <c:v>39.921000000000006</c:v>
                </c:pt>
                <c:pt idx="2363">
                  <c:v>39.921000000000006</c:v>
                </c:pt>
                <c:pt idx="2364">
                  <c:v>39.921000000000006</c:v>
                </c:pt>
                <c:pt idx="2365">
                  <c:v>39.921000000000006</c:v>
                </c:pt>
                <c:pt idx="2366">
                  <c:v>39.921000000000006</c:v>
                </c:pt>
                <c:pt idx="2367">
                  <c:v>39.921000000000006</c:v>
                </c:pt>
                <c:pt idx="2368">
                  <c:v>39.921000000000006</c:v>
                </c:pt>
                <c:pt idx="2369">
                  <c:v>39.921000000000006</c:v>
                </c:pt>
                <c:pt idx="2370">
                  <c:v>39.921000000000006</c:v>
                </c:pt>
                <c:pt idx="2371">
                  <c:v>39.921000000000006</c:v>
                </c:pt>
                <c:pt idx="2372">
                  <c:v>39.921000000000006</c:v>
                </c:pt>
                <c:pt idx="2373">
                  <c:v>39.921000000000006</c:v>
                </c:pt>
                <c:pt idx="2374">
                  <c:v>39.921000000000006</c:v>
                </c:pt>
                <c:pt idx="2375">
                  <c:v>39.921000000000006</c:v>
                </c:pt>
                <c:pt idx="2376">
                  <c:v>39.921000000000006</c:v>
                </c:pt>
                <c:pt idx="2377">
                  <c:v>39.921000000000006</c:v>
                </c:pt>
                <c:pt idx="2378">
                  <c:v>39.921000000000006</c:v>
                </c:pt>
                <c:pt idx="2379">
                  <c:v>39.921000000000006</c:v>
                </c:pt>
                <c:pt idx="2380">
                  <c:v>39.921000000000006</c:v>
                </c:pt>
                <c:pt idx="2381">
                  <c:v>39.921000000000006</c:v>
                </c:pt>
                <c:pt idx="2382">
                  <c:v>39.921000000000006</c:v>
                </c:pt>
                <c:pt idx="2383">
                  <c:v>39.921000000000006</c:v>
                </c:pt>
                <c:pt idx="2384">
                  <c:v>39.921000000000006</c:v>
                </c:pt>
                <c:pt idx="2385">
                  <c:v>39.921000000000006</c:v>
                </c:pt>
                <c:pt idx="2386">
                  <c:v>39.921000000000006</c:v>
                </c:pt>
                <c:pt idx="2387">
                  <c:v>39.921000000000006</c:v>
                </c:pt>
                <c:pt idx="2388">
                  <c:v>39.921000000000006</c:v>
                </c:pt>
                <c:pt idx="2389">
                  <c:v>39.921000000000006</c:v>
                </c:pt>
                <c:pt idx="2390">
                  <c:v>39.921000000000006</c:v>
                </c:pt>
                <c:pt idx="2391">
                  <c:v>39.921000000000006</c:v>
                </c:pt>
                <c:pt idx="2392">
                  <c:v>39.921000000000006</c:v>
                </c:pt>
                <c:pt idx="2393">
                  <c:v>39.921000000000006</c:v>
                </c:pt>
                <c:pt idx="2394">
                  <c:v>39.921000000000006</c:v>
                </c:pt>
                <c:pt idx="2395">
                  <c:v>39.921000000000006</c:v>
                </c:pt>
                <c:pt idx="2396">
                  <c:v>39.921000000000006</c:v>
                </c:pt>
                <c:pt idx="2397">
                  <c:v>39.921000000000006</c:v>
                </c:pt>
                <c:pt idx="2398">
                  <c:v>39.921000000000006</c:v>
                </c:pt>
                <c:pt idx="2399">
                  <c:v>39.921000000000006</c:v>
                </c:pt>
                <c:pt idx="2400">
                  <c:v>39.921000000000006</c:v>
                </c:pt>
                <c:pt idx="2401">
                  <c:v>39.921000000000006</c:v>
                </c:pt>
                <c:pt idx="2402">
                  <c:v>39.921000000000006</c:v>
                </c:pt>
                <c:pt idx="2403">
                  <c:v>39.921000000000006</c:v>
                </c:pt>
                <c:pt idx="2404">
                  <c:v>39.921000000000006</c:v>
                </c:pt>
                <c:pt idx="2405">
                  <c:v>39.921000000000006</c:v>
                </c:pt>
                <c:pt idx="2406">
                  <c:v>39.921000000000006</c:v>
                </c:pt>
                <c:pt idx="2407">
                  <c:v>39.921000000000006</c:v>
                </c:pt>
                <c:pt idx="2408">
                  <c:v>39.921000000000006</c:v>
                </c:pt>
                <c:pt idx="2409">
                  <c:v>39.921000000000006</c:v>
                </c:pt>
                <c:pt idx="2410">
                  <c:v>39.921000000000006</c:v>
                </c:pt>
                <c:pt idx="2411">
                  <c:v>39.921000000000006</c:v>
                </c:pt>
                <c:pt idx="2412">
                  <c:v>39.921000000000006</c:v>
                </c:pt>
                <c:pt idx="2413">
                  <c:v>39.921000000000006</c:v>
                </c:pt>
                <c:pt idx="2414">
                  <c:v>39.921000000000006</c:v>
                </c:pt>
                <c:pt idx="2415">
                  <c:v>39.921000000000006</c:v>
                </c:pt>
                <c:pt idx="2416">
                  <c:v>39.921000000000006</c:v>
                </c:pt>
                <c:pt idx="2417">
                  <c:v>39.921000000000006</c:v>
                </c:pt>
                <c:pt idx="2418">
                  <c:v>39.921000000000006</c:v>
                </c:pt>
                <c:pt idx="2419">
                  <c:v>39.921000000000006</c:v>
                </c:pt>
                <c:pt idx="2420">
                  <c:v>39.921000000000006</c:v>
                </c:pt>
                <c:pt idx="2421">
                  <c:v>39.921000000000006</c:v>
                </c:pt>
                <c:pt idx="2422">
                  <c:v>39.921000000000006</c:v>
                </c:pt>
                <c:pt idx="2423">
                  <c:v>39.921000000000006</c:v>
                </c:pt>
                <c:pt idx="2424">
                  <c:v>39.921000000000006</c:v>
                </c:pt>
                <c:pt idx="2425">
                  <c:v>39.921000000000006</c:v>
                </c:pt>
                <c:pt idx="2426">
                  <c:v>39.921000000000006</c:v>
                </c:pt>
                <c:pt idx="2427">
                  <c:v>39.921000000000006</c:v>
                </c:pt>
                <c:pt idx="2428">
                  <c:v>39.921000000000006</c:v>
                </c:pt>
                <c:pt idx="2429">
                  <c:v>39.921000000000006</c:v>
                </c:pt>
                <c:pt idx="2430">
                  <c:v>39.921000000000006</c:v>
                </c:pt>
                <c:pt idx="2431">
                  <c:v>39.921000000000006</c:v>
                </c:pt>
                <c:pt idx="2432">
                  <c:v>39.921000000000006</c:v>
                </c:pt>
                <c:pt idx="2433">
                  <c:v>39.921000000000006</c:v>
                </c:pt>
                <c:pt idx="2434">
                  <c:v>39.921000000000006</c:v>
                </c:pt>
                <c:pt idx="2435">
                  <c:v>39.921000000000006</c:v>
                </c:pt>
                <c:pt idx="2436">
                  <c:v>39.921000000000006</c:v>
                </c:pt>
                <c:pt idx="2437">
                  <c:v>39.921000000000006</c:v>
                </c:pt>
                <c:pt idx="2438">
                  <c:v>39.921000000000006</c:v>
                </c:pt>
                <c:pt idx="2439">
                  <c:v>39.921000000000006</c:v>
                </c:pt>
                <c:pt idx="2440">
                  <c:v>39.921000000000006</c:v>
                </c:pt>
                <c:pt idx="2441">
                  <c:v>39.921000000000006</c:v>
                </c:pt>
                <c:pt idx="2442">
                  <c:v>39.921000000000006</c:v>
                </c:pt>
                <c:pt idx="2443">
                  <c:v>39.921000000000006</c:v>
                </c:pt>
                <c:pt idx="2444">
                  <c:v>39.921000000000006</c:v>
                </c:pt>
                <c:pt idx="2445">
                  <c:v>39.921000000000006</c:v>
                </c:pt>
                <c:pt idx="2446">
                  <c:v>39.921000000000006</c:v>
                </c:pt>
                <c:pt idx="2447">
                  <c:v>39.921000000000006</c:v>
                </c:pt>
                <c:pt idx="2448">
                  <c:v>39.921000000000006</c:v>
                </c:pt>
                <c:pt idx="2449">
                  <c:v>39.921000000000006</c:v>
                </c:pt>
                <c:pt idx="2450">
                  <c:v>39.921000000000006</c:v>
                </c:pt>
                <c:pt idx="2451">
                  <c:v>39.921000000000006</c:v>
                </c:pt>
                <c:pt idx="2452">
                  <c:v>39.921000000000006</c:v>
                </c:pt>
                <c:pt idx="2453">
                  <c:v>39.921000000000006</c:v>
                </c:pt>
                <c:pt idx="2454">
                  <c:v>39.921000000000006</c:v>
                </c:pt>
                <c:pt idx="2455">
                  <c:v>39.921000000000006</c:v>
                </c:pt>
                <c:pt idx="2456">
                  <c:v>39.921000000000006</c:v>
                </c:pt>
                <c:pt idx="2457">
                  <c:v>39.921000000000006</c:v>
                </c:pt>
                <c:pt idx="2458">
                  <c:v>39.921000000000006</c:v>
                </c:pt>
                <c:pt idx="2459">
                  <c:v>39.921000000000006</c:v>
                </c:pt>
                <c:pt idx="2460">
                  <c:v>39.921000000000006</c:v>
                </c:pt>
                <c:pt idx="2461">
                  <c:v>39.921000000000006</c:v>
                </c:pt>
                <c:pt idx="2462">
                  <c:v>39.921000000000006</c:v>
                </c:pt>
                <c:pt idx="2463">
                  <c:v>39.921000000000006</c:v>
                </c:pt>
                <c:pt idx="2464">
                  <c:v>39.921000000000006</c:v>
                </c:pt>
                <c:pt idx="2465">
                  <c:v>39.921000000000006</c:v>
                </c:pt>
                <c:pt idx="2466">
                  <c:v>39.921000000000006</c:v>
                </c:pt>
                <c:pt idx="2467">
                  <c:v>39.921000000000006</c:v>
                </c:pt>
                <c:pt idx="2468">
                  <c:v>39.921000000000006</c:v>
                </c:pt>
                <c:pt idx="2469">
                  <c:v>39.921000000000006</c:v>
                </c:pt>
                <c:pt idx="2470">
                  <c:v>39.921000000000006</c:v>
                </c:pt>
                <c:pt idx="2471">
                  <c:v>39.921000000000006</c:v>
                </c:pt>
                <c:pt idx="2472">
                  <c:v>39.921000000000006</c:v>
                </c:pt>
                <c:pt idx="2473">
                  <c:v>39.921000000000006</c:v>
                </c:pt>
                <c:pt idx="2474">
                  <c:v>39.921000000000006</c:v>
                </c:pt>
                <c:pt idx="2475">
                  <c:v>39.921000000000006</c:v>
                </c:pt>
                <c:pt idx="2476">
                  <c:v>39.921000000000006</c:v>
                </c:pt>
                <c:pt idx="2477">
                  <c:v>39.921000000000006</c:v>
                </c:pt>
                <c:pt idx="2478">
                  <c:v>39.921000000000006</c:v>
                </c:pt>
                <c:pt idx="2479">
                  <c:v>39.921000000000006</c:v>
                </c:pt>
                <c:pt idx="2480">
                  <c:v>39.921000000000006</c:v>
                </c:pt>
                <c:pt idx="2481">
                  <c:v>39.921000000000006</c:v>
                </c:pt>
                <c:pt idx="2482">
                  <c:v>39.921000000000006</c:v>
                </c:pt>
                <c:pt idx="2483">
                  <c:v>39.921000000000006</c:v>
                </c:pt>
                <c:pt idx="2484">
                  <c:v>39.921000000000006</c:v>
                </c:pt>
                <c:pt idx="2485">
                  <c:v>39.921000000000006</c:v>
                </c:pt>
                <c:pt idx="2486">
                  <c:v>39.921000000000006</c:v>
                </c:pt>
                <c:pt idx="2487">
                  <c:v>39.921000000000006</c:v>
                </c:pt>
                <c:pt idx="2488">
                  <c:v>39.921000000000006</c:v>
                </c:pt>
                <c:pt idx="2489">
                  <c:v>39.921000000000006</c:v>
                </c:pt>
                <c:pt idx="2490">
                  <c:v>39.921000000000006</c:v>
                </c:pt>
                <c:pt idx="2491">
                  <c:v>39.921000000000006</c:v>
                </c:pt>
                <c:pt idx="2492">
                  <c:v>39.921000000000006</c:v>
                </c:pt>
                <c:pt idx="2493">
                  <c:v>39.921000000000006</c:v>
                </c:pt>
                <c:pt idx="2494">
                  <c:v>39.921000000000006</c:v>
                </c:pt>
                <c:pt idx="2495">
                  <c:v>39.921000000000006</c:v>
                </c:pt>
                <c:pt idx="2496">
                  <c:v>39.921000000000006</c:v>
                </c:pt>
                <c:pt idx="2497">
                  <c:v>39.921000000000006</c:v>
                </c:pt>
                <c:pt idx="2498">
                  <c:v>39.921000000000006</c:v>
                </c:pt>
                <c:pt idx="2499">
                  <c:v>39.921000000000006</c:v>
                </c:pt>
                <c:pt idx="2500">
                  <c:v>39.921000000000006</c:v>
                </c:pt>
                <c:pt idx="2501">
                  <c:v>39.921000000000006</c:v>
                </c:pt>
                <c:pt idx="2502">
                  <c:v>39.921000000000006</c:v>
                </c:pt>
                <c:pt idx="2503">
                  <c:v>39.921000000000006</c:v>
                </c:pt>
                <c:pt idx="2504">
                  <c:v>39.921000000000006</c:v>
                </c:pt>
                <c:pt idx="2505">
                  <c:v>39.921000000000006</c:v>
                </c:pt>
                <c:pt idx="2506">
                  <c:v>39.921000000000006</c:v>
                </c:pt>
                <c:pt idx="2507">
                  <c:v>39.921000000000006</c:v>
                </c:pt>
                <c:pt idx="2508">
                  <c:v>39.921000000000006</c:v>
                </c:pt>
                <c:pt idx="2509">
                  <c:v>39.921000000000006</c:v>
                </c:pt>
                <c:pt idx="2510">
                  <c:v>39.921000000000006</c:v>
                </c:pt>
                <c:pt idx="2511">
                  <c:v>39.921000000000006</c:v>
                </c:pt>
                <c:pt idx="2512">
                  <c:v>39.921000000000006</c:v>
                </c:pt>
                <c:pt idx="2513">
                  <c:v>39.921000000000006</c:v>
                </c:pt>
                <c:pt idx="2514">
                  <c:v>39.921000000000006</c:v>
                </c:pt>
                <c:pt idx="2515">
                  <c:v>39.921000000000006</c:v>
                </c:pt>
                <c:pt idx="2516">
                  <c:v>39.921000000000006</c:v>
                </c:pt>
              </c:numCache>
            </c:numRef>
          </c:val>
          <c:smooth val="0"/>
          <c:extLst>
            <c:ext xmlns:c16="http://schemas.microsoft.com/office/drawing/2014/chart" uri="{C3380CC4-5D6E-409C-BE32-E72D297353CC}">
              <c16:uniqueId val="{00000002-0CBD-48B0-8C04-EB0E02AC62AA}"/>
            </c:ext>
          </c:extLst>
        </c:ser>
        <c:ser>
          <c:idx val="3"/>
          <c:order val="2"/>
          <c:tx>
            <c:strRef>
              <c:f>'Stock Price Data'!$I$2</c:f>
              <c:strCache>
                <c:ptCount val="1"/>
                <c:pt idx="0">
                  <c:v>Buy Target</c:v>
                </c:pt>
              </c:strCache>
            </c:strRef>
          </c:tx>
          <c:spPr>
            <a:ln w="19050" cmpd="sng">
              <a:solidFill>
                <a:srgbClr val="FF0000"/>
              </a:solidFill>
            </a:ln>
          </c:spPr>
          <c:marker>
            <c:symbol val="none"/>
          </c:marker>
          <c:cat>
            <c:numRef>
              <c:f>'Stock Price Data'!$A$3:$A$2519</c:f>
              <c:numCache>
                <c:formatCode>m/d/yy</c:formatCode>
                <c:ptCount val="2517"/>
                <c:pt idx="0">
                  <c:v>39973</c:v>
                </c:pt>
                <c:pt idx="1">
                  <c:v>39974</c:v>
                </c:pt>
                <c:pt idx="2">
                  <c:v>39975</c:v>
                </c:pt>
                <c:pt idx="3">
                  <c:v>39976</c:v>
                </c:pt>
                <c:pt idx="4">
                  <c:v>39979</c:v>
                </c:pt>
                <c:pt idx="5">
                  <c:v>39980</c:v>
                </c:pt>
                <c:pt idx="6">
                  <c:v>39981</c:v>
                </c:pt>
                <c:pt idx="7">
                  <c:v>39982</c:v>
                </c:pt>
                <c:pt idx="8">
                  <c:v>39983</c:v>
                </c:pt>
                <c:pt idx="9">
                  <c:v>39986</c:v>
                </c:pt>
                <c:pt idx="10">
                  <c:v>39987</c:v>
                </c:pt>
                <c:pt idx="11">
                  <c:v>39988</c:v>
                </c:pt>
                <c:pt idx="12">
                  <c:v>39989</c:v>
                </c:pt>
                <c:pt idx="13">
                  <c:v>39990</c:v>
                </c:pt>
                <c:pt idx="14">
                  <c:v>39993</c:v>
                </c:pt>
                <c:pt idx="15">
                  <c:v>39994</c:v>
                </c:pt>
                <c:pt idx="16">
                  <c:v>39995</c:v>
                </c:pt>
                <c:pt idx="17">
                  <c:v>39996</c:v>
                </c:pt>
                <c:pt idx="18">
                  <c:v>40000</c:v>
                </c:pt>
                <c:pt idx="19">
                  <c:v>40001</c:v>
                </c:pt>
                <c:pt idx="20">
                  <c:v>40002</c:v>
                </c:pt>
                <c:pt idx="21">
                  <c:v>40003</c:v>
                </c:pt>
                <c:pt idx="22">
                  <c:v>40004</c:v>
                </c:pt>
                <c:pt idx="23">
                  <c:v>40007</c:v>
                </c:pt>
                <c:pt idx="24">
                  <c:v>40008</c:v>
                </c:pt>
                <c:pt idx="25">
                  <c:v>40009</c:v>
                </c:pt>
                <c:pt idx="26">
                  <c:v>40010</c:v>
                </c:pt>
                <c:pt idx="27">
                  <c:v>40011</c:v>
                </c:pt>
                <c:pt idx="28">
                  <c:v>40014</c:v>
                </c:pt>
                <c:pt idx="29">
                  <c:v>40015</c:v>
                </c:pt>
                <c:pt idx="30">
                  <c:v>40016</c:v>
                </c:pt>
                <c:pt idx="31">
                  <c:v>40017</c:v>
                </c:pt>
                <c:pt idx="32">
                  <c:v>40018</c:v>
                </c:pt>
                <c:pt idx="33">
                  <c:v>40021</c:v>
                </c:pt>
                <c:pt idx="34">
                  <c:v>40022</c:v>
                </c:pt>
                <c:pt idx="35">
                  <c:v>40023</c:v>
                </c:pt>
                <c:pt idx="36">
                  <c:v>40024</c:v>
                </c:pt>
                <c:pt idx="37">
                  <c:v>40025</c:v>
                </c:pt>
                <c:pt idx="38">
                  <c:v>40028</c:v>
                </c:pt>
                <c:pt idx="39">
                  <c:v>40029</c:v>
                </c:pt>
                <c:pt idx="40">
                  <c:v>40030</c:v>
                </c:pt>
                <c:pt idx="41">
                  <c:v>40031</c:v>
                </c:pt>
                <c:pt idx="42">
                  <c:v>40032</c:v>
                </c:pt>
                <c:pt idx="43">
                  <c:v>40035</c:v>
                </c:pt>
                <c:pt idx="44">
                  <c:v>40036</c:v>
                </c:pt>
                <c:pt idx="45">
                  <c:v>40037</c:v>
                </c:pt>
                <c:pt idx="46">
                  <c:v>40038</c:v>
                </c:pt>
                <c:pt idx="47">
                  <c:v>40039</c:v>
                </c:pt>
                <c:pt idx="48">
                  <c:v>40042</c:v>
                </c:pt>
                <c:pt idx="49">
                  <c:v>40043</c:v>
                </c:pt>
                <c:pt idx="50">
                  <c:v>40044</c:v>
                </c:pt>
                <c:pt idx="51">
                  <c:v>40045</c:v>
                </c:pt>
                <c:pt idx="52">
                  <c:v>40046</c:v>
                </c:pt>
                <c:pt idx="53">
                  <c:v>40049</c:v>
                </c:pt>
                <c:pt idx="54">
                  <c:v>40050</c:v>
                </c:pt>
                <c:pt idx="55">
                  <c:v>40051</c:v>
                </c:pt>
                <c:pt idx="56">
                  <c:v>40052</c:v>
                </c:pt>
                <c:pt idx="57">
                  <c:v>40053</c:v>
                </c:pt>
                <c:pt idx="58">
                  <c:v>40056</c:v>
                </c:pt>
                <c:pt idx="59">
                  <c:v>40057</c:v>
                </c:pt>
                <c:pt idx="60">
                  <c:v>40058</c:v>
                </c:pt>
                <c:pt idx="61">
                  <c:v>40059</c:v>
                </c:pt>
                <c:pt idx="62">
                  <c:v>40060</c:v>
                </c:pt>
                <c:pt idx="63">
                  <c:v>40064</c:v>
                </c:pt>
                <c:pt idx="64">
                  <c:v>40065</c:v>
                </c:pt>
                <c:pt idx="65">
                  <c:v>40066</c:v>
                </c:pt>
                <c:pt idx="66">
                  <c:v>40067</c:v>
                </c:pt>
                <c:pt idx="67">
                  <c:v>40070</c:v>
                </c:pt>
                <c:pt idx="68">
                  <c:v>40071</c:v>
                </c:pt>
                <c:pt idx="69">
                  <c:v>40072</c:v>
                </c:pt>
                <c:pt idx="70">
                  <c:v>40073</c:v>
                </c:pt>
                <c:pt idx="71">
                  <c:v>40074</c:v>
                </c:pt>
                <c:pt idx="72">
                  <c:v>40077</c:v>
                </c:pt>
                <c:pt idx="73">
                  <c:v>40078</c:v>
                </c:pt>
                <c:pt idx="74">
                  <c:v>40079</c:v>
                </c:pt>
                <c:pt idx="75">
                  <c:v>40080</c:v>
                </c:pt>
                <c:pt idx="76">
                  <c:v>40081</c:v>
                </c:pt>
                <c:pt idx="77">
                  <c:v>40084</c:v>
                </c:pt>
                <c:pt idx="78">
                  <c:v>40085</c:v>
                </c:pt>
                <c:pt idx="79">
                  <c:v>40086</c:v>
                </c:pt>
                <c:pt idx="80">
                  <c:v>40087</c:v>
                </c:pt>
                <c:pt idx="81">
                  <c:v>40088</c:v>
                </c:pt>
                <c:pt idx="82">
                  <c:v>40091</c:v>
                </c:pt>
                <c:pt idx="83">
                  <c:v>40092</c:v>
                </c:pt>
                <c:pt idx="84">
                  <c:v>40093</c:v>
                </c:pt>
                <c:pt idx="85">
                  <c:v>40094</c:v>
                </c:pt>
                <c:pt idx="86">
                  <c:v>40095</c:v>
                </c:pt>
                <c:pt idx="87">
                  <c:v>40098</c:v>
                </c:pt>
                <c:pt idx="88">
                  <c:v>40099</c:v>
                </c:pt>
                <c:pt idx="89">
                  <c:v>40100</c:v>
                </c:pt>
                <c:pt idx="90">
                  <c:v>40101</c:v>
                </c:pt>
                <c:pt idx="91">
                  <c:v>40102</c:v>
                </c:pt>
                <c:pt idx="92">
                  <c:v>40105</c:v>
                </c:pt>
                <c:pt idx="93">
                  <c:v>40106</c:v>
                </c:pt>
                <c:pt idx="94">
                  <c:v>40107</c:v>
                </c:pt>
                <c:pt idx="95">
                  <c:v>40108</c:v>
                </c:pt>
                <c:pt idx="96">
                  <c:v>40109</c:v>
                </c:pt>
                <c:pt idx="97">
                  <c:v>40112</c:v>
                </c:pt>
                <c:pt idx="98">
                  <c:v>40113</c:v>
                </c:pt>
                <c:pt idx="99">
                  <c:v>40114</c:v>
                </c:pt>
                <c:pt idx="100">
                  <c:v>40115</c:v>
                </c:pt>
                <c:pt idx="101">
                  <c:v>40116</c:v>
                </c:pt>
                <c:pt idx="102">
                  <c:v>40119</c:v>
                </c:pt>
                <c:pt idx="103">
                  <c:v>40120</c:v>
                </c:pt>
                <c:pt idx="104">
                  <c:v>40121</c:v>
                </c:pt>
                <c:pt idx="105">
                  <c:v>40122</c:v>
                </c:pt>
                <c:pt idx="106">
                  <c:v>40123</c:v>
                </c:pt>
                <c:pt idx="107">
                  <c:v>40126</c:v>
                </c:pt>
                <c:pt idx="108">
                  <c:v>40127</c:v>
                </c:pt>
                <c:pt idx="109">
                  <c:v>40128</c:v>
                </c:pt>
                <c:pt idx="110">
                  <c:v>40129</c:v>
                </c:pt>
                <c:pt idx="111">
                  <c:v>40130</c:v>
                </c:pt>
                <c:pt idx="112">
                  <c:v>40133</c:v>
                </c:pt>
                <c:pt idx="113">
                  <c:v>40134</c:v>
                </c:pt>
                <c:pt idx="114">
                  <c:v>40135</c:v>
                </c:pt>
                <c:pt idx="115">
                  <c:v>40136</c:v>
                </c:pt>
                <c:pt idx="116">
                  <c:v>40137</c:v>
                </c:pt>
                <c:pt idx="117">
                  <c:v>40140</c:v>
                </c:pt>
                <c:pt idx="118">
                  <c:v>40141</c:v>
                </c:pt>
                <c:pt idx="119">
                  <c:v>40142</c:v>
                </c:pt>
                <c:pt idx="120">
                  <c:v>40144</c:v>
                </c:pt>
                <c:pt idx="121">
                  <c:v>40147</c:v>
                </c:pt>
                <c:pt idx="122">
                  <c:v>40148</c:v>
                </c:pt>
                <c:pt idx="123">
                  <c:v>40149</c:v>
                </c:pt>
                <c:pt idx="124">
                  <c:v>40150</c:v>
                </c:pt>
                <c:pt idx="125">
                  <c:v>40151</c:v>
                </c:pt>
                <c:pt idx="126">
                  <c:v>40154</c:v>
                </c:pt>
                <c:pt idx="127">
                  <c:v>40155</c:v>
                </c:pt>
                <c:pt idx="128">
                  <c:v>40156</c:v>
                </c:pt>
                <c:pt idx="129">
                  <c:v>40157</c:v>
                </c:pt>
                <c:pt idx="130">
                  <c:v>40158</c:v>
                </c:pt>
                <c:pt idx="131">
                  <c:v>40161</c:v>
                </c:pt>
                <c:pt idx="132">
                  <c:v>40162</c:v>
                </c:pt>
                <c:pt idx="133">
                  <c:v>40163</c:v>
                </c:pt>
                <c:pt idx="134">
                  <c:v>40164</c:v>
                </c:pt>
                <c:pt idx="135">
                  <c:v>40165</c:v>
                </c:pt>
                <c:pt idx="136">
                  <c:v>40168</c:v>
                </c:pt>
                <c:pt idx="137">
                  <c:v>40169</c:v>
                </c:pt>
                <c:pt idx="138">
                  <c:v>40170</c:v>
                </c:pt>
                <c:pt idx="139">
                  <c:v>40171</c:v>
                </c:pt>
                <c:pt idx="140">
                  <c:v>40175</c:v>
                </c:pt>
                <c:pt idx="141">
                  <c:v>40176</c:v>
                </c:pt>
                <c:pt idx="142">
                  <c:v>40177</c:v>
                </c:pt>
                <c:pt idx="143">
                  <c:v>40178</c:v>
                </c:pt>
                <c:pt idx="144">
                  <c:v>40182</c:v>
                </c:pt>
                <c:pt idx="145">
                  <c:v>40183</c:v>
                </c:pt>
                <c:pt idx="146">
                  <c:v>40184</c:v>
                </c:pt>
                <c:pt idx="147">
                  <c:v>40185</c:v>
                </c:pt>
                <c:pt idx="148">
                  <c:v>40186</c:v>
                </c:pt>
                <c:pt idx="149">
                  <c:v>40189</c:v>
                </c:pt>
                <c:pt idx="150">
                  <c:v>40190</c:v>
                </c:pt>
                <c:pt idx="151">
                  <c:v>40191</c:v>
                </c:pt>
                <c:pt idx="152">
                  <c:v>40192</c:v>
                </c:pt>
                <c:pt idx="153">
                  <c:v>40193</c:v>
                </c:pt>
                <c:pt idx="154">
                  <c:v>40197</c:v>
                </c:pt>
                <c:pt idx="155">
                  <c:v>40198</c:v>
                </c:pt>
                <c:pt idx="156">
                  <c:v>40199</c:v>
                </c:pt>
                <c:pt idx="157">
                  <c:v>40200</c:v>
                </c:pt>
                <c:pt idx="158">
                  <c:v>40203</c:v>
                </c:pt>
                <c:pt idx="159">
                  <c:v>40204</c:v>
                </c:pt>
                <c:pt idx="160">
                  <c:v>40205</c:v>
                </c:pt>
                <c:pt idx="161">
                  <c:v>40206</c:v>
                </c:pt>
                <c:pt idx="162">
                  <c:v>40207</c:v>
                </c:pt>
                <c:pt idx="163">
                  <c:v>40210</c:v>
                </c:pt>
                <c:pt idx="164">
                  <c:v>40211</c:v>
                </c:pt>
                <c:pt idx="165">
                  <c:v>40212</c:v>
                </c:pt>
                <c:pt idx="166">
                  <c:v>40213</c:v>
                </c:pt>
                <c:pt idx="167">
                  <c:v>40214</c:v>
                </c:pt>
                <c:pt idx="168">
                  <c:v>40217</c:v>
                </c:pt>
                <c:pt idx="169">
                  <c:v>40218</c:v>
                </c:pt>
                <c:pt idx="170">
                  <c:v>40219</c:v>
                </c:pt>
                <c:pt idx="171">
                  <c:v>40220</c:v>
                </c:pt>
                <c:pt idx="172">
                  <c:v>40221</c:v>
                </c:pt>
                <c:pt idx="173">
                  <c:v>40225</c:v>
                </c:pt>
                <c:pt idx="174">
                  <c:v>40226</c:v>
                </c:pt>
                <c:pt idx="175">
                  <c:v>40227</c:v>
                </c:pt>
                <c:pt idx="176">
                  <c:v>40228</c:v>
                </c:pt>
                <c:pt idx="177">
                  <c:v>40231</c:v>
                </c:pt>
                <c:pt idx="178">
                  <c:v>40232</c:v>
                </c:pt>
                <c:pt idx="179">
                  <c:v>40233</c:v>
                </c:pt>
                <c:pt idx="180">
                  <c:v>40234</c:v>
                </c:pt>
                <c:pt idx="181">
                  <c:v>40235</c:v>
                </c:pt>
                <c:pt idx="182">
                  <c:v>40238</c:v>
                </c:pt>
                <c:pt idx="183">
                  <c:v>40239</c:v>
                </c:pt>
                <c:pt idx="184">
                  <c:v>40240</c:v>
                </c:pt>
                <c:pt idx="185">
                  <c:v>40241</c:v>
                </c:pt>
                <c:pt idx="186">
                  <c:v>40242</c:v>
                </c:pt>
                <c:pt idx="187">
                  <c:v>40245</c:v>
                </c:pt>
                <c:pt idx="188">
                  <c:v>40246</c:v>
                </c:pt>
                <c:pt idx="189">
                  <c:v>40247</c:v>
                </c:pt>
                <c:pt idx="190">
                  <c:v>40248</c:v>
                </c:pt>
                <c:pt idx="191">
                  <c:v>40249</c:v>
                </c:pt>
                <c:pt idx="192">
                  <c:v>40252</c:v>
                </c:pt>
                <c:pt idx="193">
                  <c:v>40253</c:v>
                </c:pt>
                <c:pt idx="194">
                  <c:v>40254</c:v>
                </c:pt>
                <c:pt idx="195">
                  <c:v>40255</c:v>
                </c:pt>
                <c:pt idx="196">
                  <c:v>40256</c:v>
                </c:pt>
                <c:pt idx="197">
                  <c:v>40259</c:v>
                </c:pt>
                <c:pt idx="198">
                  <c:v>40260</c:v>
                </c:pt>
                <c:pt idx="199">
                  <c:v>40261</c:v>
                </c:pt>
                <c:pt idx="200">
                  <c:v>40262</c:v>
                </c:pt>
                <c:pt idx="201">
                  <c:v>40263</c:v>
                </c:pt>
                <c:pt idx="202">
                  <c:v>40266</c:v>
                </c:pt>
                <c:pt idx="203">
                  <c:v>40267</c:v>
                </c:pt>
                <c:pt idx="204">
                  <c:v>40268</c:v>
                </c:pt>
                <c:pt idx="205">
                  <c:v>40269</c:v>
                </c:pt>
                <c:pt idx="206">
                  <c:v>40273</c:v>
                </c:pt>
                <c:pt idx="207">
                  <c:v>40274</c:v>
                </c:pt>
                <c:pt idx="208">
                  <c:v>40275</c:v>
                </c:pt>
                <c:pt idx="209">
                  <c:v>40276</c:v>
                </c:pt>
                <c:pt idx="210">
                  <c:v>40277</c:v>
                </c:pt>
                <c:pt idx="211">
                  <c:v>40280</c:v>
                </c:pt>
                <c:pt idx="212">
                  <c:v>40281</c:v>
                </c:pt>
                <c:pt idx="213">
                  <c:v>40282</c:v>
                </c:pt>
                <c:pt idx="214">
                  <c:v>40283</c:v>
                </c:pt>
                <c:pt idx="215">
                  <c:v>40284</c:v>
                </c:pt>
                <c:pt idx="216">
                  <c:v>40287</c:v>
                </c:pt>
                <c:pt idx="217">
                  <c:v>40288</c:v>
                </c:pt>
                <c:pt idx="218">
                  <c:v>40289</c:v>
                </c:pt>
                <c:pt idx="219">
                  <c:v>40290</c:v>
                </c:pt>
                <c:pt idx="220">
                  <c:v>40291</c:v>
                </c:pt>
                <c:pt idx="221">
                  <c:v>40294</c:v>
                </c:pt>
                <c:pt idx="222">
                  <c:v>40295</c:v>
                </c:pt>
                <c:pt idx="223">
                  <c:v>40296</c:v>
                </c:pt>
                <c:pt idx="224">
                  <c:v>40297</c:v>
                </c:pt>
                <c:pt idx="225">
                  <c:v>40298</c:v>
                </c:pt>
                <c:pt idx="226">
                  <c:v>40301</c:v>
                </c:pt>
                <c:pt idx="227">
                  <c:v>40302</c:v>
                </c:pt>
                <c:pt idx="228">
                  <c:v>40303</c:v>
                </c:pt>
                <c:pt idx="229">
                  <c:v>40304</c:v>
                </c:pt>
                <c:pt idx="230">
                  <c:v>40305</c:v>
                </c:pt>
                <c:pt idx="231">
                  <c:v>40308</c:v>
                </c:pt>
                <c:pt idx="232">
                  <c:v>40309</c:v>
                </c:pt>
                <c:pt idx="233">
                  <c:v>40310</c:v>
                </c:pt>
                <c:pt idx="234">
                  <c:v>40311</c:v>
                </c:pt>
                <c:pt idx="235">
                  <c:v>40312</c:v>
                </c:pt>
                <c:pt idx="236">
                  <c:v>40315</c:v>
                </c:pt>
                <c:pt idx="237">
                  <c:v>40316</c:v>
                </c:pt>
                <c:pt idx="238">
                  <c:v>40317</c:v>
                </c:pt>
                <c:pt idx="239">
                  <c:v>40318</c:v>
                </c:pt>
                <c:pt idx="240">
                  <c:v>40319</c:v>
                </c:pt>
                <c:pt idx="241">
                  <c:v>40322</c:v>
                </c:pt>
                <c:pt idx="242">
                  <c:v>40323</c:v>
                </c:pt>
                <c:pt idx="243">
                  <c:v>40324</c:v>
                </c:pt>
                <c:pt idx="244">
                  <c:v>40325</c:v>
                </c:pt>
                <c:pt idx="245">
                  <c:v>40326</c:v>
                </c:pt>
                <c:pt idx="246">
                  <c:v>40330</c:v>
                </c:pt>
                <c:pt idx="247">
                  <c:v>40331</c:v>
                </c:pt>
                <c:pt idx="248">
                  <c:v>40332</c:v>
                </c:pt>
                <c:pt idx="249">
                  <c:v>40333</c:v>
                </c:pt>
                <c:pt idx="250">
                  <c:v>40336</c:v>
                </c:pt>
                <c:pt idx="251">
                  <c:v>40337</c:v>
                </c:pt>
                <c:pt idx="252">
                  <c:v>40338</c:v>
                </c:pt>
                <c:pt idx="253">
                  <c:v>40339</c:v>
                </c:pt>
                <c:pt idx="254">
                  <c:v>40340</c:v>
                </c:pt>
                <c:pt idx="255">
                  <c:v>40343</c:v>
                </c:pt>
                <c:pt idx="256">
                  <c:v>40344</c:v>
                </c:pt>
                <c:pt idx="257">
                  <c:v>40345</c:v>
                </c:pt>
                <c:pt idx="258">
                  <c:v>40346</c:v>
                </c:pt>
                <c:pt idx="259">
                  <c:v>40347</c:v>
                </c:pt>
                <c:pt idx="260">
                  <c:v>40350</c:v>
                </c:pt>
                <c:pt idx="261">
                  <c:v>40351</c:v>
                </c:pt>
                <c:pt idx="262">
                  <c:v>40352</c:v>
                </c:pt>
                <c:pt idx="263">
                  <c:v>40353</c:v>
                </c:pt>
                <c:pt idx="264">
                  <c:v>40354</c:v>
                </c:pt>
                <c:pt idx="265">
                  <c:v>40357</c:v>
                </c:pt>
                <c:pt idx="266">
                  <c:v>40358</c:v>
                </c:pt>
                <c:pt idx="267">
                  <c:v>40359</c:v>
                </c:pt>
                <c:pt idx="268">
                  <c:v>40360</c:v>
                </c:pt>
                <c:pt idx="269">
                  <c:v>40361</c:v>
                </c:pt>
                <c:pt idx="270">
                  <c:v>40365</c:v>
                </c:pt>
                <c:pt idx="271">
                  <c:v>40366</c:v>
                </c:pt>
                <c:pt idx="272">
                  <c:v>40367</c:v>
                </c:pt>
                <c:pt idx="273">
                  <c:v>40368</c:v>
                </c:pt>
                <c:pt idx="274">
                  <c:v>40371</c:v>
                </c:pt>
                <c:pt idx="275">
                  <c:v>40372</c:v>
                </c:pt>
                <c:pt idx="276">
                  <c:v>40373</c:v>
                </c:pt>
                <c:pt idx="277">
                  <c:v>40374</c:v>
                </c:pt>
                <c:pt idx="278">
                  <c:v>40375</c:v>
                </c:pt>
                <c:pt idx="279">
                  <c:v>40378</c:v>
                </c:pt>
                <c:pt idx="280">
                  <c:v>40379</c:v>
                </c:pt>
                <c:pt idx="281">
                  <c:v>40380</c:v>
                </c:pt>
                <c:pt idx="282">
                  <c:v>40381</c:v>
                </c:pt>
                <c:pt idx="283">
                  <c:v>40382</c:v>
                </c:pt>
                <c:pt idx="284">
                  <c:v>40385</c:v>
                </c:pt>
                <c:pt idx="285">
                  <c:v>40386</c:v>
                </c:pt>
                <c:pt idx="286">
                  <c:v>40387</c:v>
                </c:pt>
                <c:pt idx="287">
                  <c:v>40388</c:v>
                </c:pt>
                <c:pt idx="288">
                  <c:v>40389</c:v>
                </c:pt>
                <c:pt idx="289">
                  <c:v>40392</c:v>
                </c:pt>
                <c:pt idx="290">
                  <c:v>40393</c:v>
                </c:pt>
                <c:pt idx="291">
                  <c:v>40394</c:v>
                </c:pt>
                <c:pt idx="292">
                  <c:v>40395</c:v>
                </c:pt>
                <c:pt idx="293">
                  <c:v>40396</c:v>
                </c:pt>
                <c:pt idx="294">
                  <c:v>40399</c:v>
                </c:pt>
                <c:pt idx="295">
                  <c:v>40400</c:v>
                </c:pt>
                <c:pt idx="296">
                  <c:v>40401</c:v>
                </c:pt>
                <c:pt idx="297">
                  <c:v>40402</c:v>
                </c:pt>
                <c:pt idx="298">
                  <c:v>40403</c:v>
                </c:pt>
                <c:pt idx="299">
                  <c:v>40406</c:v>
                </c:pt>
                <c:pt idx="300">
                  <c:v>40407</c:v>
                </c:pt>
                <c:pt idx="301">
                  <c:v>40408</c:v>
                </c:pt>
                <c:pt idx="302">
                  <c:v>40409</c:v>
                </c:pt>
                <c:pt idx="303">
                  <c:v>40410</c:v>
                </c:pt>
                <c:pt idx="304">
                  <c:v>40413</c:v>
                </c:pt>
                <c:pt idx="305">
                  <c:v>40414</c:v>
                </c:pt>
                <c:pt idx="306">
                  <c:v>40415</c:v>
                </c:pt>
                <c:pt idx="307">
                  <c:v>40416</c:v>
                </c:pt>
                <c:pt idx="308">
                  <c:v>40417</c:v>
                </c:pt>
                <c:pt idx="309">
                  <c:v>40420</c:v>
                </c:pt>
                <c:pt idx="310">
                  <c:v>40421</c:v>
                </c:pt>
                <c:pt idx="311">
                  <c:v>40422</c:v>
                </c:pt>
                <c:pt idx="312">
                  <c:v>40423</c:v>
                </c:pt>
                <c:pt idx="313">
                  <c:v>40424</c:v>
                </c:pt>
                <c:pt idx="314">
                  <c:v>40428</c:v>
                </c:pt>
                <c:pt idx="315">
                  <c:v>40429</c:v>
                </c:pt>
                <c:pt idx="316">
                  <c:v>40430</c:v>
                </c:pt>
                <c:pt idx="317">
                  <c:v>40431</c:v>
                </c:pt>
                <c:pt idx="318">
                  <c:v>40434</c:v>
                </c:pt>
                <c:pt idx="319">
                  <c:v>40435</c:v>
                </c:pt>
                <c:pt idx="320">
                  <c:v>40436</c:v>
                </c:pt>
                <c:pt idx="321">
                  <c:v>40437</c:v>
                </c:pt>
                <c:pt idx="322">
                  <c:v>40438</c:v>
                </c:pt>
                <c:pt idx="323">
                  <c:v>40441</c:v>
                </c:pt>
                <c:pt idx="324">
                  <c:v>40442</c:v>
                </c:pt>
                <c:pt idx="325">
                  <c:v>40443</c:v>
                </c:pt>
                <c:pt idx="326">
                  <c:v>40444</c:v>
                </c:pt>
                <c:pt idx="327">
                  <c:v>40445</c:v>
                </c:pt>
                <c:pt idx="328">
                  <c:v>40448</c:v>
                </c:pt>
                <c:pt idx="329">
                  <c:v>40449</c:v>
                </c:pt>
                <c:pt idx="330">
                  <c:v>40450</c:v>
                </c:pt>
                <c:pt idx="331">
                  <c:v>40451</c:v>
                </c:pt>
                <c:pt idx="332">
                  <c:v>40452</c:v>
                </c:pt>
                <c:pt idx="333">
                  <c:v>40455</c:v>
                </c:pt>
                <c:pt idx="334">
                  <c:v>40456</c:v>
                </c:pt>
                <c:pt idx="335">
                  <c:v>40457</c:v>
                </c:pt>
                <c:pt idx="336">
                  <c:v>40458</c:v>
                </c:pt>
                <c:pt idx="337">
                  <c:v>40459</c:v>
                </c:pt>
                <c:pt idx="338">
                  <c:v>40462</c:v>
                </c:pt>
                <c:pt idx="339">
                  <c:v>40463</c:v>
                </c:pt>
                <c:pt idx="340">
                  <c:v>40464</c:v>
                </c:pt>
                <c:pt idx="341">
                  <c:v>40465</c:v>
                </c:pt>
                <c:pt idx="342">
                  <c:v>40466</c:v>
                </c:pt>
                <c:pt idx="343">
                  <c:v>40469</c:v>
                </c:pt>
                <c:pt idx="344">
                  <c:v>40470</c:v>
                </c:pt>
                <c:pt idx="345">
                  <c:v>40471</c:v>
                </c:pt>
                <c:pt idx="346">
                  <c:v>40472</c:v>
                </c:pt>
                <c:pt idx="347">
                  <c:v>40473</c:v>
                </c:pt>
                <c:pt idx="348">
                  <c:v>40476</c:v>
                </c:pt>
                <c:pt idx="349">
                  <c:v>40477</c:v>
                </c:pt>
                <c:pt idx="350">
                  <c:v>40478</c:v>
                </c:pt>
                <c:pt idx="351">
                  <c:v>40479</c:v>
                </c:pt>
                <c:pt idx="352">
                  <c:v>40480</c:v>
                </c:pt>
                <c:pt idx="353">
                  <c:v>40483</c:v>
                </c:pt>
                <c:pt idx="354">
                  <c:v>40484</c:v>
                </c:pt>
                <c:pt idx="355">
                  <c:v>40485</c:v>
                </c:pt>
                <c:pt idx="356">
                  <c:v>40486</c:v>
                </c:pt>
                <c:pt idx="357">
                  <c:v>40487</c:v>
                </c:pt>
                <c:pt idx="358">
                  <c:v>40490</c:v>
                </c:pt>
                <c:pt idx="359">
                  <c:v>40491</c:v>
                </c:pt>
                <c:pt idx="360">
                  <c:v>40492</c:v>
                </c:pt>
                <c:pt idx="361">
                  <c:v>40493</c:v>
                </c:pt>
                <c:pt idx="362">
                  <c:v>40494</c:v>
                </c:pt>
                <c:pt idx="363">
                  <c:v>40497</c:v>
                </c:pt>
                <c:pt idx="364">
                  <c:v>40498</c:v>
                </c:pt>
                <c:pt idx="365">
                  <c:v>40499</c:v>
                </c:pt>
                <c:pt idx="366">
                  <c:v>40500</c:v>
                </c:pt>
                <c:pt idx="367">
                  <c:v>40501</c:v>
                </c:pt>
                <c:pt idx="368">
                  <c:v>40504</c:v>
                </c:pt>
                <c:pt idx="369">
                  <c:v>40505</c:v>
                </c:pt>
                <c:pt idx="370">
                  <c:v>40506</c:v>
                </c:pt>
                <c:pt idx="371">
                  <c:v>40508</c:v>
                </c:pt>
                <c:pt idx="372">
                  <c:v>40511</c:v>
                </c:pt>
                <c:pt idx="373">
                  <c:v>40512</c:v>
                </c:pt>
                <c:pt idx="374">
                  <c:v>40513</c:v>
                </c:pt>
                <c:pt idx="375">
                  <c:v>40514</c:v>
                </c:pt>
                <c:pt idx="376">
                  <c:v>40515</c:v>
                </c:pt>
                <c:pt idx="377">
                  <c:v>40518</c:v>
                </c:pt>
                <c:pt idx="378">
                  <c:v>40519</c:v>
                </c:pt>
                <c:pt idx="379">
                  <c:v>40520</c:v>
                </c:pt>
                <c:pt idx="380">
                  <c:v>40521</c:v>
                </c:pt>
                <c:pt idx="381">
                  <c:v>40522</c:v>
                </c:pt>
                <c:pt idx="382">
                  <c:v>40525</c:v>
                </c:pt>
                <c:pt idx="383">
                  <c:v>40526</c:v>
                </c:pt>
                <c:pt idx="384">
                  <c:v>40527</c:v>
                </c:pt>
                <c:pt idx="385">
                  <c:v>40528</c:v>
                </c:pt>
                <c:pt idx="386">
                  <c:v>40529</c:v>
                </c:pt>
                <c:pt idx="387">
                  <c:v>40532</c:v>
                </c:pt>
                <c:pt idx="388">
                  <c:v>40533</c:v>
                </c:pt>
                <c:pt idx="389">
                  <c:v>40534</c:v>
                </c:pt>
                <c:pt idx="390">
                  <c:v>40535</c:v>
                </c:pt>
                <c:pt idx="391">
                  <c:v>40539</c:v>
                </c:pt>
                <c:pt idx="392">
                  <c:v>40540</c:v>
                </c:pt>
                <c:pt idx="393">
                  <c:v>40541</c:v>
                </c:pt>
                <c:pt idx="394">
                  <c:v>40542</c:v>
                </c:pt>
                <c:pt idx="395">
                  <c:v>40543</c:v>
                </c:pt>
                <c:pt idx="396">
                  <c:v>40546</c:v>
                </c:pt>
                <c:pt idx="397">
                  <c:v>40547</c:v>
                </c:pt>
                <c:pt idx="398">
                  <c:v>40548</c:v>
                </c:pt>
                <c:pt idx="399">
                  <c:v>40549</c:v>
                </c:pt>
                <c:pt idx="400">
                  <c:v>40550</c:v>
                </c:pt>
                <c:pt idx="401">
                  <c:v>40553</c:v>
                </c:pt>
                <c:pt idx="402">
                  <c:v>40554</c:v>
                </c:pt>
                <c:pt idx="403">
                  <c:v>40555</c:v>
                </c:pt>
                <c:pt idx="404">
                  <c:v>40556</c:v>
                </c:pt>
                <c:pt idx="405">
                  <c:v>40557</c:v>
                </c:pt>
                <c:pt idx="406">
                  <c:v>40561</c:v>
                </c:pt>
                <c:pt idx="407">
                  <c:v>40562</c:v>
                </c:pt>
                <c:pt idx="408">
                  <c:v>40563</c:v>
                </c:pt>
                <c:pt idx="409">
                  <c:v>40564</c:v>
                </c:pt>
                <c:pt idx="410">
                  <c:v>40567</c:v>
                </c:pt>
                <c:pt idx="411">
                  <c:v>40568</c:v>
                </c:pt>
                <c:pt idx="412">
                  <c:v>40569</c:v>
                </c:pt>
                <c:pt idx="413">
                  <c:v>40570</c:v>
                </c:pt>
                <c:pt idx="414">
                  <c:v>40571</c:v>
                </c:pt>
                <c:pt idx="415">
                  <c:v>40574</c:v>
                </c:pt>
                <c:pt idx="416">
                  <c:v>40575</c:v>
                </c:pt>
                <c:pt idx="417">
                  <c:v>40576</c:v>
                </c:pt>
                <c:pt idx="418">
                  <c:v>40577</c:v>
                </c:pt>
                <c:pt idx="419">
                  <c:v>40578</c:v>
                </c:pt>
                <c:pt idx="420">
                  <c:v>40581</c:v>
                </c:pt>
                <c:pt idx="421">
                  <c:v>40582</c:v>
                </c:pt>
                <c:pt idx="422">
                  <c:v>40583</c:v>
                </c:pt>
                <c:pt idx="423">
                  <c:v>40584</c:v>
                </c:pt>
                <c:pt idx="424">
                  <c:v>40585</c:v>
                </c:pt>
                <c:pt idx="425">
                  <c:v>40588</c:v>
                </c:pt>
                <c:pt idx="426">
                  <c:v>40589</c:v>
                </c:pt>
                <c:pt idx="427">
                  <c:v>40590</c:v>
                </c:pt>
                <c:pt idx="428">
                  <c:v>40591</c:v>
                </c:pt>
                <c:pt idx="429">
                  <c:v>40592</c:v>
                </c:pt>
                <c:pt idx="430">
                  <c:v>40596</c:v>
                </c:pt>
                <c:pt idx="431">
                  <c:v>40597</c:v>
                </c:pt>
                <c:pt idx="432">
                  <c:v>40598</c:v>
                </c:pt>
                <c:pt idx="433">
                  <c:v>40599</c:v>
                </c:pt>
                <c:pt idx="434">
                  <c:v>40602</c:v>
                </c:pt>
                <c:pt idx="435">
                  <c:v>40603</c:v>
                </c:pt>
                <c:pt idx="436">
                  <c:v>40604</c:v>
                </c:pt>
                <c:pt idx="437">
                  <c:v>40605</c:v>
                </c:pt>
                <c:pt idx="438">
                  <c:v>40606</c:v>
                </c:pt>
                <c:pt idx="439">
                  <c:v>40609</c:v>
                </c:pt>
                <c:pt idx="440">
                  <c:v>40610</c:v>
                </c:pt>
                <c:pt idx="441">
                  <c:v>40611</c:v>
                </c:pt>
                <c:pt idx="442">
                  <c:v>40612</c:v>
                </c:pt>
                <c:pt idx="443">
                  <c:v>40613</c:v>
                </c:pt>
                <c:pt idx="444">
                  <c:v>40616</c:v>
                </c:pt>
                <c:pt idx="445">
                  <c:v>40617</c:v>
                </c:pt>
                <c:pt idx="446">
                  <c:v>40618</c:v>
                </c:pt>
                <c:pt idx="447">
                  <c:v>40619</c:v>
                </c:pt>
                <c:pt idx="448">
                  <c:v>40620</c:v>
                </c:pt>
                <c:pt idx="449">
                  <c:v>40623</c:v>
                </c:pt>
                <c:pt idx="450">
                  <c:v>40624</c:v>
                </c:pt>
                <c:pt idx="451">
                  <c:v>40625</c:v>
                </c:pt>
                <c:pt idx="452">
                  <c:v>40626</c:v>
                </c:pt>
                <c:pt idx="453">
                  <c:v>40627</c:v>
                </c:pt>
                <c:pt idx="454">
                  <c:v>40630</c:v>
                </c:pt>
                <c:pt idx="455">
                  <c:v>40631</c:v>
                </c:pt>
                <c:pt idx="456">
                  <c:v>40632</c:v>
                </c:pt>
                <c:pt idx="457">
                  <c:v>40633</c:v>
                </c:pt>
                <c:pt idx="458">
                  <c:v>40634</c:v>
                </c:pt>
                <c:pt idx="459">
                  <c:v>40637</c:v>
                </c:pt>
                <c:pt idx="460">
                  <c:v>40638</c:v>
                </c:pt>
                <c:pt idx="461">
                  <c:v>40639</c:v>
                </c:pt>
                <c:pt idx="462">
                  <c:v>40640</c:v>
                </c:pt>
                <c:pt idx="463">
                  <c:v>40641</c:v>
                </c:pt>
                <c:pt idx="464">
                  <c:v>40644</c:v>
                </c:pt>
                <c:pt idx="465">
                  <c:v>40645</c:v>
                </c:pt>
                <c:pt idx="466">
                  <c:v>40646</c:v>
                </c:pt>
                <c:pt idx="467">
                  <c:v>40647</c:v>
                </c:pt>
                <c:pt idx="468">
                  <c:v>40648</c:v>
                </c:pt>
                <c:pt idx="469">
                  <c:v>40651</c:v>
                </c:pt>
                <c:pt idx="470">
                  <c:v>40652</c:v>
                </c:pt>
                <c:pt idx="471">
                  <c:v>40653</c:v>
                </c:pt>
                <c:pt idx="472">
                  <c:v>40654</c:v>
                </c:pt>
                <c:pt idx="473">
                  <c:v>40658</c:v>
                </c:pt>
                <c:pt idx="474">
                  <c:v>40659</c:v>
                </c:pt>
                <c:pt idx="475">
                  <c:v>40660</c:v>
                </c:pt>
                <c:pt idx="476">
                  <c:v>40661</c:v>
                </c:pt>
                <c:pt idx="477">
                  <c:v>40662</c:v>
                </c:pt>
                <c:pt idx="478">
                  <c:v>40665</c:v>
                </c:pt>
                <c:pt idx="479">
                  <c:v>40666</c:v>
                </c:pt>
                <c:pt idx="480">
                  <c:v>40667</c:v>
                </c:pt>
                <c:pt idx="481">
                  <c:v>40668</c:v>
                </c:pt>
                <c:pt idx="482">
                  <c:v>40669</c:v>
                </c:pt>
                <c:pt idx="483">
                  <c:v>40672</c:v>
                </c:pt>
                <c:pt idx="484">
                  <c:v>40673</c:v>
                </c:pt>
                <c:pt idx="485">
                  <c:v>40674</c:v>
                </c:pt>
                <c:pt idx="486">
                  <c:v>40675</c:v>
                </c:pt>
                <c:pt idx="487">
                  <c:v>40676</c:v>
                </c:pt>
                <c:pt idx="488">
                  <c:v>40679</c:v>
                </c:pt>
                <c:pt idx="489">
                  <c:v>40680</c:v>
                </c:pt>
                <c:pt idx="490">
                  <c:v>40681</c:v>
                </c:pt>
                <c:pt idx="491">
                  <c:v>40682</c:v>
                </c:pt>
                <c:pt idx="492">
                  <c:v>40683</c:v>
                </c:pt>
                <c:pt idx="493">
                  <c:v>40686</c:v>
                </c:pt>
                <c:pt idx="494">
                  <c:v>40687</c:v>
                </c:pt>
                <c:pt idx="495">
                  <c:v>40688</c:v>
                </c:pt>
                <c:pt idx="496">
                  <c:v>40689</c:v>
                </c:pt>
                <c:pt idx="497">
                  <c:v>40690</c:v>
                </c:pt>
                <c:pt idx="498">
                  <c:v>40694</c:v>
                </c:pt>
                <c:pt idx="499">
                  <c:v>40695</c:v>
                </c:pt>
                <c:pt idx="500">
                  <c:v>40696</c:v>
                </c:pt>
                <c:pt idx="501">
                  <c:v>40697</c:v>
                </c:pt>
                <c:pt idx="502">
                  <c:v>40700</c:v>
                </c:pt>
                <c:pt idx="503">
                  <c:v>40701</c:v>
                </c:pt>
                <c:pt idx="504">
                  <c:v>40702</c:v>
                </c:pt>
                <c:pt idx="505">
                  <c:v>40703</c:v>
                </c:pt>
                <c:pt idx="506">
                  <c:v>40704</c:v>
                </c:pt>
                <c:pt idx="507">
                  <c:v>40707</c:v>
                </c:pt>
                <c:pt idx="508">
                  <c:v>40708</c:v>
                </c:pt>
                <c:pt idx="509">
                  <c:v>40709</c:v>
                </c:pt>
                <c:pt idx="510">
                  <c:v>40710</c:v>
                </c:pt>
                <c:pt idx="511">
                  <c:v>40711</c:v>
                </c:pt>
                <c:pt idx="512">
                  <c:v>40714</c:v>
                </c:pt>
                <c:pt idx="513">
                  <c:v>40715</c:v>
                </c:pt>
                <c:pt idx="514">
                  <c:v>40716</c:v>
                </c:pt>
                <c:pt idx="515">
                  <c:v>40717</c:v>
                </c:pt>
                <c:pt idx="516">
                  <c:v>40718</c:v>
                </c:pt>
                <c:pt idx="517">
                  <c:v>40721</c:v>
                </c:pt>
                <c:pt idx="518">
                  <c:v>40722</c:v>
                </c:pt>
                <c:pt idx="519">
                  <c:v>40723</c:v>
                </c:pt>
                <c:pt idx="520">
                  <c:v>40724</c:v>
                </c:pt>
                <c:pt idx="521">
                  <c:v>40725</c:v>
                </c:pt>
                <c:pt idx="522">
                  <c:v>40729</c:v>
                </c:pt>
                <c:pt idx="523">
                  <c:v>40730</c:v>
                </c:pt>
                <c:pt idx="524">
                  <c:v>40731</c:v>
                </c:pt>
                <c:pt idx="525">
                  <c:v>40732</c:v>
                </c:pt>
                <c:pt idx="526">
                  <c:v>40735</c:v>
                </c:pt>
                <c:pt idx="527">
                  <c:v>40736</c:v>
                </c:pt>
                <c:pt idx="528">
                  <c:v>40737</c:v>
                </c:pt>
                <c:pt idx="529">
                  <c:v>40738</c:v>
                </c:pt>
                <c:pt idx="530">
                  <c:v>40739</c:v>
                </c:pt>
                <c:pt idx="531">
                  <c:v>40742</c:v>
                </c:pt>
                <c:pt idx="532">
                  <c:v>40743</c:v>
                </c:pt>
                <c:pt idx="533">
                  <c:v>40744</c:v>
                </c:pt>
                <c:pt idx="534">
                  <c:v>40745</c:v>
                </c:pt>
                <c:pt idx="535">
                  <c:v>40746</c:v>
                </c:pt>
                <c:pt idx="536">
                  <c:v>40749</c:v>
                </c:pt>
                <c:pt idx="537">
                  <c:v>40750</c:v>
                </c:pt>
                <c:pt idx="538">
                  <c:v>40751</c:v>
                </c:pt>
                <c:pt idx="539">
                  <c:v>40752</c:v>
                </c:pt>
                <c:pt idx="540">
                  <c:v>40753</c:v>
                </c:pt>
                <c:pt idx="541">
                  <c:v>40756</c:v>
                </c:pt>
                <c:pt idx="542">
                  <c:v>40757</c:v>
                </c:pt>
                <c:pt idx="543">
                  <c:v>40758</c:v>
                </c:pt>
                <c:pt idx="544">
                  <c:v>40759</c:v>
                </c:pt>
                <c:pt idx="545">
                  <c:v>40760</c:v>
                </c:pt>
                <c:pt idx="546">
                  <c:v>40763</c:v>
                </c:pt>
                <c:pt idx="547">
                  <c:v>40764</c:v>
                </c:pt>
                <c:pt idx="548">
                  <c:v>40765</c:v>
                </c:pt>
                <c:pt idx="549">
                  <c:v>40766</c:v>
                </c:pt>
                <c:pt idx="550">
                  <c:v>40767</c:v>
                </c:pt>
                <c:pt idx="551">
                  <c:v>40770</c:v>
                </c:pt>
                <c:pt idx="552">
                  <c:v>40771</c:v>
                </c:pt>
                <c:pt idx="553">
                  <c:v>40772</c:v>
                </c:pt>
                <c:pt idx="554">
                  <c:v>40773</c:v>
                </c:pt>
                <c:pt idx="555">
                  <c:v>40774</c:v>
                </c:pt>
                <c:pt idx="556">
                  <c:v>40777</c:v>
                </c:pt>
                <c:pt idx="557">
                  <c:v>40778</c:v>
                </c:pt>
                <c:pt idx="558">
                  <c:v>40779</c:v>
                </c:pt>
                <c:pt idx="559">
                  <c:v>40780</c:v>
                </c:pt>
                <c:pt idx="560">
                  <c:v>40781</c:v>
                </c:pt>
                <c:pt idx="561">
                  <c:v>40784</c:v>
                </c:pt>
                <c:pt idx="562">
                  <c:v>40785</c:v>
                </c:pt>
                <c:pt idx="563">
                  <c:v>40786</c:v>
                </c:pt>
                <c:pt idx="564">
                  <c:v>40787</c:v>
                </c:pt>
                <c:pt idx="565">
                  <c:v>40788</c:v>
                </c:pt>
                <c:pt idx="566">
                  <c:v>40792</c:v>
                </c:pt>
                <c:pt idx="567">
                  <c:v>40793</c:v>
                </c:pt>
                <c:pt idx="568">
                  <c:v>40794</c:v>
                </c:pt>
                <c:pt idx="569">
                  <c:v>40795</c:v>
                </c:pt>
                <c:pt idx="570">
                  <c:v>40798</c:v>
                </c:pt>
                <c:pt idx="571">
                  <c:v>40799</c:v>
                </c:pt>
                <c:pt idx="572">
                  <c:v>40800</c:v>
                </c:pt>
                <c:pt idx="573">
                  <c:v>40801</c:v>
                </c:pt>
                <c:pt idx="574">
                  <c:v>40802</c:v>
                </c:pt>
                <c:pt idx="575">
                  <c:v>40805</c:v>
                </c:pt>
                <c:pt idx="576">
                  <c:v>40806</c:v>
                </c:pt>
                <c:pt idx="577">
                  <c:v>40807</c:v>
                </c:pt>
                <c:pt idx="578">
                  <c:v>40808</c:v>
                </c:pt>
                <c:pt idx="579">
                  <c:v>40809</c:v>
                </c:pt>
                <c:pt idx="580">
                  <c:v>40812</c:v>
                </c:pt>
                <c:pt idx="581">
                  <c:v>40813</c:v>
                </c:pt>
                <c:pt idx="582">
                  <c:v>40814</c:v>
                </c:pt>
                <c:pt idx="583">
                  <c:v>40815</c:v>
                </c:pt>
                <c:pt idx="584">
                  <c:v>40816</c:v>
                </c:pt>
                <c:pt idx="585">
                  <c:v>40819</c:v>
                </c:pt>
                <c:pt idx="586">
                  <c:v>40820</c:v>
                </c:pt>
                <c:pt idx="587">
                  <c:v>40821</c:v>
                </c:pt>
                <c:pt idx="588">
                  <c:v>40822</c:v>
                </c:pt>
                <c:pt idx="589">
                  <c:v>40823</c:v>
                </c:pt>
                <c:pt idx="590">
                  <c:v>40826</c:v>
                </c:pt>
                <c:pt idx="591">
                  <c:v>40827</c:v>
                </c:pt>
                <c:pt idx="592">
                  <c:v>40828</c:v>
                </c:pt>
                <c:pt idx="593">
                  <c:v>40829</c:v>
                </c:pt>
                <c:pt idx="594">
                  <c:v>40830</c:v>
                </c:pt>
                <c:pt idx="595">
                  <c:v>40833</c:v>
                </c:pt>
                <c:pt idx="596">
                  <c:v>40834</c:v>
                </c:pt>
                <c:pt idx="597">
                  <c:v>40835</c:v>
                </c:pt>
                <c:pt idx="598">
                  <c:v>40836</c:v>
                </c:pt>
                <c:pt idx="599">
                  <c:v>40837</c:v>
                </c:pt>
                <c:pt idx="600">
                  <c:v>40840</c:v>
                </c:pt>
                <c:pt idx="601">
                  <c:v>40841</c:v>
                </c:pt>
                <c:pt idx="602">
                  <c:v>40842</c:v>
                </c:pt>
                <c:pt idx="603">
                  <c:v>40843</c:v>
                </c:pt>
                <c:pt idx="604">
                  <c:v>40844</c:v>
                </c:pt>
                <c:pt idx="605">
                  <c:v>40847</c:v>
                </c:pt>
                <c:pt idx="606">
                  <c:v>40848</c:v>
                </c:pt>
                <c:pt idx="607">
                  <c:v>40849</c:v>
                </c:pt>
                <c:pt idx="608">
                  <c:v>40850</c:v>
                </c:pt>
                <c:pt idx="609">
                  <c:v>40851</c:v>
                </c:pt>
                <c:pt idx="610">
                  <c:v>40854</c:v>
                </c:pt>
                <c:pt idx="611">
                  <c:v>40855</c:v>
                </c:pt>
                <c:pt idx="612">
                  <c:v>40856</c:v>
                </c:pt>
                <c:pt idx="613">
                  <c:v>40857</c:v>
                </c:pt>
                <c:pt idx="614">
                  <c:v>40858</c:v>
                </c:pt>
                <c:pt idx="615">
                  <c:v>40861</c:v>
                </c:pt>
                <c:pt idx="616">
                  <c:v>40862</c:v>
                </c:pt>
                <c:pt idx="617">
                  <c:v>40863</c:v>
                </c:pt>
                <c:pt idx="618">
                  <c:v>40864</c:v>
                </c:pt>
                <c:pt idx="619">
                  <c:v>40865</c:v>
                </c:pt>
                <c:pt idx="620">
                  <c:v>40868</c:v>
                </c:pt>
                <c:pt idx="621">
                  <c:v>40869</c:v>
                </c:pt>
                <c:pt idx="622">
                  <c:v>40870</c:v>
                </c:pt>
                <c:pt idx="623">
                  <c:v>40872</c:v>
                </c:pt>
                <c:pt idx="624">
                  <c:v>40875</c:v>
                </c:pt>
                <c:pt idx="625">
                  <c:v>40876</c:v>
                </c:pt>
                <c:pt idx="626">
                  <c:v>40877</c:v>
                </c:pt>
                <c:pt idx="627">
                  <c:v>40878</c:v>
                </c:pt>
                <c:pt idx="628">
                  <c:v>40879</c:v>
                </c:pt>
                <c:pt idx="629">
                  <c:v>40882</c:v>
                </c:pt>
                <c:pt idx="630">
                  <c:v>40883</c:v>
                </c:pt>
                <c:pt idx="631">
                  <c:v>40884</c:v>
                </c:pt>
                <c:pt idx="632">
                  <c:v>40885</c:v>
                </c:pt>
                <c:pt idx="633">
                  <c:v>40886</c:v>
                </c:pt>
                <c:pt idx="634">
                  <c:v>40889</c:v>
                </c:pt>
                <c:pt idx="635">
                  <c:v>40890</c:v>
                </c:pt>
                <c:pt idx="636">
                  <c:v>40891</c:v>
                </c:pt>
                <c:pt idx="637">
                  <c:v>40892</c:v>
                </c:pt>
                <c:pt idx="638">
                  <c:v>40893</c:v>
                </c:pt>
                <c:pt idx="639">
                  <c:v>40896</c:v>
                </c:pt>
                <c:pt idx="640">
                  <c:v>40897</c:v>
                </c:pt>
                <c:pt idx="641">
                  <c:v>40898</c:v>
                </c:pt>
                <c:pt idx="642">
                  <c:v>40899</c:v>
                </c:pt>
                <c:pt idx="643">
                  <c:v>40900</c:v>
                </c:pt>
                <c:pt idx="644">
                  <c:v>40904</c:v>
                </c:pt>
                <c:pt idx="645">
                  <c:v>40905</c:v>
                </c:pt>
                <c:pt idx="646">
                  <c:v>40906</c:v>
                </c:pt>
                <c:pt idx="647">
                  <c:v>40907</c:v>
                </c:pt>
                <c:pt idx="648">
                  <c:v>40911</c:v>
                </c:pt>
                <c:pt idx="649">
                  <c:v>40912</c:v>
                </c:pt>
                <c:pt idx="650">
                  <c:v>40913</c:v>
                </c:pt>
                <c:pt idx="651">
                  <c:v>40914</c:v>
                </c:pt>
                <c:pt idx="652">
                  <c:v>40917</c:v>
                </c:pt>
                <c:pt idx="653">
                  <c:v>40918</c:v>
                </c:pt>
                <c:pt idx="654">
                  <c:v>40919</c:v>
                </c:pt>
                <c:pt idx="655">
                  <c:v>40920</c:v>
                </c:pt>
                <c:pt idx="656">
                  <c:v>40921</c:v>
                </c:pt>
                <c:pt idx="657">
                  <c:v>40925</c:v>
                </c:pt>
                <c:pt idx="658">
                  <c:v>40926</c:v>
                </c:pt>
                <c:pt idx="659">
                  <c:v>40927</c:v>
                </c:pt>
                <c:pt idx="660">
                  <c:v>40928</c:v>
                </c:pt>
                <c:pt idx="661">
                  <c:v>40931</c:v>
                </c:pt>
                <c:pt idx="662">
                  <c:v>40932</c:v>
                </c:pt>
                <c:pt idx="663">
                  <c:v>40933</c:v>
                </c:pt>
                <c:pt idx="664">
                  <c:v>40934</c:v>
                </c:pt>
                <c:pt idx="665">
                  <c:v>40935</c:v>
                </c:pt>
                <c:pt idx="666">
                  <c:v>40938</c:v>
                </c:pt>
                <c:pt idx="667">
                  <c:v>40939</c:v>
                </c:pt>
                <c:pt idx="668">
                  <c:v>40940</c:v>
                </c:pt>
                <c:pt idx="669">
                  <c:v>40941</c:v>
                </c:pt>
                <c:pt idx="670">
                  <c:v>40942</c:v>
                </c:pt>
                <c:pt idx="671">
                  <c:v>40945</c:v>
                </c:pt>
                <c:pt idx="672">
                  <c:v>40946</c:v>
                </c:pt>
                <c:pt idx="673">
                  <c:v>40947</c:v>
                </c:pt>
                <c:pt idx="674">
                  <c:v>40948</c:v>
                </c:pt>
                <c:pt idx="675">
                  <c:v>40949</c:v>
                </c:pt>
                <c:pt idx="676">
                  <c:v>40952</c:v>
                </c:pt>
                <c:pt idx="677">
                  <c:v>40953</c:v>
                </c:pt>
                <c:pt idx="678">
                  <c:v>40954</c:v>
                </c:pt>
                <c:pt idx="679">
                  <c:v>40955</c:v>
                </c:pt>
                <c:pt idx="680">
                  <c:v>40956</c:v>
                </c:pt>
                <c:pt idx="681">
                  <c:v>40960</c:v>
                </c:pt>
                <c:pt idx="682">
                  <c:v>40961</c:v>
                </c:pt>
                <c:pt idx="683">
                  <c:v>40962</c:v>
                </c:pt>
                <c:pt idx="684">
                  <c:v>40963</c:v>
                </c:pt>
                <c:pt idx="685">
                  <c:v>40966</c:v>
                </c:pt>
                <c:pt idx="686">
                  <c:v>40967</c:v>
                </c:pt>
                <c:pt idx="687">
                  <c:v>40968</c:v>
                </c:pt>
                <c:pt idx="688">
                  <c:v>40969</c:v>
                </c:pt>
                <c:pt idx="689">
                  <c:v>40970</c:v>
                </c:pt>
                <c:pt idx="690">
                  <c:v>40973</c:v>
                </c:pt>
                <c:pt idx="691">
                  <c:v>40974</c:v>
                </c:pt>
                <c:pt idx="692">
                  <c:v>40975</c:v>
                </c:pt>
                <c:pt idx="693">
                  <c:v>40976</c:v>
                </c:pt>
                <c:pt idx="694">
                  <c:v>40977</c:v>
                </c:pt>
                <c:pt idx="695">
                  <c:v>40980</c:v>
                </c:pt>
                <c:pt idx="696">
                  <c:v>40981</c:v>
                </c:pt>
                <c:pt idx="697">
                  <c:v>40982</c:v>
                </c:pt>
                <c:pt idx="698">
                  <c:v>40983</c:v>
                </c:pt>
                <c:pt idx="699">
                  <c:v>40984</c:v>
                </c:pt>
                <c:pt idx="700">
                  <c:v>40987</c:v>
                </c:pt>
                <c:pt idx="701">
                  <c:v>40988</c:v>
                </c:pt>
                <c:pt idx="702">
                  <c:v>40989</c:v>
                </c:pt>
                <c:pt idx="703">
                  <c:v>40990</c:v>
                </c:pt>
                <c:pt idx="704">
                  <c:v>40991</c:v>
                </c:pt>
                <c:pt idx="705">
                  <c:v>40994</c:v>
                </c:pt>
                <c:pt idx="706">
                  <c:v>40995</c:v>
                </c:pt>
                <c:pt idx="707">
                  <c:v>40996</c:v>
                </c:pt>
                <c:pt idx="708">
                  <c:v>40997</c:v>
                </c:pt>
                <c:pt idx="709">
                  <c:v>40998</c:v>
                </c:pt>
                <c:pt idx="710">
                  <c:v>41001</c:v>
                </c:pt>
                <c:pt idx="711">
                  <c:v>41002</c:v>
                </c:pt>
                <c:pt idx="712">
                  <c:v>41003</c:v>
                </c:pt>
                <c:pt idx="713">
                  <c:v>41004</c:v>
                </c:pt>
                <c:pt idx="714">
                  <c:v>41008</c:v>
                </c:pt>
                <c:pt idx="715">
                  <c:v>41009</c:v>
                </c:pt>
                <c:pt idx="716">
                  <c:v>41010</c:v>
                </c:pt>
                <c:pt idx="717">
                  <c:v>41011</c:v>
                </c:pt>
                <c:pt idx="718">
                  <c:v>41012</c:v>
                </c:pt>
                <c:pt idx="719">
                  <c:v>41015</c:v>
                </c:pt>
                <c:pt idx="720">
                  <c:v>41016</c:v>
                </c:pt>
                <c:pt idx="721">
                  <c:v>41017</c:v>
                </c:pt>
                <c:pt idx="722">
                  <c:v>41018</c:v>
                </c:pt>
                <c:pt idx="723">
                  <c:v>41019</c:v>
                </c:pt>
                <c:pt idx="724">
                  <c:v>41022</c:v>
                </c:pt>
                <c:pt idx="725">
                  <c:v>41023</c:v>
                </c:pt>
                <c:pt idx="726">
                  <c:v>41024</c:v>
                </c:pt>
                <c:pt idx="727">
                  <c:v>41025</c:v>
                </c:pt>
                <c:pt idx="728">
                  <c:v>41026</c:v>
                </c:pt>
                <c:pt idx="729">
                  <c:v>41029</c:v>
                </c:pt>
                <c:pt idx="730">
                  <c:v>41030</c:v>
                </c:pt>
                <c:pt idx="731">
                  <c:v>41031</c:v>
                </c:pt>
                <c:pt idx="732">
                  <c:v>41032</c:v>
                </c:pt>
                <c:pt idx="733">
                  <c:v>41033</c:v>
                </c:pt>
                <c:pt idx="734">
                  <c:v>41036</c:v>
                </c:pt>
                <c:pt idx="735">
                  <c:v>41037</c:v>
                </c:pt>
                <c:pt idx="736">
                  <c:v>41038</c:v>
                </c:pt>
                <c:pt idx="737">
                  <c:v>41039</c:v>
                </c:pt>
                <c:pt idx="738">
                  <c:v>41040</c:v>
                </c:pt>
                <c:pt idx="739">
                  <c:v>41043</c:v>
                </c:pt>
                <c:pt idx="740">
                  <c:v>41044</c:v>
                </c:pt>
                <c:pt idx="741">
                  <c:v>41045</c:v>
                </c:pt>
                <c:pt idx="742">
                  <c:v>41046</c:v>
                </c:pt>
                <c:pt idx="743">
                  <c:v>41047</c:v>
                </c:pt>
                <c:pt idx="744">
                  <c:v>41050</c:v>
                </c:pt>
                <c:pt idx="745">
                  <c:v>41051</c:v>
                </c:pt>
                <c:pt idx="746">
                  <c:v>41052</c:v>
                </c:pt>
                <c:pt idx="747">
                  <c:v>41053</c:v>
                </c:pt>
                <c:pt idx="748">
                  <c:v>41054</c:v>
                </c:pt>
                <c:pt idx="749">
                  <c:v>41058</c:v>
                </c:pt>
                <c:pt idx="750">
                  <c:v>41059</c:v>
                </c:pt>
                <c:pt idx="751">
                  <c:v>41060</c:v>
                </c:pt>
                <c:pt idx="752">
                  <c:v>41061</c:v>
                </c:pt>
                <c:pt idx="753">
                  <c:v>41064</c:v>
                </c:pt>
                <c:pt idx="754">
                  <c:v>41065</c:v>
                </c:pt>
                <c:pt idx="755">
                  <c:v>41066</c:v>
                </c:pt>
                <c:pt idx="756">
                  <c:v>41067</c:v>
                </c:pt>
                <c:pt idx="757">
                  <c:v>41068</c:v>
                </c:pt>
                <c:pt idx="758">
                  <c:v>41071</c:v>
                </c:pt>
                <c:pt idx="759">
                  <c:v>41072</c:v>
                </c:pt>
                <c:pt idx="760">
                  <c:v>41073</c:v>
                </c:pt>
                <c:pt idx="761">
                  <c:v>41074</c:v>
                </c:pt>
                <c:pt idx="762">
                  <c:v>41075</c:v>
                </c:pt>
                <c:pt idx="763">
                  <c:v>41078</c:v>
                </c:pt>
                <c:pt idx="764">
                  <c:v>41079</c:v>
                </c:pt>
                <c:pt idx="765">
                  <c:v>41080</c:v>
                </c:pt>
                <c:pt idx="766">
                  <c:v>41081</c:v>
                </c:pt>
                <c:pt idx="767">
                  <c:v>41082</c:v>
                </c:pt>
                <c:pt idx="768">
                  <c:v>41085</c:v>
                </c:pt>
                <c:pt idx="769">
                  <c:v>41086</c:v>
                </c:pt>
                <c:pt idx="770">
                  <c:v>41087</c:v>
                </c:pt>
                <c:pt idx="771">
                  <c:v>41088</c:v>
                </c:pt>
                <c:pt idx="772">
                  <c:v>41089</c:v>
                </c:pt>
                <c:pt idx="773">
                  <c:v>41092</c:v>
                </c:pt>
                <c:pt idx="774">
                  <c:v>41093</c:v>
                </c:pt>
                <c:pt idx="775">
                  <c:v>41095</c:v>
                </c:pt>
                <c:pt idx="776">
                  <c:v>41096</c:v>
                </c:pt>
                <c:pt idx="777">
                  <c:v>41099</c:v>
                </c:pt>
                <c:pt idx="778">
                  <c:v>41100</c:v>
                </c:pt>
                <c:pt idx="779">
                  <c:v>41101</c:v>
                </c:pt>
                <c:pt idx="780">
                  <c:v>41102</c:v>
                </c:pt>
                <c:pt idx="781">
                  <c:v>41103</c:v>
                </c:pt>
                <c:pt idx="782">
                  <c:v>41106</c:v>
                </c:pt>
                <c:pt idx="783">
                  <c:v>41107</c:v>
                </c:pt>
                <c:pt idx="784">
                  <c:v>41108</c:v>
                </c:pt>
                <c:pt idx="785">
                  <c:v>41109</c:v>
                </c:pt>
                <c:pt idx="786">
                  <c:v>41110</c:v>
                </c:pt>
                <c:pt idx="787">
                  <c:v>41113</c:v>
                </c:pt>
                <c:pt idx="788">
                  <c:v>41114</c:v>
                </c:pt>
                <c:pt idx="789">
                  <c:v>41115</c:v>
                </c:pt>
                <c:pt idx="790">
                  <c:v>41116</c:v>
                </c:pt>
                <c:pt idx="791">
                  <c:v>41117</c:v>
                </c:pt>
                <c:pt idx="792">
                  <c:v>41120</c:v>
                </c:pt>
                <c:pt idx="793">
                  <c:v>41121</c:v>
                </c:pt>
                <c:pt idx="794">
                  <c:v>41122</c:v>
                </c:pt>
                <c:pt idx="795">
                  <c:v>41123</c:v>
                </c:pt>
                <c:pt idx="796">
                  <c:v>41124</c:v>
                </c:pt>
                <c:pt idx="797">
                  <c:v>41127</c:v>
                </c:pt>
                <c:pt idx="798">
                  <c:v>41128</c:v>
                </c:pt>
                <c:pt idx="799">
                  <c:v>41129</c:v>
                </c:pt>
                <c:pt idx="800">
                  <c:v>41130</c:v>
                </c:pt>
                <c:pt idx="801">
                  <c:v>41131</c:v>
                </c:pt>
                <c:pt idx="802">
                  <c:v>41134</c:v>
                </c:pt>
                <c:pt idx="803">
                  <c:v>41135</c:v>
                </c:pt>
                <c:pt idx="804">
                  <c:v>41136</c:v>
                </c:pt>
                <c:pt idx="805">
                  <c:v>41137</c:v>
                </c:pt>
                <c:pt idx="806">
                  <c:v>41138</c:v>
                </c:pt>
                <c:pt idx="807">
                  <c:v>41141</c:v>
                </c:pt>
                <c:pt idx="808">
                  <c:v>41142</c:v>
                </c:pt>
                <c:pt idx="809">
                  <c:v>41143</c:v>
                </c:pt>
                <c:pt idx="810">
                  <c:v>41144</c:v>
                </c:pt>
                <c:pt idx="811">
                  <c:v>41145</c:v>
                </c:pt>
                <c:pt idx="812">
                  <c:v>41148</c:v>
                </c:pt>
                <c:pt idx="813">
                  <c:v>41149</c:v>
                </c:pt>
                <c:pt idx="814">
                  <c:v>41150</c:v>
                </c:pt>
                <c:pt idx="815">
                  <c:v>41151</c:v>
                </c:pt>
                <c:pt idx="816">
                  <c:v>41152</c:v>
                </c:pt>
                <c:pt idx="817">
                  <c:v>41156</c:v>
                </c:pt>
                <c:pt idx="818">
                  <c:v>41157</c:v>
                </c:pt>
                <c:pt idx="819">
                  <c:v>41158</c:v>
                </c:pt>
                <c:pt idx="820">
                  <c:v>41159</c:v>
                </c:pt>
                <c:pt idx="821">
                  <c:v>41162</c:v>
                </c:pt>
                <c:pt idx="822">
                  <c:v>41163</c:v>
                </c:pt>
                <c:pt idx="823">
                  <c:v>41164</c:v>
                </c:pt>
                <c:pt idx="824">
                  <c:v>41165</c:v>
                </c:pt>
                <c:pt idx="825">
                  <c:v>41166</c:v>
                </c:pt>
                <c:pt idx="826">
                  <c:v>41169</c:v>
                </c:pt>
                <c:pt idx="827">
                  <c:v>41170</c:v>
                </c:pt>
                <c:pt idx="828">
                  <c:v>41171</c:v>
                </c:pt>
                <c:pt idx="829">
                  <c:v>41172</c:v>
                </c:pt>
                <c:pt idx="830">
                  <c:v>41173</c:v>
                </c:pt>
                <c:pt idx="831">
                  <c:v>41176</c:v>
                </c:pt>
                <c:pt idx="832">
                  <c:v>41177</c:v>
                </c:pt>
                <c:pt idx="833">
                  <c:v>41178</c:v>
                </c:pt>
                <c:pt idx="834">
                  <c:v>41179</c:v>
                </c:pt>
                <c:pt idx="835">
                  <c:v>41180</c:v>
                </c:pt>
                <c:pt idx="836">
                  <c:v>41183</c:v>
                </c:pt>
                <c:pt idx="837">
                  <c:v>41184</c:v>
                </c:pt>
                <c:pt idx="838">
                  <c:v>41185</c:v>
                </c:pt>
                <c:pt idx="839">
                  <c:v>41186</c:v>
                </c:pt>
                <c:pt idx="840">
                  <c:v>41187</c:v>
                </c:pt>
                <c:pt idx="841">
                  <c:v>41190</c:v>
                </c:pt>
                <c:pt idx="842">
                  <c:v>41191</c:v>
                </c:pt>
                <c:pt idx="843">
                  <c:v>41192</c:v>
                </c:pt>
                <c:pt idx="844">
                  <c:v>41193</c:v>
                </c:pt>
                <c:pt idx="845">
                  <c:v>41194</c:v>
                </c:pt>
                <c:pt idx="846">
                  <c:v>41197</c:v>
                </c:pt>
                <c:pt idx="847">
                  <c:v>41198</c:v>
                </c:pt>
                <c:pt idx="848">
                  <c:v>41199</c:v>
                </c:pt>
                <c:pt idx="849">
                  <c:v>41200</c:v>
                </c:pt>
                <c:pt idx="850">
                  <c:v>41201</c:v>
                </c:pt>
                <c:pt idx="851">
                  <c:v>41204</c:v>
                </c:pt>
                <c:pt idx="852">
                  <c:v>41205</c:v>
                </c:pt>
                <c:pt idx="853">
                  <c:v>41206</c:v>
                </c:pt>
                <c:pt idx="854">
                  <c:v>41207</c:v>
                </c:pt>
                <c:pt idx="855">
                  <c:v>41208</c:v>
                </c:pt>
                <c:pt idx="856">
                  <c:v>41213</c:v>
                </c:pt>
                <c:pt idx="857">
                  <c:v>41214</c:v>
                </c:pt>
                <c:pt idx="858">
                  <c:v>41215</c:v>
                </c:pt>
                <c:pt idx="859">
                  <c:v>41218</c:v>
                </c:pt>
                <c:pt idx="860">
                  <c:v>41219</c:v>
                </c:pt>
                <c:pt idx="861">
                  <c:v>41220</c:v>
                </c:pt>
                <c:pt idx="862">
                  <c:v>41221</c:v>
                </c:pt>
                <c:pt idx="863">
                  <c:v>41222</c:v>
                </c:pt>
                <c:pt idx="864">
                  <c:v>41225</c:v>
                </c:pt>
                <c:pt idx="865">
                  <c:v>41226</c:v>
                </c:pt>
                <c:pt idx="866">
                  <c:v>41227</c:v>
                </c:pt>
                <c:pt idx="867">
                  <c:v>41228</c:v>
                </c:pt>
                <c:pt idx="868">
                  <c:v>41229</c:v>
                </c:pt>
                <c:pt idx="869">
                  <c:v>41232</c:v>
                </c:pt>
                <c:pt idx="870">
                  <c:v>41233</c:v>
                </c:pt>
                <c:pt idx="871">
                  <c:v>41234</c:v>
                </c:pt>
                <c:pt idx="872">
                  <c:v>41236</c:v>
                </c:pt>
                <c:pt idx="873">
                  <c:v>41239</c:v>
                </c:pt>
                <c:pt idx="874">
                  <c:v>41240</c:v>
                </c:pt>
                <c:pt idx="875">
                  <c:v>41241</c:v>
                </c:pt>
                <c:pt idx="876">
                  <c:v>41242</c:v>
                </c:pt>
                <c:pt idx="877">
                  <c:v>41243</c:v>
                </c:pt>
                <c:pt idx="878">
                  <c:v>41246</c:v>
                </c:pt>
                <c:pt idx="879">
                  <c:v>41247</c:v>
                </c:pt>
                <c:pt idx="880">
                  <c:v>41248</c:v>
                </c:pt>
                <c:pt idx="881">
                  <c:v>41249</c:v>
                </c:pt>
                <c:pt idx="882">
                  <c:v>41250</c:v>
                </c:pt>
                <c:pt idx="883">
                  <c:v>41253</c:v>
                </c:pt>
                <c:pt idx="884">
                  <c:v>41254</c:v>
                </c:pt>
                <c:pt idx="885">
                  <c:v>41255</c:v>
                </c:pt>
                <c:pt idx="886">
                  <c:v>41256</c:v>
                </c:pt>
                <c:pt idx="887">
                  <c:v>41257</c:v>
                </c:pt>
                <c:pt idx="888">
                  <c:v>41260</c:v>
                </c:pt>
                <c:pt idx="889">
                  <c:v>41261</c:v>
                </c:pt>
                <c:pt idx="890">
                  <c:v>41262</c:v>
                </c:pt>
                <c:pt idx="891">
                  <c:v>41263</c:v>
                </c:pt>
                <c:pt idx="892">
                  <c:v>41264</c:v>
                </c:pt>
                <c:pt idx="893">
                  <c:v>41267</c:v>
                </c:pt>
                <c:pt idx="894">
                  <c:v>41269</c:v>
                </c:pt>
                <c:pt idx="895">
                  <c:v>41270</c:v>
                </c:pt>
                <c:pt idx="896">
                  <c:v>41271</c:v>
                </c:pt>
                <c:pt idx="897">
                  <c:v>41274</c:v>
                </c:pt>
                <c:pt idx="898">
                  <c:v>41276</c:v>
                </c:pt>
                <c:pt idx="899">
                  <c:v>41277</c:v>
                </c:pt>
                <c:pt idx="900">
                  <c:v>41278</c:v>
                </c:pt>
                <c:pt idx="901">
                  <c:v>41281</c:v>
                </c:pt>
                <c:pt idx="902">
                  <c:v>41282</c:v>
                </c:pt>
                <c:pt idx="903">
                  <c:v>41283</c:v>
                </c:pt>
                <c:pt idx="904">
                  <c:v>41284</c:v>
                </c:pt>
                <c:pt idx="905">
                  <c:v>41285</c:v>
                </c:pt>
                <c:pt idx="906">
                  <c:v>41288</c:v>
                </c:pt>
                <c:pt idx="907">
                  <c:v>41289</c:v>
                </c:pt>
                <c:pt idx="908">
                  <c:v>41290</c:v>
                </c:pt>
                <c:pt idx="909">
                  <c:v>41291</c:v>
                </c:pt>
                <c:pt idx="910">
                  <c:v>41292</c:v>
                </c:pt>
                <c:pt idx="911">
                  <c:v>41296</c:v>
                </c:pt>
                <c:pt idx="912">
                  <c:v>41297</c:v>
                </c:pt>
                <c:pt idx="913">
                  <c:v>41298</c:v>
                </c:pt>
                <c:pt idx="914">
                  <c:v>41299</c:v>
                </c:pt>
                <c:pt idx="915">
                  <c:v>41302</c:v>
                </c:pt>
                <c:pt idx="916">
                  <c:v>41303</c:v>
                </c:pt>
                <c:pt idx="917">
                  <c:v>41304</c:v>
                </c:pt>
                <c:pt idx="918">
                  <c:v>41305</c:v>
                </c:pt>
                <c:pt idx="919">
                  <c:v>41306</c:v>
                </c:pt>
                <c:pt idx="920">
                  <c:v>41309</c:v>
                </c:pt>
                <c:pt idx="921">
                  <c:v>41310</c:v>
                </c:pt>
                <c:pt idx="922">
                  <c:v>41311</c:v>
                </c:pt>
                <c:pt idx="923">
                  <c:v>41312</c:v>
                </c:pt>
                <c:pt idx="924">
                  <c:v>41313</c:v>
                </c:pt>
                <c:pt idx="925">
                  <c:v>41316</c:v>
                </c:pt>
                <c:pt idx="926">
                  <c:v>41317</c:v>
                </c:pt>
                <c:pt idx="927">
                  <c:v>41318</c:v>
                </c:pt>
                <c:pt idx="928">
                  <c:v>41319</c:v>
                </c:pt>
                <c:pt idx="929">
                  <c:v>41320</c:v>
                </c:pt>
                <c:pt idx="930">
                  <c:v>41324</c:v>
                </c:pt>
                <c:pt idx="931">
                  <c:v>41325</c:v>
                </c:pt>
                <c:pt idx="932">
                  <c:v>41326</c:v>
                </c:pt>
                <c:pt idx="933">
                  <c:v>41327</c:v>
                </c:pt>
                <c:pt idx="934">
                  <c:v>41330</c:v>
                </c:pt>
                <c:pt idx="935">
                  <c:v>41331</c:v>
                </c:pt>
                <c:pt idx="936">
                  <c:v>41332</c:v>
                </c:pt>
                <c:pt idx="937">
                  <c:v>41333</c:v>
                </c:pt>
                <c:pt idx="938">
                  <c:v>41334</c:v>
                </c:pt>
                <c:pt idx="939">
                  <c:v>41337</c:v>
                </c:pt>
                <c:pt idx="940">
                  <c:v>41338</c:v>
                </c:pt>
                <c:pt idx="941">
                  <c:v>41339</c:v>
                </c:pt>
                <c:pt idx="942">
                  <c:v>41340</c:v>
                </c:pt>
                <c:pt idx="943">
                  <c:v>41341</c:v>
                </c:pt>
                <c:pt idx="944">
                  <c:v>41344</c:v>
                </c:pt>
                <c:pt idx="945">
                  <c:v>41345</c:v>
                </c:pt>
                <c:pt idx="946">
                  <c:v>41346</c:v>
                </c:pt>
                <c:pt idx="947">
                  <c:v>41347</c:v>
                </c:pt>
                <c:pt idx="948">
                  <c:v>41348</c:v>
                </c:pt>
                <c:pt idx="949">
                  <c:v>41351</c:v>
                </c:pt>
                <c:pt idx="950">
                  <c:v>41352</c:v>
                </c:pt>
                <c:pt idx="951">
                  <c:v>41353</c:v>
                </c:pt>
                <c:pt idx="952">
                  <c:v>41354</c:v>
                </c:pt>
                <c:pt idx="953">
                  <c:v>41355</c:v>
                </c:pt>
                <c:pt idx="954">
                  <c:v>41358</c:v>
                </c:pt>
                <c:pt idx="955">
                  <c:v>41359</c:v>
                </c:pt>
                <c:pt idx="956">
                  <c:v>41360</c:v>
                </c:pt>
                <c:pt idx="957">
                  <c:v>41361</c:v>
                </c:pt>
                <c:pt idx="958">
                  <c:v>41365</c:v>
                </c:pt>
                <c:pt idx="959">
                  <c:v>41366</c:v>
                </c:pt>
                <c:pt idx="960">
                  <c:v>41367</c:v>
                </c:pt>
                <c:pt idx="961">
                  <c:v>41368</c:v>
                </c:pt>
                <c:pt idx="962">
                  <c:v>41369</c:v>
                </c:pt>
                <c:pt idx="963">
                  <c:v>41372</c:v>
                </c:pt>
                <c:pt idx="964">
                  <c:v>41373</c:v>
                </c:pt>
                <c:pt idx="965">
                  <c:v>41374</c:v>
                </c:pt>
                <c:pt idx="966">
                  <c:v>41375</c:v>
                </c:pt>
                <c:pt idx="967">
                  <c:v>41376</c:v>
                </c:pt>
                <c:pt idx="968">
                  <c:v>41379</c:v>
                </c:pt>
                <c:pt idx="969">
                  <c:v>41380</c:v>
                </c:pt>
                <c:pt idx="970">
                  <c:v>41381</c:v>
                </c:pt>
                <c:pt idx="971">
                  <c:v>41382</c:v>
                </c:pt>
                <c:pt idx="972">
                  <c:v>41383</c:v>
                </c:pt>
                <c:pt idx="973">
                  <c:v>41386</c:v>
                </c:pt>
                <c:pt idx="974">
                  <c:v>41387</c:v>
                </c:pt>
                <c:pt idx="975">
                  <c:v>41388</c:v>
                </c:pt>
                <c:pt idx="976">
                  <c:v>41389</c:v>
                </c:pt>
                <c:pt idx="977">
                  <c:v>41390</c:v>
                </c:pt>
                <c:pt idx="978">
                  <c:v>41393</c:v>
                </c:pt>
                <c:pt idx="979">
                  <c:v>41394</c:v>
                </c:pt>
                <c:pt idx="980">
                  <c:v>41395</c:v>
                </c:pt>
                <c:pt idx="981">
                  <c:v>41396</c:v>
                </c:pt>
                <c:pt idx="982">
                  <c:v>41397</c:v>
                </c:pt>
                <c:pt idx="983">
                  <c:v>41400</c:v>
                </c:pt>
                <c:pt idx="984">
                  <c:v>41401</c:v>
                </c:pt>
                <c:pt idx="985">
                  <c:v>41402</c:v>
                </c:pt>
                <c:pt idx="986">
                  <c:v>41403</c:v>
                </c:pt>
                <c:pt idx="987">
                  <c:v>41404</c:v>
                </c:pt>
                <c:pt idx="988">
                  <c:v>41407</c:v>
                </c:pt>
                <c:pt idx="989">
                  <c:v>41408</c:v>
                </c:pt>
                <c:pt idx="990">
                  <c:v>41409</c:v>
                </c:pt>
                <c:pt idx="991">
                  <c:v>41410</c:v>
                </c:pt>
                <c:pt idx="992">
                  <c:v>41411</c:v>
                </c:pt>
                <c:pt idx="993">
                  <c:v>41414</c:v>
                </c:pt>
                <c:pt idx="994">
                  <c:v>41415</c:v>
                </c:pt>
                <c:pt idx="995">
                  <c:v>41416</c:v>
                </c:pt>
                <c:pt idx="996">
                  <c:v>41417</c:v>
                </c:pt>
                <c:pt idx="997">
                  <c:v>41418</c:v>
                </c:pt>
                <c:pt idx="998">
                  <c:v>41422</c:v>
                </c:pt>
                <c:pt idx="999">
                  <c:v>41423</c:v>
                </c:pt>
                <c:pt idx="1000">
                  <c:v>41424</c:v>
                </c:pt>
                <c:pt idx="1001">
                  <c:v>41425</c:v>
                </c:pt>
                <c:pt idx="1002">
                  <c:v>41428</c:v>
                </c:pt>
                <c:pt idx="1003">
                  <c:v>41429</c:v>
                </c:pt>
                <c:pt idx="1004">
                  <c:v>41430</c:v>
                </c:pt>
                <c:pt idx="1005">
                  <c:v>41431</c:v>
                </c:pt>
                <c:pt idx="1006">
                  <c:v>41432</c:v>
                </c:pt>
                <c:pt idx="1007">
                  <c:v>41435</c:v>
                </c:pt>
                <c:pt idx="1008">
                  <c:v>41436</c:v>
                </c:pt>
                <c:pt idx="1009">
                  <c:v>41437</c:v>
                </c:pt>
                <c:pt idx="1010">
                  <c:v>41438</c:v>
                </c:pt>
                <c:pt idx="1011">
                  <c:v>41439</c:v>
                </c:pt>
                <c:pt idx="1012">
                  <c:v>41442</c:v>
                </c:pt>
                <c:pt idx="1013">
                  <c:v>41443</c:v>
                </c:pt>
                <c:pt idx="1014">
                  <c:v>41444</c:v>
                </c:pt>
                <c:pt idx="1015">
                  <c:v>41445</c:v>
                </c:pt>
                <c:pt idx="1016">
                  <c:v>41446</c:v>
                </c:pt>
                <c:pt idx="1017">
                  <c:v>41449</c:v>
                </c:pt>
                <c:pt idx="1018">
                  <c:v>41450</c:v>
                </c:pt>
                <c:pt idx="1019">
                  <c:v>41451</c:v>
                </c:pt>
                <c:pt idx="1020">
                  <c:v>41452</c:v>
                </c:pt>
                <c:pt idx="1021">
                  <c:v>41453</c:v>
                </c:pt>
                <c:pt idx="1022">
                  <c:v>41456</c:v>
                </c:pt>
                <c:pt idx="1023">
                  <c:v>41457</c:v>
                </c:pt>
                <c:pt idx="1024">
                  <c:v>41458</c:v>
                </c:pt>
                <c:pt idx="1025">
                  <c:v>41460</c:v>
                </c:pt>
                <c:pt idx="1026">
                  <c:v>41463</c:v>
                </c:pt>
                <c:pt idx="1027">
                  <c:v>41464</c:v>
                </c:pt>
                <c:pt idx="1028">
                  <c:v>41465</c:v>
                </c:pt>
                <c:pt idx="1029">
                  <c:v>41466</c:v>
                </c:pt>
                <c:pt idx="1030">
                  <c:v>41467</c:v>
                </c:pt>
                <c:pt idx="1031">
                  <c:v>41470</c:v>
                </c:pt>
                <c:pt idx="1032">
                  <c:v>41471</c:v>
                </c:pt>
                <c:pt idx="1033">
                  <c:v>41472</c:v>
                </c:pt>
                <c:pt idx="1034">
                  <c:v>41473</c:v>
                </c:pt>
                <c:pt idx="1035">
                  <c:v>41474</c:v>
                </c:pt>
                <c:pt idx="1036">
                  <c:v>41477</c:v>
                </c:pt>
                <c:pt idx="1037">
                  <c:v>41478</c:v>
                </c:pt>
                <c:pt idx="1038">
                  <c:v>41479</c:v>
                </c:pt>
                <c:pt idx="1039">
                  <c:v>41480</c:v>
                </c:pt>
                <c:pt idx="1040">
                  <c:v>41481</c:v>
                </c:pt>
                <c:pt idx="1041">
                  <c:v>41484</c:v>
                </c:pt>
                <c:pt idx="1042">
                  <c:v>41485</c:v>
                </c:pt>
                <c:pt idx="1043">
                  <c:v>41486</c:v>
                </c:pt>
                <c:pt idx="1044">
                  <c:v>41487</c:v>
                </c:pt>
                <c:pt idx="1045">
                  <c:v>41488</c:v>
                </c:pt>
                <c:pt idx="1046">
                  <c:v>41491</c:v>
                </c:pt>
                <c:pt idx="1047">
                  <c:v>41492</c:v>
                </c:pt>
                <c:pt idx="1048">
                  <c:v>41493</c:v>
                </c:pt>
                <c:pt idx="1049">
                  <c:v>41494</c:v>
                </c:pt>
                <c:pt idx="1050">
                  <c:v>41495</c:v>
                </c:pt>
                <c:pt idx="1051">
                  <c:v>41498</c:v>
                </c:pt>
                <c:pt idx="1052">
                  <c:v>41499</c:v>
                </c:pt>
                <c:pt idx="1053">
                  <c:v>41500</c:v>
                </c:pt>
                <c:pt idx="1054">
                  <c:v>41501</c:v>
                </c:pt>
                <c:pt idx="1055">
                  <c:v>41502</c:v>
                </c:pt>
                <c:pt idx="1056">
                  <c:v>41505</c:v>
                </c:pt>
                <c:pt idx="1057">
                  <c:v>41506</c:v>
                </c:pt>
                <c:pt idx="1058">
                  <c:v>41507</c:v>
                </c:pt>
                <c:pt idx="1059">
                  <c:v>41508</c:v>
                </c:pt>
                <c:pt idx="1060">
                  <c:v>41509</c:v>
                </c:pt>
                <c:pt idx="1061">
                  <c:v>41512</c:v>
                </c:pt>
                <c:pt idx="1062">
                  <c:v>41513</c:v>
                </c:pt>
                <c:pt idx="1063">
                  <c:v>41514</c:v>
                </c:pt>
                <c:pt idx="1064">
                  <c:v>41515</c:v>
                </c:pt>
                <c:pt idx="1065">
                  <c:v>41516</c:v>
                </c:pt>
                <c:pt idx="1066">
                  <c:v>41520</c:v>
                </c:pt>
                <c:pt idx="1067">
                  <c:v>41521</c:v>
                </c:pt>
                <c:pt idx="1068">
                  <c:v>41522</c:v>
                </c:pt>
                <c:pt idx="1069">
                  <c:v>41523</c:v>
                </c:pt>
                <c:pt idx="1070">
                  <c:v>41526</c:v>
                </c:pt>
                <c:pt idx="1071">
                  <c:v>41527</c:v>
                </c:pt>
                <c:pt idx="1072">
                  <c:v>41528</c:v>
                </c:pt>
                <c:pt idx="1073">
                  <c:v>41529</c:v>
                </c:pt>
                <c:pt idx="1074">
                  <c:v>41530</c:v>
                </c:pt>
                <c:pt idx="1075">
                  <c:v>41533</c:v>
                </c:pt>
                <c:pt idx="1076">
                  <c:v>41534</c:v>
                </c:pt>
                <c:pt idx="1077">
                  <c:v>41535</c:v>
                </c:pt>
                <c:pt idx="1078">
                  <c:v>41536</c:v>
                </c:pt>
                <c:pt idx="1079">
                  <c:v>41537</c:v>
                </c:pt>
                <c:pt idx="1080">
                  <c:v>41540</c:v>
                </c:pt>
                <c:pt idx="1081">
                  <c:v>41541</c:v>
                </c:pt>
                <c:pt idx="1082">
                  <c:v>41542</c:v>
                </c:pt>
                <c:pt idx="1083">
                  <c:v>41543</c:v>
                </c:pt>
                <c:pt idx="1084">
                  <c:v>41544</c:v>
                </c:pt>
                <c:pt idx="1085">
                  <c:v>41547</c:v>
                </c:pt>
                <c:pt idx="1086">
                  <c:v>41548</c:v>
                </c:pt>
                <c:pt idx="1087">
                  <c:v>41549</c:v>
                </c:pt>
                <c:pt idx="1088">
                  <c:v>41550</c:v>
                </c:pt>
                <c:pt idx="1089">
                  <c:v>41551</c:v>
                </c:pt>
                <c:pt idx="1090">
                  <c:v>41554</c:v>
                </c:pt>
                <c:pt idx="1091">
                  <c:v>41555</c:v>
                </c:pt>
                <c:pt idx="1092">
                  <c:v>41556</c:v>
                </c:pt>
                <c:pt idx="1093">
                  <c:v>41557</c:v>
                </c:pt>
                <c:pt idx="1094">
                  <c:v>41558</c:v>
                </c:pt>
                <c:pt idx="1095">
                  <c:v>41561</c:v>
                </c:pt>
                <c:pt idx="1096">
                  <c:v>41562</c:v>
                </c:pt>
                <c:pt idx="1097">
                  <c:v>41563</c:v>
                </c:pt>
                <c:pt idx="1098">
                  <c:v>41564</c:v>
                </c:pt>
                <c:pt idx="1099">
                  <c:v>41565</c:v>
                </c:pt>
                <c:pt idx="1100">
                  <c:v>41568</c:v>
                </c:pt>
                <c:pt idx="1101">
                  <c:v>41569</c:v>
                </c:pt>
                <c:pt idx="1102">
                  <c:v>41570</c:v>
                </c:pt>
                <c:pt idx="1103">
                  <c:v>41571</c:v>
                </c:pt>
                <c:pt idx="1104">
                  <c:v>41572</c:v>
                </c:pt>
                <c:pt idx="1105">
                  <c:v>41575</c:v>
                </c:pt>
                <c:pt idx="1106">
                  <c:v>41576</c:v>
                </c:pt>
                <c:pt idx="1107">
                  <c:v>41577</c:v>
                </c:pt>
                <c:pt idx="1108">
                  <c:v>41578</c:v>
                </c:pt>
                <c:pt idx="1109">
                  <c:v>41579</c:v>
                </c:pt>
                <c:pt idx="1110">
                  <c:v>41582</c:v>
                </c:pt>
                <c:pt idx="1111">
                  <c:v>41583</c:v>
                </c:pt>
                <c:pt idx="1112">
                  <c:v>41584</c:v>
                </c:pt>
                <c:pt idx="1113">
                  <c:v>41585</c:v>
                </c:pt>
                <c:pt idx="1114">
                  <c:v>41586</c:v>
                </c:pt>
                <c:pt idx="1115">
                  <c:v>41589</c:v>
                </c:pt>
                <c:pt idx="1116">
                  <c:v>41590</c:v>
                </c:pt>
                <c:pt idx="1117">
                  <c:v>41591</c:v>
                </c:pt>
                <c:pt idx="1118">
                  <c:v>41592</c:v>
                </c:pt>
                <c:pt idx="1119">
                  <c:v>41593</c:v>
                </c:pt>
                <c:pt idx="1120">
                  <c:v>41596</c:v>
                </c:pt>
                <c:pt idx="1121">
                  <c:v>41597</c:v>
                </c:pt>
                <c:pt idx="1122">
                  <c:v>41598</c:v>
                </c:pt>
                <c:pt idx="1123">
                  <c:v>41599</c:v>
                </c:pt>
                <c:pt idx="1124">
                  <c:v>41600</c:v>
                </c:pt>
                <c:pt idx="1125">
                  <c:v>41603</c:v>
                </c:pt>
                <c:pt idx="1126">
                  <c:v>41604</c:v>
                </c:pt>
                <c:pt idx="1127">
                  <c:v>41605</c:v>
                </c:pt>
                <c:pt idx="1128">
                  <c:v>41607</c:v>
                </c:pt>
                <c:pt idx="1129">
                  <c:v>41610</c:v>
                </c:pt>
                <c:pt idx="1130">
                  <c:v>41611</c:v>
                </c:pt>
                <c:pt idx="1131">
                  <c:v>41612</c:v>
                </c:pt>
                <c:pt idx="1132">
                  <c:v>41613</c:v>
                </c:pt>
                <c:pt idx="1133">
                  <c:v>41614</c:v>
                </c:pt>
                <c:pt idx="1134">
                  <c:v>41617</c:v>
                </c:pt>
                <c:pt idx="1135">
                  <c:v>41618</c:v>
                </c:pt>
                <c:pt idx="1136">
                  <c:v>41619</c:v>
                </c:pt>
                <c:pt idx="1137">
                  <c:v>41620</c:v>
                </c:pt>
                <c:pt idx="1138">
                  <c:v>41621</c:v>
                </c:pt>
                <c:pt idx="1139">
                  <c:v>41624</c:v>
                </c:pt>
                <c:pt idx="1140">
                  <c:v>41625</c:v>
                </c:pt>
                <c:pt idx="1141">
                  <c:v>41626</c:v>
                </c:pt>
                <c:pt idx="1142">
                  <c:v>41627</c:v>
                </c:pt>
                <c:pt idx="1143">
                  <c:v>41628</c:v>
                </c:pt>
                <c:pt idx="1144">
                  <c:v>41631</c:v>
                </c:pt>
                <c:pt idx="1145">
                  <c:v>41632</c:v>
                </c:pt>
                <c:pt idx="1146">
                  <c:v>41634</c:v>
                </c:pt>
                <c:pt idx="1147">
                  <c:v>41635</c:v>
                </c:pt>
                <c:pt idx="1148">
                  <c:v>41638</c:v>
                </c:pt>
                <c:pt idx="1149">
                  <c:v>41639</c:v>
                </c:pt>
                <c:pt idx="1150">
                  <c:v>41641</c:v>
                </c:pt>
                <c:pt idx="1151">
                  <c:v>41642</c:v>
                </c:pt>
                <c:pt idx="1152">
                  <c:v>41645</c:v>
                </c:pt>
                <c:pt idx="1153">
                  <c:v>41646</c:v>
                </c:pt>
                <c:pt idx="1154">
                  <c:v>41647</c:v>
                </c:pt>
                <c:pt idx="1155">
                  <c:v>41648</c:v>
                </c:pt>
                <c:pt idx="1156">
                  <c:v>41649</c:v>
                </c:pt>
                <c:pt idx="1157">
                  <c:v>41652</c:v>
                </c:pt>
                <c:pt idx="1158">
                  <c:v>41653</c:v>
                </c:pt>
                <c:pt idx="1159">
                  <c:v>41654</c:v>
                </c:pt>
                <c:pt idx="1160">
                  <c:v>41655</c:v>
                </c:pt>
                <c:pt idx="1161">
                  <c:v>41656</c:v>
                </c:pt>
                <c:pt idx="1162">
                  <c:v>41660</c:v>
                </c:pt>
                <c:pt idx="1163">
                  <c:v>41661</c:v>
                </c:pt>
                <c:pt idx="1164">
                  <c:v>41662</c:v>
                </c:pt>
                <c:pt idx="1165">
                  <c:v>41663</c:v>
                </c:pt>
                <c:pt idx="1166">
                  <c:v>41666</c:v>
                </c:pt>
                <c:pt idx="1167">
                  <c:v>41667</c:v>
                </c:pt>
                <c:pt idx="1168">
                  <c:v>41668</c:v>
                </c:pt>
                <c:pt idx="1169">
                  <c:v>41669</c:v>
                </c:pt>
                <c:pt idx="1170">
                  <c:v>41670</c:v>
                </c:pt>
                <c:pt idx="1171">
                  <c:v>41673</c:v>
                </c:pt>
                <c:pt idx="1172">
                  <c:v>41674</c:v>
                </c:pt>
                <c:pt idx="1173">
                  <c:v>41675</c:v>
                </c:pt>
                <c:pt idx="1174">
                  <c:v>41676</c:v>
                </c:pt>
                <c:pt idx="1175">
                  <c:v>41677</c:v>
                </c:pt>
                <c:pt idx="1176">
                  <c:v>41680</c:v>
                </c:pt>
                <c:pt idx="1177">
                  <c:v>41681</c:v>
                </c:pt>
                <c:pt idx="1178">
                  <c:v>41682</c:v>
                </c:pt>
                <c:pt idx="1179">
                  <c:v>41683</c:v>
                </c:pt>
                <c:pt idx="1180">
                  <c:v>41684</c:v>
                </c:pt>
                <c:pt idx="1181">
                  <c:v>41688</c:v>
                </c:pt>
                <c:pt idx="1182">
                  <c:v>41689</c:v>
                </c:pt>
                <c:pt idx="1183">
                  <c:v>41690</c:v>
                </c:pt>
                <c:pt idx="1184">
                  <c:v>41691</c:v>
                </c:pt>
                <c:pt idx="1185">
                  <c:v>41694</c:v>
                </c:pt>
                <c:pt idx="1186">
                  <c:v>41695</c:v>
                </c:pt>
                <c:pt idx="1187">
                  <c:v>41696</c:v>
                </c:pt>
                <c:pt idx="1188">
                  <c:v>41697</c:v>
                </c:pt>
                <c:pt idx="1189">
                  <c:v>41698</c:v>
                </c:pt>
                <c:pt idx="1190">
                  <c:v>41701</c:v>
                </c:pt>
                <c:pt idx="1191">
                  <c:v>41702</c:v>
                </c:pt>
                <c:pt idx="1192">
                  <c:v>41703</c:v>
                </c:pt>
                <c:pt idx="1193">
                  <c:v>41704</c:v>
                </c:pt>
                <c:pt idx="1194">
                  <c:v>41705</c:v>
                </c:pt>
                <c:pt idx="1195">
                  <c:v>41708</c:v>
                </c:pt>
                <c:pt idx="1196">
                  <c:v>41709</c:v>
                </c:pt>
                <c:pt idx="1197">
                  <c:v>41710</c:v>
                </c:pt>
                <c:pt idx="1198">
                  <c:v>41711</c:v>
                </c:pt>
                <c:pt idx="1199">
                  <c:v>41712</c:v>
                </c:pt>
                <c:pt idx="1200">
                  <c:v>41715</c:v>
                </c:pt>
                <c:pt idx="1201">
                  <c:v>41716</c:v>
                </c:pt>
                <c:pt idx="1202">
                  <c:v>41717</c:v>
                </c:pt>
                <c:pt idx="1203">
                  <c:v>41718</c:v>
                </c:pt>
                <c:pt idx="1204">
                  <c:v>41719</c:v>
                </c:pt>
                <c:pt idx="1205">
                  <c:v>41722</c:v>
                </c:pt>
                <c:pt idx="1206">
                  <c:v>41723</c:v>
                </c:pt>
                <c:pt idx="1207">
                  <c:v>41724</c:v>
                </c:pt>
                <c:pt idx="1208">
                  <c:v>41725</c:v>
                </c:pt>
                <c:pt idx="1209">
                  <c:v>41726</c:v>
                </c:pt>
                <c:pt idx="1210">
                  <c:v>41729</c:v>
                </c:pt>
                <c:pt idx="1211">
                  <c:v>41730</c:v>
                </c:pt>
                <c:pt idx="1212">
                  <c:v>41731</c:v>
                </c:pt>
                <c:pt idx="1213">
                  <c:v>41732</c:v>
                </c:pt>
                <c:pt idx="1214">
                  <c:v>41733</c:v>
                </c:pt>
                <c:pt idx="1215">
                  <c:v>41736</c:v>
                </c:pt>
                <c:pt idx="1216">
                  <c:v>41737</c:v>
                </c:pt>
                <c:pt idx="1217">
                  <c:v>41738</c:v>
                </c:pt>
                <c:pt idx="1218">
                  <c:v>41739</c:v>
                </c:pt>
                <c:pt idx="1219">
                  <c:v>41740</c:v>
                </c:pt>
                <c:pt idx="1220">
                  <c:v>41743</c:v>
                </c:pt>
                <c:pt idx="1221">
                  <c:v>41744</c:v>
                </c:pt>
                <c:pt idx="1222">
                  <c:v>41745</c:v>
                </c:pt>
                <c:pt idx="1223">
                  <c:v>41746</c:v>
                </c:pt>
                <c:pt idx="1224">
                  <c:v>41750</c:v>
                </c:pt>
                <c:pt idx="1225">
                  <c:v>41751</c:v>
                </c:pt>
                <c:pt idx="1226">
                  <c:v>41752</c:v>
                </c:pt>
                <c:pt idx="1227">
                  <c:v>41753</c:v>
                </c:pt>
                <c:pt idx="1228">
                  <c:v>41754</c:v>
                </c:pt>
                <c:pt idx="1229">
                  <c:v>41757</c:v>
                </c:pt>
                <c:pt idx="1230">
                  <c:v>41758</c:v>
                </c:pt>
                <c:pt idx="1231">
                  <c:v>41759</c:v>
                </c:pt>
                <c:pt idx="1232">
                  <c:v>41760</c:v>
                </c:pt>
                <c:pt idx="1233">
                  <c:v>41761</c:v>
                </c:pt>
                <c:pt idx="1234">
                  <c:v>41764</c:v>
                </c:pt>
                <c:pt idx="1235">
                  <c:v>41765</c:v>
                </c:pt>
                <c:pt idx="1236">
                  <c:v>41766</c:v>
                </c:pt>
                <c:pt idx="1237">
                  <c:v>41767</c:v>
                </c:pt>
                <c:pt idx="1238">
                  <c:v>41768</c:v>
                </c:pt>
                <c:pt idx="1239">
                  <c:v>41771</c:v>
                </c:pt>
                <c:pt idx="1240">
                  <c:v>41772</c:v>
                </c:pt>
                <c:pt idx="1241">
                  <c:v>41773</c:v>
                </c:pt>
                <c:pt idx="1242">
                  <c:v>41774</c:v>
                </c:pt>
                <c:pt idx="1243">
                  <c:v>41775</c:v>
                </c:pt>
                <c:pt idx="1244">
                  <c:v>41778</c:v>
                </c:pt>
                <c:pt idx="1245">
                  <c:v>41779</c:v>
                </c:pt>
                <c:pt idx="1246">
                  <c:v>41780</c:v>
                </c:pt>
                <c:pt idx="1247">
                  <c:v>41781</c:v>
                </c:pt>
                <c:pt idx="1248">
                  <c:v>41782</c:v>
                </c:pt>
                <c:pt idx="1249">
                  <c:v>41786</c:v>
                </c:pt>
                <c:pt idx="1250">
                  <c:v>41787</c:v>
                </c:pt>
                <c:pt idx="1251">
                  <c:v>41788</c:v>
                </c:pt>
                <c:pt idx="1252">
                  <c:v>41789</c:v>
                </c:pt>
                <c:pt idx="1253">
                  <c:v>41792</c:v>
                </c:pt>
                <c:pt idx="1254">
                  <c:v>41793</c:v>
                </c:pt>
                <c:pt idx="1255">
                  <c:v>41794</c:v>
                </c:pt>
                <c:pt idx="1256">
                  <c:v>41795</c:v>
                </c:pt>
                <c:pt idx="1257">
                  <c:v>41796</c:v>
                </c:pt>
                <c:pt idx="1258">
                  <c:v>41799</c:v>
                </c:pt>
                <c:pt idx="1259">
                  <c:v>41800</c:v>
                </c:pt>
                <c:pt idx="1260">
                  <c:v>41801</c:v>
                </c:pt>
                <c:pt idx="1261">
                  <c:v>41802</c:v>
                </c:pt>
                <c:pt idx="1262">
                  <c:v>41803</c:v>
                </c:pt>
                <c:pt idx="1263">
                  <c:v>41806</c:v>
                </c:pt>
                <c:pt idx="1264">
                  <c:v>41807</c:v>
                </c:pt>
                <c:pt idx="1265">
                  <c:v>41808</c:v>
                </c:pt>
                <c:pt idx="1266">
                  <c:v>41809</c:v>
                </c:pt>
                <c:pt idx="1267">
                  <c:v>41810</c:v>
                </c:pt>
                <c:pt idx="1268">
                  <c:v>41813</c:v>
                </c:pt>
                <c:pt idx="1269">
                  <c:v>41814</c:v>
                </c:pt>
                <c:pt idx="1270">
                  <c:v>41815</c:v>
                </c:pt>
                <c:pt idx="1271">
                  <c:v>41816</c:v>
                </c:pt>
                <c:pt idx="1272">
                  <c:v>41817</c:v>
                </c:pt>
                <c:pt idx="1273">
                  <c:v>41820</c:v>
                </c:pt>
                <c:pt idx="1274">
                  <c:v>41821</c:v>
                </c:pt>
                <c:pt idx="1275">
                  <c:v>41822</c:v>
                </c:pt>
                <c:pt idx="1276">
                  <c:v>41823</c:v>
                </c:pt>
                <c:pt idx="1277">
                  <c:v>41827</c:v>
                </c:pt>
                <c:pt idx="1278">
                  <c:v>41828</c:v>
                </c:pt>
                <c:pt idx="1279">
                  <c:v>41829</c:v>
                </c:pt>
                <c:pt idx="1280">
                  <c:v>41830</c:v>
                </c:pt>
                <c:pt idx="1281">
                  <c:v>41831</c:v>
                </c:pt>
                <c:pt idx="1282">
                  <c:v>41834</c:v>
                </c:pt>
                <c:pt idx="1283">
                  <c:v>41835</c:v>
                </c:pt>
                <c:pt idx="1284">
                  <c:v>41836</c:v>
                </c:pt>
                <c:pt idx="1285">
                  <c:v>41837</c:v>
                </c:pt>
                <c:pt idx="1286">
                  <c:v>41838</c:v>
                </c:pt>
                <c:pt idx="1287">
                  <c:v>41841</c:v>
                </c:pt>
                <c:pt idx="1288">
                  <c:v>41842</c:v>
                </c:pt>
                <c:pt idx="1289">
                  <c:v>41843</c:v>
                </c:pt>
                <c:pt idx="1290">
                  <c:v>41844</c:v>
                </c:pt>
                <c:pt idx="1291">
                  <c:v>41845</c:v>
                </c:pt>
                <c:pt idx="1292">
                  <c:v>41848</c:v>
                </c:pt>
                <c:pt idx="1293">
                  <c:v>41849</c:v>
                </c:pt>
                <c:pt idx="1294">
                  <c:v>41850</c:v>
                </c:pt>
                <c:pt idx="1295">
                  <c:v>41851</c:v>
                </c:pt>
                <c:pt idx="1296">
                  <c:v>41852</c:v>
                </c:pt>
                <c:pt idx="1297">
                  <c:v>41855</c:v>
                </c:pt>
                <c:pt idx="1298">
                  <c:v>41856</c:v>
                </c:pt>
                <c:pt idx="1299">
                  <c:v>41857</c:v>
                </c:pt>
                <c:pt idx="1300">
                  <c:v>41858</c:v>
                </c:pt>
                <c:pt idx="1301">
                  <c:v>41859</c:v>
                </c:pt>
                <c:pt idx="1302">
                  <c:v>41862</c:v>
                </c:pt>
                <c:pt idx="1303">
                  <c:v>41863</c:v>
                </c:pt>
                <c:pt idx="1304">
                  <c:v>41864</c:v>
                </c:pt>
                <c:pt idx="1305">
                  <c:v>41865</c:v>
                </c:pt>
                <c:pt idx="1306">
                  <c:v>41866</c:v>
                </c:pt>
                <c:pt idx="1307">
                  <c:v>41869</c:v>
                </c:pt>
                <c:pt idx="1308">
                  <c:v>41870</c:v>
                </c:pt>
                <c:pt idx="1309">
                  <c:v>41871</c:v>
                </c:pt>
                <c:pt idx="1310">
                  <c:v>41872</c:v>
                </c:pt>
                <c:pt idx="1311">
                  <c:v>41873</c:v>
                </c:pt>
                <c:pt idx="1312">
                  <c:v>41876</c:v>
                </c:pt>
                <c:pt idx="1313">
                  <c:v>41877</c:v>
                </c:pt>
                <c:pt idx="1314">
                  <c:v>41878</c:v>
                </c:pt>
                <c:pt idx="1315">
                  <c:v>41879</c:v>
                </c:pt>
                <c:pt idx="1316">
                  <c:v>41880</c:v>
                </c:pt>
                <c:pt idx="1317">
                  <c:v>41884</c:v>
                </c:pt>
                <c:pt idx="1318">
                  <c:v>41885</c:v>
                </c:pt>
                <c:pt idx="1319">
                  <c:v>41886</c:v>
                </c:pt>
                <c:pt idx="1320">
                  <c:v>41887</c:v>
                </c:pt>
                <c:pt idx="1321">
                  <c:v>41890</c:v>
                </c:pt>
                <c:pt idx="1322">
                  <c:v>41891</c:v>
                </c:pt>
                <c:pt idx="1323">
                  <c:v>41892</c:v>
                </c:pt>
                <c:pt idx="1324">
                  <c:v>41893</c:v>
                </c:pt>
                <c:pt idx="1325">
                  <c:v>41894</c:v>
                </c:pt>
                <c:pt idx="1326">
                  <c:v>41897</c:v>
                </c:pt>
                <c:pt idx="1327">
                  <c:v>41898</c:v>
                </c:pt>
                <c:pt idx="1328">
                  <c:v>41899</c:v>
                </c:pt>
                <c:pt idx="1329">
                  <c:v>41900</c:v>
                </c:pt>
                <c:pt idx="1330">
                  <c:v>41901</c:v>
                </c:pt>
                <c:pt idx="1331">
                  <c:v>41904</c:v>
                </c:pt>
                <c:pt idx="1332">
                  <c:v>41905</c:v>
                </c:pt>
                <c:pt idx="1333">
                  <c:v>41906</c:v>
                </c:pt>
                <c:pt idx="1334">
                  <c:v>41907</c:v>
                </c:pt>
                <c:pt idx="1335">
                  <c:v>41908</c:v>
                </c:pt>
                <c:pt idx="1336">
                  <c:v>41911</c:v>
                </c:pt>
                <c:pt idx="1337">
                  <c:v>41912</c:v>
                </c:pt>
                <c:pt idx="1338">
                  <c:v>41913</c:v>
                </c:pt>
                <c:pt idx="1339">
                  <c:v>41914</c:v>
                </c:pt>
                <c:pt idx="1340">
                  <c:v>41915</c:v>
                </c:pt>
                <c:pt idx="1341">
                  <c:v>41918</c:v>
                </c:pt>
                <c:pt idx="1342">
                  <c:v>41919</c:v>
                </c:pt>
                <c:pt idx="1343">
                  <c:v>41920</c:v>
                </c:pt>
                <c:pt idx="1344">
                  <c:v>41921</c:v>
                </c:pt>
                <c:pt idx="1345">
                  <c:v>41922</c:v>
                </c:pt>
                <c:pt idx="1346">
                  <c:v>41925</c:v>
                </c:pt>
                <c:pt idx="1347">
                  <c:v>41926</c:v>
                </c:pt>
                <c:pt idx="1348">
                  <c:v>41927</c:v>
                </c:pt>
                <c:pt idx="1349">
                  <c:v>41928</c:v>
                </c:pt>
                <c:pt idx="1350">
                  <c:v>41929</c:v>
                </c:pt>
                <c:pt idx="1351">
                  <c:v>41932</c:v>
                </c:pt>
                <c:pt idx="1352">
                  <c:v>41933</c:v>
                </c:pt>
                <c:pt idx="1353">
                  <c:v>41934</c:v>
                </c:pt>
                <c:pt idx="1354">
                  <c:v>41935</c:v>
                </c:pt>
                <c:pt idx="1355">
                  <c:v>41936</c:v>
                </c:pt>
                <c:pt idx="1356">
                  <c:v>41939</c:v>
                </c:pt>
                <c:pt idx="1357">
                  <c:v>41940</c:v>
                </c:pt>
                <c:pt idx="1358">
                  <c:v>41941</c:v>
                </c:pt>
                <c:pt idx="1359">
                  <c:v>41942</c:v>
                </c:pt>
                <c:pt idx="1360">
                  <c:v>41943</c:v>
                </c:pt>
                <c:pt idx="1361">
                  <c:v>41946</c:v>
                </c:pt>
                <c:pt idx="1362">
                  <c:v>41947</c:v>
                </c:pt>
                <c:pt idx="1363">
                  <c:v>41948</c:v>
                </c:pt>
                <c:pt idx="1364">
                  <c:v>41949</c:v>
                </c:pt>
                <c:pt idx="1365">
                  <c:v>41950</c:v>
                </c:pt>
                <c:pt idx="1366">
                  <c:v>41953</c:v>
                </c:pt>
                <c:pt idx="1367">
                  <c:v>41954</c:v>
                </c:pt>
                <c:pt idx="1368">
                  <c:v>41955</c:v>
                </c:pt>
                <c:pt idx="1369">
                  <c:v>41956</c:v>
                </c:pt>
                <c:pt idx="1370">
                  <c:v>41957</c:v>
                </c:pt>
                <c:pt idx="1371">
                  <c:v>41960</c:v>
                </c:pt>
                <c:pt idx="1372">
                  <c:v>41961</c:v>
                </c:pt>
                <c:pt idx="1373">
                  <c:v>41962</c:v>
                </c:pt>
                <c:pt idx="1374">
                  <c:v>41963</c:v>
                </c:pt>
                <c:pt idx="1375">
                  <c:v>41964</c:v>
                </c:pt>
                <c:pt idx="1376">
                  <c:v>41967</c:v>
                </c:pt>
                <c:pt idx="1377">
                  <c:v>41968</c:v>
                </c:pt>
                <c:pt idx="1378">
                  <c:v>41969</c:v>
                </c:pt>
                <c:pt idx="1379">
                  <c:v>41971</c:v>
                </c:pt>
                <c:pt idx="1380">
                  <c:v>41974</c:v>
                </c:pt>
                <c:pt idx="1381">
                  <c:v>41975</c:v>
                </c:pt>
                <c:pt idx="1382">
                  <c:v>41976</c:v>
                </c:pt>
                <c:pt idx="1383">
                  <c:v>41977</c:v>
                </c:pt>
                <c:pt idx="1384">
                  <c:v>41978</c:v>
                </c:pt>
                <c:pt idx="1385">
                  <c:v>41981</c:v>
                </c:pt>
                <c:pt idx="1386">
                  <c:v>41982</c:v>
                </c:pt>
                <c:pt idx="1387">
                  <c:v>41983</c:v>
                </c:pt>
                <c:pt idx="1388">
                  <c:v>41984</c:v>
                </c:pt>
                <c:pt idx="1389">
                  <c:v>41985</c:v>
                </c:pt>
                <c:pt idx="1390">
                  <c:v>41988</c:v>
                </c:pt>
                <c:pt idx="1391">
                  <c:v>41989</c:v>
                </c:pt>
                <c:pt idx="1392">
                  <c:v>41990</c:v>
                </c:pt>
                <c:pt idx="1393">
                  <c:v>41991</c:v>
                </c:pt>
                <c:pt idx="1394">
                  <c:v>41992</c:v>
                </c:pt>
                <c:pt idx="1395">
                  <c:v>41995</c:v>
                </c:pt>
                <c:pt idx="1396">
                  <c:v>41996</c:v>
                </c:pt>
                <c:pt idx="1397">
                  <c:v>41997</c:v>
                </c:pt>
                <c:pt idx="1398">
                  <c:v>41999</c:v>
                </c:pt>
                <c:pt idx="1399">
                  <c:v>42002</c:v>
                </c:pt>
                <c:pt idx="1400">
                  <c:v>42003</c:v>
                </c:pt>
                <c:pt idx="1401">
                  <c:v>42004</c:v>
                </c:pt>
                <c:pt idx="1402">
                  <c:v>42006</c:v>
                </c:pt>
                <c:pt idx="1403">
                  <c:v>42009</c:v>
                </c:pt>
                <c:pt idx="1404">
                  <c:v>42010</c:v>
                </c:pt>
                <c:pt idx="1405">
                  <c:v>42011</c:v>
                </c:pt>
                <c:pt idx="1406">
                  <c:v>42012</c:v>
                </c:pt>
                <c:pt idx="1407">
                  <c:v>42013</c:v>
                </c:pt>
                <c:pt idx="1408">
                  <c:v>42016</c:v>
                </c:pt>
                <c:pt idx="1409">
                  <c:v>42017</c:v>
                </c:pt>
                <c:pt idx="1410">
                  <c:v>42018</c:v>
                </c:pt>
                <c:pt idx="1411">
                  <c:v>42019</c:v>
                </c:pt>
                <c:pt idx="1412">
                  <c:v>42020</c:v>
                </c:pt>
                <c:pt idx="1413">
                  <c:v>42024</c:v>
                </c:pt>
                <c:pt idx="1414">
                  <c:v>42025</c:v>
                </c:pt>
                <c:pt idx="1415">
                  <c:v>42026</c:v>
                </c:pt>
                <c:pt idx="1416">
                  <c:v>42027</c:v>
                </c:pt>
                <c:pt idx="1417">
                  <c:v>42030</c:v>
                </c:pt>
                <c:pt idx="1418">
                  <c:v>42031</c:v>
                </c:pt>
                <c:pt idx="1419">
                  <c:v>42032</c:v>
                </c:pt>
                <c:pt idx="1420">
                  <c:v>42033</c:v>
                </c:pt>
                <c:pt idx="1421">
                  <c:v>42034</c:v>
                </c:pt>
                <c:pt idx="1422">
                  <c:v>42037</c:v>
                </c:pt>
                <c:pt idx="1423">
                  <c:v>42038</c:v>
                </c:pt>
                <c:pt idx="1424">
                  <c:v>42039</c:v>
                </c:pt>
                <c:pt idx="1425">
                  <c:v>42040</c:v>
                </c:pt>
                <c:pt idx="1426">
                  <c:v>42041</c:v>
                </c:pt>
                <c:pt idx="1427">
                  <c:v>42044</c:v>
                </c:pt>
                <c:pt idx="1428">
                  <c:v>42045</c:v>
                </c:pt>
                <c:pt idx="1429">
                  <c:v>42046</c:v>
                </c:pt>
                <c:pt idx="1430">
                  <c:v>42047</c:v>
                </c:pt>
                <c:pt idx="1431">
                  <c:v>42048</c:v>
                </c:pt>
                <c:pt idx="1432">
                  <c:v>42052</c:v>
                </c:pt>
                <c:pt idx="1433">
                  <c:v>42053</c:v>
                </c:pt>
                <c:pt idx="1434">
                  <c:v>42054</c:v>
                </c:pt>
                <c:pt idx="1435">
                  <c:v>42055</c:v>
                </c:pt>
                <c:pt idx="1436">
                  <c:v>42058</c:v>
                </c:pt>
                <c:pt idx="1437">
                  <c:v>42059</c:v>
                </c:pt>
                <c:pt idx="1438">
                  <c:v>42060</c:v>
                </c:pt>
                <c:pt idx="1439">
                  <c:v>42061</c:v>
                </c:pt>
                <c:pt idx="1440">
                  <c:v>42062</c:v>
                </c:pt>
                <c:pt idx="1441">
                  <c:v>42065</c:v>
                </c:pt>
                <c:pt idx="1442">
                  <c:v>42066</c:v>
                </c:pt>
                <c:pt idx="1443">
                  <c:v>42067</c:v>
                </c:pt>
                <c:pt idx="1444">
                  <c:v>42068</c:v>
                </c:pt>
                <c:pt idx="1445">
                  <c:v>42069</c:v>
                </c:pt>
                <c:pt idx="1446">
                  <c:v>42072</c:v>
                </c:pt>
                <c:pt idx="1447">
                  <c:v>42073</c:v>
                </c:pt>
                <c:pt idx="1448">
                  <c:v>42074</c:v>
                </c:pt>
                <c:pt idx="1449">
                  <c:v>42075</c:v>
                </c:pt>
                <c:pt idx="1450">
                  <c:v>42076</c:v>
                </c:pt>
                <c:pt idx="1451">
                  <c:v>42079</c:v>
                </c:pt>
                <c:pt idx="1452">
                  <c:v>42080</c:v>
                </c:pt>
                <c:pt idx="1453">
                  <c:v>42081</c:v>
                </c:pt>
                <c:pt idx="1454">
                  <c:v>42082</c:v>
                </c:pt>
                <c:pt idx="1455">
                  <c:v>42083</c:v>
                </c:pt>
                <c:pt idx="1456">
                  <c:v>42086</c:v>
                </c:pt>
                <c:pt idx="1457">
                  <c:v>42087</c:v>
                </c:pt>
                <c:pt idx="1458">
                  <c:v>42088</c:v>
                </c:pt>
                <c:pt idx="1459">
                  <c:v>42089</c:v>
                </c:pt>
                <c:pt idx="1460">
                  <c:v>42090</c:v>
                </c:pt>
                <c:pt idx="1461">
                  <c:v>42093</c:v>
                </c:pt>
                <c:pt idx="1462">
                  <c:v>42094</c:v>
                </c:pt>
                <c:pt idx="1463">
                  <c:v>42095</c:v>
                </c:pt>
                <c:pt idx="1464">
                  <c:v>42096</c:v>
                </c:pt>
                <c:pt idx="1465">
                  <c:v>42100</c:v>
                </c:pt>
                <c:pt idx="1466">
                  <c:v>42101</c:v>
                </c:pt>
                <c:pt idx="1467">
                  <c:v>42102</c:v>
                </c:pt>
                <c:pt idx="1468">
                  <c:v>42103</c:v>
                </c:pt>
                <c:pt idx="1469">
                  <c:v>42104</c:v>
                </c:pt>
                <c:pt idx="1470">
                  <c:v>42107</c:v>
                </c:pt>
                <c:pt idx="1471">
                  <c:v>42108</c:v>
                </c:pt>
                <c:pt idx="1472">
                  <c:v>42109</c:v>
                </c:pt>
                <c:pt idx="1473">
                  <c:v>42110</c:v>
                </c:pt>
                <c:pt idx="1474">
                  <c:v>42111</c:v>
                </c:pt>
                <c:pt idx="1475">
                  <c:v>42114</c:v>
                </c:pt>
                <c:pt idx="1476">
                  <c:v>42115</c:v>
                </c:pt>
                <c:pt idx="1477">
                  <c:v>42116</c:v>
                </c:pt>
                <c:pt idx="1478">
                  <c:v>42117</c:v>
                </c:pt>
                <c:pt idx="1479">
                  <c:v>42118</c:v>
                </c:pt>
                <c:pt idx="1480">
                  <c:v>42121</c:v>
                </c:pt>
                <c:pt idx="1481">
                  <c:v>42122</c:v>
                </c:pt>
                <c:pt idx="1482">
                  <c:v>42123</c:v>
                </c:pt>
                <c:pt idx="1483">
                  <c:v>42124</c:v>
                </c:pt>
                <c:pt idx="1484">
                  <c:v>42125</c:v>
                </c:pt>
                <c:pt idx="1485">
                  <c:v>42128</c:v>
                </c:pt>
                <c:pt idx="1486">
                  <c:v>42129</c:v>
                </c:pt>
                <c:pt idx="1487">
                  <c:v>42130</c:v>
                </c:pt>
                <c:pt idx="1488">
                  <c:v>42131</c:v>
                </c:pt>
                <c:pt idx="1489">
                  <c:v>42132</c:v>
                </c:pt>
                <c:pt idx="1490">
                  <c:v>42135</c:v>
                </c:pt>
                <c:pt idx="1491">
                  <c:v>42136</c:v>
                </c:pt>
                <c:pt idx="1492">
                  <c:v>42137</c:v>
                </c:pt>
                <c:pt idx="1493">
                  <c:v>42138</c:v>
                </c:pt>
                <c:pt idx="1494">
                  <c:v>42139</c:v>
                </c:pt>
                <c:pt idx="1495">
                  <c:v>42142</c:v>
                </c:pt>
                <c:pt idx="1496">
                  <c:v>42143</c:v>
                </c:pt>
                <c:pt idx="1497">
                  <c:v>42144</c:v>
                </c:pt>
                <c:pt idx="1498">
                  <c:v>42145</c:v>
                </c:pt>
                <c:pt idx="1499">
                  <c:v>42146</c:v>
                </c:pt>
                <c:pt idx="1500">
                  <c:v>42150</c:v>
                </c:pt>
                <c:pt idx="1501">
                  <c:v>42151</c:v>
                </c:pt>
                <c:pt idx="1502">
                  <c:v>42152</c:v>
                </c:pt>
                <c:pt idx="1503">
                  <c:v>42153</c:v>
                </c:pt>
                <c:pt idx="1504">
                  <c:v>42156</c:v>
                </c:pt>
                <c:pt idx="1505">
                  <c:v>42157</c:v>
                </c:pt>
                <c:pt idx="1506">
                  <c:v>42158</c:v>
                </c:pt>
                <c:pt idx="1507">
                  <c:v>42159</c:v>
                </c:pt>
                <c:pt idx="1508">
                  <c:v>42160</c:v>
                </c:pt>
                <c:pt idx="1509">
                  <c:v>42163</c:v>
                </c:pt>
                <c:pt idx="1510">
                  <c:v>42164</c:v>
                </c:pt>
                <c:pt idx="1511">
                  <c:v>42165</c:v>
                </c:pt>
                <c:pt idx="1512">
                  <c:v>42166</c:v>
                </c:pt>
                <c:pt idx="1513">
                  <c:v>42167</c:v>
                </c:pt>
                <c:pt idx="1514">
                  <c:v>42170</c:v>
                </c:pt>
                <c:pt idx="1515">
                  <c:v>42171</c:v>
                </c:pt>
                <c:pt idx="1516">
                  <c:v>42172</c:v>
                </c:pt>
                <c:pt idx="1517">
                  <c:v>42173</c:v>
                </c:pt>
                <c:pt idx="1518">
                  <c:v>42174</c:v>
                </c:pt>
                <c:pt idx="1519">
                  <c:v>42177</c:v>
                </c:pt>
                <c:pt idx="1520">
                  <c:v>42178</c:v>
                </c:pt>
                <c:pt idx="1521">
                  <c:v>42179</c:v>
                </c:pt>
                <c:pt idx="1522">
                  <c:v>42180</c:v>
                </c:pt>
                <c:pt idx="1523">
                  <c:v>42181</c:v>
                </c:pt>
                <c:pt idx="1524">
                  <c:v>42184</c:v>
                </c:pt>
                <c:pt idx="1525">
                  <c:v>42185</c:v>
                </c:pt>
                <c:pt idx="1526">
                  <c:v>42186</c:v>
                </c:pt>
                <c:pt idx="1527">
                  <c:v>42187</c:v>
                </c:pt>
                <c:pt idx="1528">
                  <c:v>42191</c:v>
                </c:pt>
                <c:pt idx="1529">
                  <c:v>42192</c:v>
                </c:pt>
                <c:pt idx="1530">
                  <c:v>42193</c:v>
                </c:pt>
                <c:pt idx="1531">
                  <c:v>42194</c:v>
                </c:pt>
                <c:pt idx="1532">
                  <c:v>42195</c:v>
                </c:pt>
                <c:pt idx="1533">
                  <c:v>42198</c:v>
                </c:pt>
                <c:pt idx="1534">
                  <c:v>42199</c:v>
                </c:pt>
                <c:pt idx="1535">
                  <c:v>42200</c:v>
                </c:pt>
                <c:pt idx="1536">
                  <c:v>42201</c:v>
                </c:pt>
                <c:pt idx="1537">
                  <c:v>42202</c:v>
                </c:pt>
                <c:pt idx="1538">
                  <c:v>42205</c:v>
                </c:pt>
                <c:pt idx="1539">
                  <c:v>42206</c:v>
                </c:pt>
                <c:pt idx="1540">
                  <c:v>42207</c:v>
                </c:pt>
                <c:pt idx="1541">
                  <c:v>42208</c:v>
                </c:pt>
                <c:pt idx="1542">
                  <c:v>42209</c:v>
                </c:pt>
                <c:pt idx="1543">
                  <c:v>42212</c:v>
                </c:pt>
                <c:pt idx="1544">
                  <c:v>42213</c:v>
                </c:pt>
                <c:pt idx="1545">
                  <c:v>42214</c:v>
                </c:pt>
                <c:pt idx="1546">
                  <c:v>42215</c:v>
                </c:pt>
                <c:pt idx="1547">
                  <c:v>42216</c:v>
                </c:pt>
                <c:pt idx="1548">
                  <c:v>42219</c:v>
                </c:pt>
                <c:pt idx="1549">
                  <c:v>42220</c:v>
                </c:pt>
                <c:pt idx="1550">
                  <c:v>42221</c:v>
                </c:pt>
                <c:pt idx="1551">
                  <c:v>42222</c:v>
                </c:pt>
                <c:pt idx="1552">
                  <c:v>42223</c:v>
                </c:pt>
                <c:pt idx="1553">
                  <c:v>42226</c:v>
                </c:pt>
                <c:pt idx="1554">
                  <c:v>42227</c:v>
                </c:pt>
                <c:pt idx="1555">
                  <c:v>42228</c:v>
                </c:pt>
                <c:pt idx="1556">
                  <c:v>42229</c:v>
                </c:pt>
                <c:pt idx="1557">
                  <c:v>42230</c:v>
                </c:pt>
                <c:pt idx="1558">
                  <c:v>42233</c:v>
                </c:pt>
                <c:pt idx="1559">
                  <c:v>42234</c:v>
                </c:pt>
                <c:pt idx="1560">
                  <c:v>42235</c:v>
                </c:pt>
                <c:pt idx="1561">
                  <c:v>42236</c:v>
                </c:pt>
                <c:pt idx="1562">
                  <c:v>42237</c:v>
                </c:pt>
                <c:pt idx="1563">
                  <c:v>42240</c:v>
                </c:pt>
                <c:pt idx="1564">
                  <c:v>42241</c:v>
                </c:pt>
                <c:pt idx="1565">
                  <c:v>42242</c:v>
                </c:pt>
                <c:pt idx="1566">
                  <c:v>42243</c:v>
                </c:pt>
                <c:pt idx="1567">
                  <c:v>42244</c:v>
                </c:pt>
                <c:pt idx="1568">
                  <c:v>42247</c:v>
                </c:pt>
                <c:pt idx="1569">
                  <c:v>42248</c:v>
                </c:pt>
                <c:pt idx="1570">
                  <c:v>42249</c:v>
                </c:pt>
                <c:pt idx="1571">
                  <c:v>42250</c:v>
                </c:pt>
                <c:pt idx="1572">
                  <c:v>42251</c:v>
                </c:pt>
                <c:pt idx="1573">
                  <c:v>42255</c:v>
                </c:pt>
                <c:pt idx="1574">
                  <c:v>42256</c:v>
                </c:pt>
                <c:pt idx="1575">
                  <c:v>42257</c:v>
                </c:pt>
                <c:pt idx="1576">
                  <c:v>42258</c:v>
                </c:pt>
                <c:pt idx="1577">
                  <c:v>42261</c:v>
                </c:pt>
                <c:pt idx="1578">
                  <c:v>42262</c:v>
                </c:pt>
                <c:pt idx="1579">
                  <c:v>42263</c:v>
                </c:pt>
                <c:pt idx="1580">
                  <c:v>42264</c:v>
                </c:pt>
                <c:pt idx="1581">
                  <c:v>42265</c:v>
                </c:pt>
                <c:pt idx="1582">
                  <c:v>42268</c:v>
                </c:pt>
                <c:pt idx="1583">
                  <c:v>42269</c:v>
                </c:pt>
                <c:pt idx="1584">
                  <c:v>42270</c:v>
                </c:pt>
                <c:pt idx="1585">
                  <c:v>42271</c:v>
                </c:pt>
                <c:pt idx="1586">
                  <c:v>42272</c:v>
                </c:pt>
                <c:pt idx="1587">
                  <c:v>42275</c:v>
                </c:pt>
                <c:pt idx="1588">
                  <c:v>42276</c:v>
                </c:pt>
                <c:pt idx="1589">
                  <c:v>42277</c:v>
                </c:pt>
                <c:pt idx="1590">
                  <c:v>42278</c:v>
                </c:pt>
                <c:pt idx="1591">
                  <c:v>42279</c:v>
                </c:pt>
                <c:pt idx="1592">
                  <c:v>42282</c:v>
                </c:pt>
                <c:pt idx="1593">
                  <c:v>42283</c:v>
                </c:pt>
                <c:pt idx="1594">
                  <c:v>42284</c:v>
                </c:pt>
                <c:pt idx="1595">
                  <c:v>42285</c:v>
                </c:pt>
                <c:pt idx="1596">
                  <c:v>42286</c:v>
                </c:pt>
                <c:pt idx="1597">
                  <c:v>42289</c:v>
                </c:pt>
                <c:pt idx="1598">
                  <c:v>42290</c:v>
                </c:pt>
                <c:pt idx="1599">
                  <c:v>42291</c:v>
                </c:pt>
                <c:pt idx="1600">
                  <c:v>42292</c:v>
                </c:pt>
                <c:pt idx="1601">
                  <c:v>42293</c:v>
                </c:pt>
                <c:pt idx="1602">
                  <c:v>42296</c:v>
                </c:pt>
                <c:pt idx="1603">
                  <c:v>42297</c:v>
                </c:pt>
                <c:pt idx="1604">
                  <c:v>42298</c:v>
                </c:pt>
                <c:pt idx="1605">
                  <c:v>42299</c:v>
                </c:pt>
                <c:pt idx="1606">
                  <c:v>42300</c:v>
                </c:pt>
                <c:pt idx="1607">
                  <c:v>42303</c:v>
                </c:pt>
                <c:pt idx="1608">
                  <c:v>42304</c:v>
                </c:pt>
                <c:pt idx="1609">
                  <c:v>42305</c:v>
                </c:pt>
                <c:pt idx="1610">
                  <c:v>42306</c:v>
                </c:pt>
                <c:pt idx="1611">
                  <c:v>42307</c:v>
                </c:pt>
                <c:pt idx="1612">
                  <c:v>42310</c:v>
                </c:pt>
                <c:pt idx="1613">
                  <c:v>42311</c:v>
                </c:pt>
                <c:pt idx="1614">
                  <c:v>42312</c:v>
                </c:pt>
                <c:pt idx="1615">
                  <c:v>42313</c:v>
                </c:pt>
                <c:pt idx="1616">
                  <c:v>42314</c:v>
                </c:pt>
                <c:pt idx="1617">
                  <c:v>42317</c:v>
                </c:pt>
                <c:pt idx="1618">
                  <c:v>42318</c:v>
                </c:pt>
                <c:pt idx="1619">
                  <c:v>42319</c:v>
                </c:pt>
                <c:pt idx="1620">
                  <c:v>42320</c:v>
                </c:pt>
                <c:pt idx="1621">
                  <c:v>42321</c:v>
                </c:pt>
                <c:pt idx="1622">
                  <c:v>42324</c:v>
                </c:pt>
                <c:pt idx="1623">
                  <c:v>42325</c:v>
                </c:pt>
                <c:pt idx="1624">
                  <c:v>42326</c:v>
                </c:pt>
                <c:pt idx="1625">
                  <c:v>42327</c:v>
                </c:pt>
                <c:pt idx="1626">
                  <c:v>42328</c:v>
                </c:pt>
                <c:pt idx="1627">
                  <c:v>42331</c:v>
                </c:pt>
                <c:pt idx="1628">
                  <c:v>42332</c:v>
                </c:pt>
                <c:pt idx="1629">
                  <c:v>42333</c:v>
                </c:pt>
                <c:pt idx="1630">
                  <c:v>42335</c:v>
                </c:pt>
                <c:pt idx="1631">
                  <c:v>42338</c:v>
                </c:pt>
                <c:pt idx="1632">
                  <c:v>42339</c:v>
                </c:pt>
                <c:pt idx="1633">
                  <c:v>42340</c:v>
                </c:pt>
                <c:pt idx="1634">
                  <c:v>42341</c:v>
                </c:pt>
                <c:pt idx="1635">
                  <c:v>42342</c:v>
                </c:pt>
                <c:pt idx="1636">
                  <c:v>42345</c:v>
                </c:pt>
                <c:pt idx="1637">
                  <c:v>42346</c:v>
                </c:pt>
                <c:pt idx="1638">
                  <c:v>42347</c:v>
                </c:pt>
                <c:pt idx="1639">
                  <c:v>42348</c:v>
                </c:pt>
                <c:pt idx="1640">
                  <c:v>42349</c:v>
                </c:pt>
                <c:pt idx="1641">
                  <c:v>42352</c:v>
                </c:pt>
                <c:pt idx="1642">
                  <c:v>42353</c:v>
                </c:pt>
                <c:pt idx="1643">
                  <c:v>42354</c:v>
                </c:pt>
                <c:pt idx="1644">
                  <c:v>42355</c:v>
                </c:pt>
                <c:pt idx="1645">
                  <c:v>42356</c:v>
                </c:pt>
                <c:pt idx="1646">
                  <c:v>42359</c:v>
                </c:pt>
                <c:pt idx="1647">
                  <c:v>42360</c:v>
                </c:pt>
                <c:pt idx="1648">
                  <c:v>42361</c:v>
                </c:pt>
                <c:pt idx="1649">
                  <c:v>42362</c:v>
                </c:pt>
                <c:pt idx="1650">
                  <c:v>42366</c:v>
                </c:pt>
                <c:pt idx="1651">
                  <c:v>42367</c:v>
                </c:pt>
                <c:pt idx="1652">
                  <c:v>42368</c:v>
                </c:pt>
                <c:pt idx="1653">
                  <c:v>42369</c:v>
                </c:pt>
                <c:pt idx="1654">
                  <c:v>42373</c:v>
                </c:pt>
                <c:pt idx="1655">
                  <c:v>42374</c:v>
                </c:pt>
                <c:pt idx="1656">
                  <c:v>42375</c:v>
                </c:pt>
                <c:pt idx="1657">
                  <c:v>42376</c:v>
                </c:pt>
                <c:pt idx="1658">
                  <c:v>42377</c:v>
                </c:pt>
                <c:pt idx="1659">
                  <c:v>42380</c:v>
                </c:pt>
                <c:pt idx="1660">
                  <c:v>42381</c:v>
                </c:pt>
                <c:pt idx="1661">
                  <c:v>42382</c:v>
                </c:pt>
                <c:pt idx="1662">
                  <c:v>42383</c:v>
                </c:pt>
                <c:pt idx="1663">
                  <c:v>42384</c:v>
                </c:pt>
                <c:pt idx="1664">
                  <c:v>42388</c:v>
                </c:pt>
                <c:pt idx="1665">
                  <c:v>42389</c:v>
                </c:pt>
                <c:pt idx="1666">
                  <c:v>42390</c:v>
                </c:pt>
                <c:pt idx="1667">
                  <c:v>42391</c:v>
                </c:pt>
                <c:pt idx="1668">
                  <c:v>42394</c:v>
                </c:pt>
                <c:pt idx="1669">
                  <c:v>42395</c:v>
                </c:pt>
                <c:pt idx="1670">
                  <c:v>42396</c:v>
                </c:pt>
                <c:pt idx="1671">
                  <c:v>42397</c:v>
                </c:pt>
                <c:pt idx="1672">
                  <c:v>42398</c:v>
                </c:pt>
                <c:pt idx="1673">
                  <c:v>42401</c:v>
                </c:pt>
                <c:pt idx="1674">
                  <c:v>42402</c:v>
                </c:pt>
                <c:pt idx="1675">
                  <c:v>42403</c:v>
                </c:pt>
                <c:pt idx="1676">
                  <c:v>42404</c:v>
                </c:pt>
                <c:pt idx="1677">
                  <c:v>42405</c:v>
                </c:pt>
                <c:pt idx="1678">
                  <c:v>42408</c:v>
                </c:pt>
                <c:pt idx="1679">
                  <c:v>42409</c:v>
                </c:pt>
                <c:pt idx="1680">
                  <c:v>42410</c:v>
                </c:pt>
                <c:pt idx="1681">
                  <c:v>42411</c:v>
                </c:pt>
                <c:pt idx="1682">
                  <c:v>42412</c:v>
                </c:pt>
                <c:pt idx="1683">
                  <c:v>42416</c:v>
                </c:pt>
                <c:pt idx="1684">
                  <c:v>42417</c:v>
                </c:pt>
                <c:pt idx="1685">
                  <c:v>42418</c:v>
                </c:pt>
                <c:pt idx="1686">
                  <c:v>42419</c:v>
                </c:pt>
                <c:pt idx="1687">
                  <c:v>42422</c:v>
                </c:pt>
                <c:pt idx="1688">
                  <c:v>42423</c:v>
                </c:pt>
                <c:pt idx="1689">
                  <c:v>42424</c:v>
                </c:pt>
                <c:pt idx="1690">
                  <c:v>42425</c:v>
                </c:pt>
                <c:pt idx="1691">
                  <c:v>42426</c:v>
                </c:pt>
                <c:pt idx="1692">
                  <c:v>42429</c:v>
                </c:pt>
                <c:pt idx="1693">
                  <c:v>42430</c:v>
                </c:pt>
                <c:pt idx="1694">
                  <c:v>42431</c:v>
                </c:pt>
                <c:pt idx="1695">
                  <c:v>42432</c:v>
                </c:pt>
                <c:pt idx="1696">
                  <c:v>42433</c:v>
                </c:pt>
                <c:pt idx="1697">
                  <c:v>42436</c:v>
                </c:pt>
                <c:pt idx="1698">
                  <c:v>42437</c:v>
                </c:pt>
                <c:pt idx="1699">
                  <c:v>42438</c:v>
                </c:pt>
                <c:pt idx="1700">
                  <c:v>42439</c:v>
                </c:pt>
                <c:pt idx="1701">
                  <c:v>42440</c:v>
                </c:pt>
                <c:pt idx="1702">
                  <c:v>42443</c:v>
                </c:pt>
                <c:pt idx="1703">
                  <c:v>42444</c:v>
                </c:pt>
                <c:pt idx="1704">
                  <c:v>42445</c:v>
                </c:pt>
                <c:pt idx="1705">
                  <c:v>42446</c:v>
                </c:pt>
                <c:pt idx="1706">
                  <c:v>42447</c:v>
                </c:pt>
                <c:pt idx="1707">
                  <c:v>42450</c:v>
                </c:pt>
                <c:pt idx="1708">
                  <c:v>42451</c:v>
                </c:pt>
                <c:pt idx="1709">
                  <c:v>42452</c:v>
                </c:pt>
                <c:pt idx="1710">
                  <c:v>42453</c:v>
                </c:pt>
                <c:pt idx="1711">
                  <c:v>42457</c:v>
                </c:pt>
                <c:pt idx="1712">
                  <c:v>42458</c:v>
                </c:pt>
                <c:pt idx="1713">
                  <c:v>42459</c:v>
                </c:pt>
                <c:pt idx="1714">
                  <c:v>42460</c:v>
                </c:pt>
                <c:pt idx="1715">
                  <c:v>42461</c:v>
                </c:pt>
                <c:pt idx="1716">
                  <c:v>42464</c:v>
                </c:pt>
                <c:pt idx="1717">
                  <c:v>42465</c:v>
                </c:pt>
                <c:pt idx="1718">
                  <c:v>42466</c:v>
                </c:pt>
                <c:pt idx="1719">
                  <c:v>42467</c:v>
                </c:pt>
                <c:pt idx="1720">
                  <c:v>42468</c:v>
                </c:pt>
                <c:pt idx="1721">
                  <c:v>42471</c:v>
                </c:pt>
                <c:pt idx="1722">
                  <c:v>42472</c:v>
                </c:pt>
                <c:pt idx="1723">
                  <c:v>42473</c:v>
                </c:pt>
                <c:pt idx="1724">
                  <c:v>42474</c:v>
                </c:pt>
                <c:pt idx="1725">
                  <c:v>42475</c:v>
                </c:pt>
                <c:pt idx="1726">
                  <c:v>42478</c:v>
                </c:pt>
                <c:pt idx="1727">
                  <c:v>42479</c:v>
                </c:pt>
                <c:pt idx="1728">
                  <c:v>42480</c:v>
                </c:pt>
                <c:pt idx="1729">
                  <c:v>42481</c:v>
                </c:pt>
                <c:pt idx="1730">
                  <c:v>42482</c:v>
                </c:pt>
                <c:pt idx="1731">
                  <c:v>42485</c:v>
                </c:pt>
                <c:pt idx="1732">
                  <c:v>42486</c:v>
                </c:pt>
                <c:pt idx="1733">
                  <c:v>42487</c:v>
                </c:pt>
                <c:pt idx="1734">
                  <c:v>42488</c:v>
                </c:pt>
                <c:pt idx="1735">
                  <c:v>42489</c:v>
                </c:pt>
                <c:pt idx="1736">
                  <c:v>42492</c:v>
                </c:pt>
                <c:pt idx="1737">
                  <c:v>42493</c:v>
                </c:pt>
                <c:pt idx="1738">
                  <c:v>42494</c:v>
                </c:pt>
                <c:pt idx="1739">
                  <c:v>42495</c:v>
                </c:pt>
                <c:pt idx="1740">
                  <c:v>42496</c:v>
                </c:pt>
                <c:pt idx="1741">
                  <c:v>42499</c:v>
                </c:pt>
                <c:pt idx="1742">
                  <c:v>42500</c:v>
                </c:pt>
                <c:pt idx="1743">
                  <c:v>42501</c:v>
                </c:pt>
                <c:pt idx="1744">
                  <c:v>42502</c:v>
                </c:pt>
                <c:pt idx="1745">
                  <c:v>42503</c:v>
                </c:pt>
                <c:pt idx="1746">
                  <c:v>42506</c:v>
                </c:pt>
                <c:pt idx="1747">
                  <c:v>42507</c:v>
                </c:pt>
                <c:pt idx="1748">
                  <c:v>42508</c:v>
                </c:pt>
                <c:pt idx="1749">
                  <c:v>42509</c:v>
                </c:pt>
                <c:pt idx="1750">
                  <c:v>42510</c:v>
                </c:pt>
                <c:pt idx="1751">
                  <c:v>42513</c:v>
                </c:pt>
                <c:pt idx="1752">
                  <c:v>42514</c:v>
                </c:pt>
                <c:pt idx="1753">
                  <c:v>42515</c:v>
                </c:pt>
                <c:pt idx="1754">
                  <c:v>42516</c:v>
                </c:pt>
                <c:pt idx="1755">
                  <c:v>42517</c:v>
                </c:pt>
                <c:pt idx="1756">
                  <c:v>42521</c:v>
                </c:pt>
                <c:pt idx="1757">
                  <c:v>42522</c:v>
                </c:pt>
                <c:pt idx="1758">
                  <c:v>42523</c:v>
                </c:pt>
                <c:pt idx="1759">
                  <c:v>42524</c:v>
                </c:pt>
                <c:pt idx="1760">
                  <c:v>42527</c:v>
                </c:pt>
                <c:pt idx="1761">
                  <c:v>42528</c:v>
                </c:pt>
                <c:pt idx="1762">
                  <c:v>42529</c:v>
                </c:pt>
                <c:pt idx="1763">
                  <c:v>42530</c:v>
                </c:pt>
                <c:pt idx="1764">
                  <c:v>42531</c:v>
                </c:pt>
                <c:pt idx="1765">
                  <c:v>42534</c:v>
                </c:pt>
                <c:pt idx="1766">
                  <c:v>42535</c:v>
                </c:pt>
                <c:pt idx="1767">
                  <c:v>42536</c:v>
                </c:pt>
                <c:pt idx="1768">
                  <c:v>42537</c:v>
                </c:pt>
                <c:pt idx="1769">
                  <c:v>42538</c:v>
                </c:pt>
                <c:pt idx="1770">
                  <c:v>42541</c:v>
                </c:pt>
                <c:pt idx="1771">
                  <c:v>42542</c:v>
                </c:pt>
                <c:pt idx="1772">
                  <c:v>42543</c:v>
                </c:pt>
                <c:pt idx="1773">
                  <c:v>42544</c:v>
                </c:pt>
                <c:pt idx="1774">
                  <c:v>42545</c:v>
                </c:pt>
                <c:pt idx="1775">
                  <c:v>42548</c:v>
                </c:pt>
                <c:pt idx="1776">
                  <c:v>42549</c:v>
                </c:pt>
                <c:pt idx="1777">
                  <c:v>42550</c:v>
                </c:pt>
                <c:pt idx="1778">
                  <c:v>42551</c:v>
                </c:pt>
                <c:pt idx="1779">
                  <c:v>42552</c:v>
                </c:pt>
                <c:pt idx="1780">
                  <c:v>42556</c:v>
                </c:pt>
                <c:pt idx="1781">
                  <c:v>42557</c:v>
                </c:pt>
                <c:pt idx="1782">
                  <c:v>42558</c:v>
                </c:pt>
                <c:pt idx="1783">
                  <c:v>42559</c:v>
                </c:pt>
                <c:pt idx="1784">
                  <c:v>42562</c:v>
                </c:pt>
                <c:pt idx="1785">
                  <c:v>42563</c:v>
                </c:pt>
                <c:pt idx="1786">
                  <c:v>42564</c:v>
                </c:pt>
                <c:pt idx="1787">
                  <c:v>42565</c:v>
                </c:pt>
                <c:pt idx="1788">
                  <c:v>42566</c:v>
                </c:pt>
                <c:pt idx="1789">
                  <c:v>42569</c:v>
                </c:pt>
                <c:pt idx="1790">
                  <c:v>42570</c:v>
                </c:pt>
                <c:pt idx="1791">
                  <c:v>42571</c:v>
                </c:pt>
                <c:pt idx="1792">
                  <c:v>42572</c:v>
                </c:pt>
                <c:pt idx="1793">
                  <c:v>42573</c:v>
                </c:pt>
                <c:pt idx="1794">
                  <c:v>42576</c:v>
                </c:pt>
                <c:pt idx="1795">
                  <c:v>42577</c:v>
                </c:pt>
                <c:pt idx="1796">
                  <c:v>42578</c:v>
                </c:pt>
                <c:pt idx="1797">
                  <c:v>42579</c:v>
                </c:pt>
                <c:pt idx="1798">
                  <c:v>42580</c:v>
                </c:pt>
                <c:pt idx="1799">
                  <c:v>42583</c:v>
                </c:pt>
                <c:pt idx="1800">
                  <c:v>42584</c:v>
                </c:pt>
                <c:pt idx="1801">
                  <c:v>42585</c:v>
                </c:pt>
                <c:pt idx="1802">
                  <c:v>42586</c:v>
                </c:pt>
                <c:pt idx="1803">
                  <c:v>42587</c:v>
                </c:pt>
                <c:pt idx="1804">
                  <c:v>42590</c:v>
                </c:pt>
                <c:pt idx="1805">
                  <c:v>42591</c:v>
                </c:pt>
                <c:pt idx="1806">
                  <c:v>42592</c:v>
                </c:pt>
                <c:pt idx="1807">
                  <c:v>42593</c:v>
                </c:pt>
                <c:pt idx="1808">
                  <c:v>42594</c:v>
                </c:pt>
                <c:pt idx="1809">
                  <c:v>42597</c:v>
                </c:pt>
                <c:pt idx="1810">
                  <c:v>42598</c:v>
                </c:pt>
                <c:pt idx="1811">
                  <c:v>42599</c:v>
                </c:pt>
                <c:pt idx="1812">
                  <c:v>42600</c:v>
                </c:pt>
                <c:pt idx="1813">
                  <c:v>42601</c:v>
                </c:pt>
                <c:pt idx="1814">
                  <c:v>42604</c:v>
                </c:pt>
                <c:pt idx="1815">
                  <c:v>42605</c:v>
                </c:pt>
                <c:pt idx="1816">
                  <c:v>42606</c:v>
                </c:pt>
                <c:pt idx="1817">
                  <c:v>42607</c:v>
                </c:pt>
                <c:pt idx="1818">
                  <c:v>42608</c:v>
                </c:pt>
                <c:pt idx="1819">
                  <c:v>42611</c:v>
                </c:pt>
                <c:pt idx="1820">
                  <c:v>42612</c:v>
                </c:pt>
                <c:pt idx="1821">
                  <c:v>42613</c:v>
                </c:pt>
                <c:pt idx="1822">
                  <c:v>42614</c:v>
                </c:pt>
                <c:pt idx="1823">
                  <c:v>42615</c:v>
                </c:pt>
                <c:pt idx="1824">
                  <c:v>42619</c:v>
                </c:pt>
                <c:pt idx="1825">
                  <c:v>42620</c:v>
                </c:pt>
                <c:pt idx="1826">
                  <c:v>42621</c:v>
                </c:pt>
                <c:pt idx="1827">
                  <c:v>42622</c:v>
                </c:pt>
                <c:pt idx="1828">
                  <c:v>42625</c:v>
                </c:pt>
                <c:pt idx="1829">
                  <c:v>42626</c:v>
                </c:pt>
                <c:pt idx="1830">
                  <c:v>42627</c:v>
                </c:pt>
                <c:pt idx="1831">
                  <c:v>42628</c:v>
                </c:pt>
                <c:pt idx="1832">
                  <c:v>42629</c:v>
                </c:pt>
                <c:pt idx="1833">
                  <c:v>42632</c:v>
                </c:pt>
                <c:pt idx="1834">
                  <c:v>42633</c:v>
                </c:pt>
                <c:pt idx="1835">
                  <c:v>42634</c:v>
                </c:pt>
                <c:pt idx="1836">
                  <c:v>42635</c:v>
                </c:pt>
                <c:pt idx="1837">
                  <c:v>42636</c:v>
                </c:pt>
                <c:pt idx="1838">
                  <c:v>42639</c:v>
                </c:pt>
                <c:pt idx="1839">
                  <c:v>42640</c:v>
                </c:pt>
                <c:pt idx="1840">
                  <c:v>42641</c:v>
                </c:pt>
                <c:pt idx="1841">
                  <c:v>42642</c:v>
                </c:pt>
                <c:pt idx="1842">
                  <c:v>42643</c:v>
                </c:pt>
                <c:pt idx="1843">
                  <c:v>42646</c:v>
                </c:pt>
                <c:pt idx="1844">
                  <c:v>42647</c:v>
                </c:pt>
                <c:pt idx="1845">
                  <c:v>42648</c:v>
                </c:pt>
                <c:pt idx="1846">
                  <c:v>42649</c:v>
                </c:pt>
                <c:pt idx="1847">
                  <c:v>42650</c:v>
                </c:pt>
                <c:pt idx="1848">
                  <c:v>42653</c:v>
                </c:pt>
                <c:pt idx="1849">
                  <c:v>42654</c:v>
                </c:pt>
                <c:pt idx="1850">
                  <c:v>42655</c:v>
                </c:pt>
                <c:pt idx="1851">
                  <c:v>42656</c:v>
                </c:pt>
                <c:pt idx="1852">
                  <c:v>42657</c:v>
                </c:pt>
                <c:pt idx="1853">
                  <c:v>42660</c:v>
                </c:pt>
                <c:pt idx="1854">
                  <c:v>42661</c:v>
                </c:pt>
                <c:pt idx="1855">
                  <c:v>42662</c:v>
                </c:pt>
                <c:pt idx="1856">
                  <c:v>42663</c:v>
                </c:pt>
                <c:pt idx="1857">
                  <c:v>42664</c:v>
                </c:pt>
                <c:pt idx="1858">
                  <c:v>42667</c:v>
                </c:pt>
                <c:pt idx="1859">
                  <c:v>42668</c:v>
                </c:pt>
                <c:pt idx="1860">
                  <c:v>42669</c:v>
                </c:pt>
                <c:pt idx="1861">
                  <c:v>42670</c:v>
                </c:pt>
                <c:pt idx="1862">
                  <c:v>42671</c:v>
                </c:pt>
                <c:pt idx="1863">
                  <c:v>42674</c:v>
                </c:pt>
                <c:pt idx="1864">
                  <c:v>42675</c:v>
                </c:pt>
                <c:pt idx="1865">
                  <c:v>42676</c:v>
                </c:pt>
                <c:pt idx="1866">
                  <c:v>42677</c:v>
                </c:pt>
                <c:pt idx="1867">
                  <c:v>42678</c:v>
                </c:pt>
                <c:pt idx="1868">
                  <c:v>42681</c:v>
                </c:pt>
                <c:pt idx="1869">
                  <c:v>42682</c:v>
                </c:pt>
                <c:pt idx="1870">
                  <c:v>42683</c:v>
                </c:pt>
                <c:pt idx="1871">
                  <c:v>42684</c:v>
                </c:pt>
                <c:pt idx="1872">
                  <c:v>42685</c:v>
                </c:pt>
                <c:pt idx="1873">
                  <c:v>42688</c:v>
                </c:pt>
                <c:pt idx="1874">
                  <c:v>42689</c:v>
                </c:pt>
                <c:pt idx="1875">
                  <c:v>42690</c:v>
                </c:pt>
                <c:pt idx="1876">
                  <c:v>42691</c:v>
                </c:pt>
                <c:pt idx="1877">
                  <c:v>42692</c:v>
                </c:pt>
                <c:pt idx="1878">
                  <c:v>42695</c:v>
                </c:pt>
                <c:pt idx="1879">
                  <c:v>42696</c:v>
                </c:pt>
                <c:pt idx="1880">
                  <c:v>42697</c:v>
                </c:pt>
                <c:pt idx="1881">
                  <c:v>42699</c:v>
                </c:pt>
                <c:pt idx="1882">
                  <c:v>42702</c:v>
                </c:pt>
                <c:pt idx="1883">
                  <c:v>42703</c:v>
                </c:pt>
                <c:pt idx="1884">
                  <c:v>42704</c:v>
                </c:pt>
                <c:pt idx="1885">
                  <c:v>42705</c:v>
                </c:pt>
                <c:pt idx="1886">
                  <c:v>42706</c:v>
                </c:pt>
                <c:pt idx="1887">
                  <c:v>42709</c:v>
                </c:pt>
                <c:pt idx="1888">
                  <c:v>42710</c:v>
                </c:pt>
                <c:pt idx="1889">
                  <c:v>42711</c:v>
                </c:pt>
                <c:pt idx="1890">
                  <c:v>42712</c:v>
                </c:pt>
                <c:pt idx="1891">
                  <c:v>42713</c:v>
                </c:pt>
                <c:pt idx="1892">
                  <c:v>42716</c:v>
                </c:pt>
                <c:pt idx="1893">
                  <c:v>42717</c:v>
                </c:pt>
                <c:pt idx="1894">
                  <c:v>42718</c:v>
                </c:pt>
                <c:pt idx="1895">
                  <c:v>42719</c:v>
                </c:pt>
                <c:pt idx="1896">
                  <c:v>42720</c:v>
                </c:pt>
                <c:pt idx="1897">
                  <c:v>42723</c:v>
                </c:pt>
                <c:pt idx="1898">
                  <c:v>42724</c:v>
                </c:pt>
                <c:pt idx="1899">
                  <c:v>42725</c:v>
                </c:pt>
                <c:pt idx="1900">
                  <c:v>42726</c:v>
                </c:pt>
                <c:pt idx="1901">
                  <c:v>42727</c:v>
                </c:pt>
                <c:pt idx="1902">
                  <c:v>42731</c:v>
                </c:pt>
                <c:pt idx="1903">
                  <c:v>42732</c:v>
                </c:pt>
                <c:pt idx="1904">
                  <c:v>42733</c:v>
                </c:pt>
                <c:pt idx="1905">
                  <c:v>42734</c:v>
                </c:pt>
                <c:pt idx="1906">
                  <c:v>42738</c:v>
                </c:pt>
                <c:pt idx="1907">
                  <c:v>42739</c:v>
                </c:pt>
                <c:pt idx="1908">
                  <c:v>42740</c:v>
                </c:pt>
                <c:pt idx="1909">
                  <c:v>42741</c:v>
                </c:pt>
                <c:pt idx="1910">
                  <c:v>42744</c:v>
                </c:pt>
                <c:pt idx="1911">
                  <c:v>42745</c:v>
                </c:pt>
                <c:pt idx="1912">
                  <c:v>42746</c:v>
                </c:pt>
                <c:pt idx="1913">
                  <c:v>42747</c:v>
                </c:pt>
                <c:pt idx="1914">
                  <c:v>42748</c:v>
                </c:pt>
                <c:pt idx="1915">
                  <c:v>42752</c:v>
                </c:pt>
                <c:pt idx="1916">
                  <c:v>42753</c:v>
                </c:pt>
                <c:pt idx="1917">
                  <c:v>42754</c:v>
                </c:pt>
                <c:pt idx="1918">
                  <c:v>42755</c:v>
                </c:pt>
                <c:pt idx="1919">
                  <c:v>42758</c:v>
                </c:pt>
                <c:pt idx="1920">
                  <c:v>42759</c:v>
                </c:pt>
                <c:pt idx="1921">
                  <c:v>42760</c:v>
                </c:pt>
                <c:pt idx="1922">
                  <c:v>42761</c:v>
                </c:pt>
                <c:pt idx="1923">
                  <c:v>42762</c:v>
                </c:pt>
                <c:pt idx="1924">
                  <c:v>42765</c:v>
                </c:pt>
                <c:pt idx="1925">
                  <c:v>42766</c:v>
                </c:pt>
                <c:pt idx="1926">
                  <c:v>42767</c:v>
                </c:pt>
                <c:pt idx="1927">
                  <c:v>42768</c:v>
                </c:pt>
                <c:pt idx="1928">
                  <c:v>42769</c:v>
                </c:pt>
                <c:pt idx="1929">
                  <c:v>42772</c:v>
                </c:pt>
                <c:pt idx="1930">
                  <c:v>42773</c:v>
                </c:pt>
                <c:pt idx="1931">
                  <c:v>42774</c:v>
                </c:pt>
                <c:pt idx="1932">
                  <c:v>42775</c:v>
                </c:pt>
                <c:pt idx="1933">
                  <c:v>42776</c:v>
                </c:pt>
                <c:pt idx="1934">
                  <c:v>42779</c:v>
                </c:pt>
                <c:pt idx="1935">
                  <c:v>42780</c:v>
                </c:pt>
                <c:pt idx="1936">
                  <c:v>42781</c:v>
                </c:pt>
                <c:pt idx="1937">
                  <c:v>42782</c:v>
                </c:pt>
                <c:pt idx="1938">
                  <c:v>42783</c:v>
                </c:pt>
                <c:pt idx="1939">
                  <c:v>42787</c:v>
                </c:pt>
                <c:pt idx="1940">
                  <c:v>42788</c:v>
                </c:pt>
                <c:pt idx="1941">
                  <c:v>42789</c:v>
                </c:pt>
                <c:pt idx="1942">
                  <c:v>42790</c:v>
                </c:pt>
                <c:pt idx="1943">
                  <c:v>42793</c:v>
                </c:pt>
                <c:pt idx="1944">
                  <c:v>42794</c:v>
                </c:pt>
                <c:pt idx="1945">
                  <c:v>42795</c:v>
                </c:pt>
                <c:pt idx="1946">
                  <c:v>42796</c:v>
                </c:pt>
                <c:pt idx="1947">
                  <c:v>42797</c:v>
                </c:pt>
                <c:pt idx="1948">
                  <c:v>42800</c:v>
                </c:pt>
                <c:pt idx="1949">
                  <c:v>42801</c:v>
                </c:pt>
                <c:pt idx="1950">
                  <c:v>42802</c:v>
                </c:pt>
                <c:pt idx="1951">
                  <c:v>42803</c:v>
                </c:pt>
                <c:pt idx="1952">
                  <c:v>42804</c:v>
                </c:pt>
                <c:pt idx="1953">
                  <c:v>42807</c:v>
                </c:pt>
                <c:pt idx="1954">
                  <c:v>42808</c:v>
                </c:pt>
                <c:pt idx="1955">
                  <c:v>42809</c:v>
                </c:pt>
                <c:pt idx="1956">
                  <c:v>42810</c:v>
                </c:pt>
                <c:pt idx="1957">
                  <c:v>42811</c:v>
                </c:pt>
                <c:pt idx="1958">
                  <c:v>42814</c:v>
                </c:pt>
                <c:pt idx="1959">
                  <c:v>42815</c:v>
                </c:pt>
                <c:pt idx="1960">
                  <c:v>42816</c:v>
                </c:pt>
                <c:pt idx="1961">
                  <c:v>42817</c:v>
                </c:pt>
                <c:pt idx="1962">
                  <c:v>42818</c:v>
                </c:pt>
                <c:pt idx="1963">
                  <c:v>42821</c:v>
                </c:pt>
                <c:pt idx="1964">
                  <c:v>42822</c:v>
                </c:pt>
                <c:pt idx="1965">
                  <c:v>42823</c:v>
                </c:pt>
                <c:pt idx="1966">
                  <c:v>42824</c:v>
                </c:pt>
                <c:pt idx="1967">
                  <c:v>42825</c:v>
                </c:pt>
                <c:pt idx="1968">
                  <c:v>42828</c:v>
                </c:pt>
                <c:pt idx="1969">
                  <c:v>42829</c:v>
                </c:pt>
                <c:pt idx="1970">
                  <c:v>42830</c:v>
                </c:pt>
                <c:pt idx="1971">
                  <c:v>42831</c:v>
                </c:pt>
                <c:pt idx="1972">
                  <c:v>42832</c:v>
                </c:pt>
                <c:pt idx="1973">
                  <c:v>42835</c:v>
                </c:pt>
                <c:pt idx="1974">
                  <c:v>42836</c:v>
                </c:pt>
                <c:pt idx="1975">
                  <c:v>42837</c:v>
                </c:pt>
                <c:pt idx="1976">
                  <c:v>42838</c:v>
                </c:pt>
                <c:pt idx="1977">
                  <c:v>42842</c:v>
                </c:pt>
                <c:pt idx="1978">
                  <c:v>42843</c:v>
                </c:pt>
                <c:pt idx="1979">
                  <c:v>42844</c:v>
                </c:pt>
                <c:pt idx="1980">
                  <c:v>42845</c:v>
                </c:pt>
                <c:pt idx="1981">
                  <c:v>42846</c:v>
                </c:pt>
                <c:pt idx="1982">
                  <c:v>42849</c:v>
                </c:pt>
                <c:pt idx="1983">
                  <c:v>42850</c:v>
                </c:pt>
                <c:pt idx="1984">
                  <c:v>42851</c:v>
                </c:pt>
                <c:pt idx="1985">
                  <c:v>42852</c:v>
                </c:pt>
                <c:pt idx="1986">
                  <c:v>42853</c:v>
                </c:pt>
                <c:pt idx="1987">
                  <c:v>42856</c:v>
                </c:pt>
                <c:pt idx="1988">
                  <c:v>42857</c:v>
                </c:pt>
                <c:pt idx="1989">
                  <c:v>42858</c:v>
                </c:pt>
                <c:pt idx="1990">
                  <c:v>42859</c:v>
                </c:pt>
                <c:pt idx="1991">
                  <c:v>42860</c:v>
                </c:pt>
                <c:pt idx="1992">
                  <c:v>42863</c:v>
                </c:pt>
                <c:pt idx="1993">
                  <c:v>42864</c:v>
                </c:pt>
                <c:pt idx="1994">
                  <c:v>42865</c:v>
                </c:pt>
                <c:pt idx="1995">
                  <c:v>42866</c:v>
                </c:pt>
                <c:pt idx="1996">
                  <c:v>42867</c:v>
                </c:pt>
                <c:pt idx="1997">
                  <c:v>42870</c:v>
                </c:pt>
                <c:pt idx="1998">
                  <c:v>42871</c:v>
                </c:pt>
                <c:pt idx="1999">
                  <c:v>42872</c:v>
                </c:pt>
                <c:pt idx="2000">
                  <c:v>42873</c:v>
                </c:pt>
                <c:pt idx="2001">
                  <c:v>42874</c:v>
                </c:pt>
                <c:pt idx="2002">
                  <c:v>42877</c:v>
                </c:pt>
                <c:pt idx="2003">
                  <c:v>42878</c:v>
                </c:pt>
                <c:pt idx="2004">
                  <c:v>42879</c:v>
                </c:pt>
                <c:pt idx="2005">
                  <c:v>42880</c:v>
                </c:pt>
                <c:pt idx="2006">
                  <c:v>42881</c:v>
                </c:pt>
                <c:pt idx="2007">
                  <c:v>42885</c:v>
                </c:pt>
                <c:pt idx="2008">
                  <c:v>42886</c:v>
                </c:pt>
                <c:pt idx="2009">
                  <c:v>42887</c:v>
                </c:pt>
                <c:pt idx="2010">
                  <c:v>42888</c:v>
                </c:pt>
                <c:pt idx="2011">
                  <c:v>42891</c:v>
                </c:pt>
                <c:pt idx="2012">
                  <c:v>42892</c:v>
                </c:pt>
                <c:pt idx="2013">
                  <c:v>42893</c:v>
                </c:pt>
                <c:pt idx="2014">
                  <c:v>42894</c:v>
                </c:pt>
                <c:pt idx="2015">
                  <c:v>42895</c:v>
                </c:pt>
                <c:pt idx="2016">
                  <c:v>42898</c:v>
                </c:pt>
                <c:pt idx="2017">
                  <c:v>42899</c:v>
                </c:pt>
                <c:pt idx="2018">
                  <c:v>42900</c:v>
                </c:pt>
                <c:pt idx="2019">
                  <c:v>42901</c:v>
                </c:pt>
                <c:pt idx="2020">
                  <c:v>42902</c:v>
                </c:pt>
                <c:pt idx="2021">
                  <c:v>42905</c:v>
                </c:pt>
                <c:pt idx="2022">
                  <c:v>42906</c:v>
                </c:pt>
                <c:pt idx="2023">
                  <c:v>42907</c:v>
                </c:pt>
                <c:pt idx="2024">
                  <c:v>42908</c:v>
                </c:pt>
                <c:pt idx="2025">
                  <c:v>42909</c:v>
                </c:pt>
                <c:pt idx="2026">
                  <c:v>42912</c:v>
                </c:pt>
                <c:pt idx="2027">
                  <c:v>42913</c:v>
                </c:pt>
                <c:pt idx="2028">
                  <c:v>42914</c:v>
                </c:pt>
                <c:pt idx="2029">
                  <c:v>42915</c:v>
                </c:pt>
                <c:pt idx="2030">
                  <c:v>42916</c:v>
                </c:pt>
                <c:pt idx="2031">
                  <c:v>42919</c:v>
                </c:pt>
                <c:pt idx="2032">
                  <c:v>42921</c:v>
                </c:pt>
                <c:pt idx="2033">
                  <c:v>42922</c:v>
                </c:pt>
                <c:pt idx="2034">
                  <c:v>42923</c:v>
                </c:pt>
                <c:pt idx="2035">
                  <c:v>42926</c:v>
                </c:pt>
                <c:pt idx="2036">
                  <c:v>42927</c:v>
                </c:pt>
                <c:pt idx="2037">
                  <c:v>42928</c:v>
                </c:pt>
                <c:pt idx="2038">
                  <c:v>42929</c:v>
                </c:pt>
                <c:pt idx="2039">
                  <c:v>42930</c:v>
                </c:pt>
                <c:pt idx="2040">
                  <c:v>42933</c:v>
                </c:pt>
                <c:pt idx="2041">
                  <c:v>42934</c:v>
                </c:pt>
                <c:pt idx="2042">
                  <c:v>42935</c:v>
                </c:pt>
                <c:pt idx="2043">
                  <c:v>42936</c:v>
                </c:pt>
                <c:pt idx="2044">
                  <c:v>42937</c:v>
                </c:pt>
                <c:pt idx="2045">
                  <c:v>42940</c:v>
                </c:pt>
                <c:pt idx="2046">
                  <c:v>42941</c:v>
                </c:pt>
                <c:pt idx="2047">
                  <c:v>42942</c:v>
                </c:pt>
                <c:pt idx="2048">
                  <c:v>42943</c:v>
                </c:pt>
                <c:pt idx="2049">
                  <c:v>42944</c:v>
                </c:pt>
                <c:pt idx="2050">
                  <c:v>42947</c:v>
                </c:pt>
                <c:pt idx="2051">
                  <c:v>42948</c:v>
                </c:pt>
                <c:pt idx="2052">
                  <c:v>42949</c:v>
                </c:pt>
                <c:pt idx="2053">
                  <c:v>42950</c:v>
                </c:pt>
                <c:pt idx="2054">
                  <c:v>42951</c:v>
                </c:pt>
                <c:pt idx="2055">
                  <c:v>42954</c:v>
                </c:pt>
                <c:pt idx="2056">
                  <c:v>42955</c:v>
                </c:pt>
                <c:pt idx="2057">
                  <c:v>42956</c:v>
                </c:pt>
                <c:pt idx="2058">
                  <c:v>42957</c:v>
                </c:pt>
                <c:pt idx="2059">
                  <c:v>42958</c:v>
                </c:pt>
                <c:pt idx="2060">
                  <c:v>42961</c:v>
                </c:pt>
                <c:pt idx="2061">
                  <c:v>42962</c:v>
                </c:pt>
                <c:pt idx="2062">
                  <c:v>42963</c:v>
                </c:pt>
                <c:pt idx="2063">
                  <c:v>42964</c:v>
                </c:pt>
                <c:pt idx="2064">
                  <c:v>42965</c:v>
                </c:pt>
                <c:pt idx="2065">
                  <c:v>42968</c:v>
                </c:pt>
                <c:pt idx="2066">
                  <c:v>42969</c:v>
                </c:pt>
                <c:pt idx="2067">
                  <c:v>42970</c:v>
                </c:pt>
                <c:pt idx="2068">
                  <c:v>42971</c:v>
                </c:pt>
                <c:pt idx="2069">
                  <c:v>42972</c:v>
                </c:pt>
                <c:pt idx="2070">
                  <c:v>42975</c:v>
                </c:pt>
                <c:pt idx="2071">
                  <c:v>42976</c:v>
                </c:pt>
                <c:pt idx="2072">
                  <c:v>42977</c:v>
                </c:pt>
                <c:pt idx="2073">
                  <c:v>42978</c:v>
                </c:pt>
                <c:pt idx="2074">
                  <c:v>42979</c:v>
                </c:pt>
                <c:pt idx="2075">
                  <c:v>42983</c:v>
                </c:pt>
                <c:pt idx="2076">
                  <c:v>42984</c:v>
                </c:pt>
                <c:pt idx="2077">
                  <c:v>42985</c:v>
                </c:pt>
                <c:pt idx="2078">
                  <c:v>42986</c:v>
                </c:pt>
                <c:pt idx="2079">
                  <c:v>42989</c:v>
                </c:pt>
                <c:pt idx="2080">
                  <c:v>42990</c:v>
                </c:pt>
                <c:pt idx="2081">
                  <c:v>42991</c:v>
                </c:pt>
                <c:pt idx="2082">
                  <c:v>42992</c:v>
                </c:pt>
                <c:pt idx="2083">
                  <c:v>42993</c:v>
                </c:pt>
                <c:pt idx="2084">
                  <c:v>42996</c:v>
                </c:pt>
                <c:pt idx="2085">
                  <c:v>42997</c:v>
                </c:pt>
                <c:pt idx="2086">
                  <c:v>42998</c:v>
                </c:pt>
                <c:pt idx="2087">
                  <c:v>42999</c:v>
                </c:pt>
                <c:pt idx="2088">
                  <c:v>43000</c:v>
                </c:pt>
                <c:pt idx="2089">
                  <c:v>43003</c:v>
                </c:pt>
                <c:pt idx="2090">
                  <c:v>43004</c:v>
                </c:pt>
                <c:pt idx="2091">
                  <c:v>43005</c:v>
                </c:pt>
                <c:pt idx="2092">
                  <c:v>43006</c:v>
                </c:pt>
                <c:pt idx="2093">
                  <c:v>43007</c:v>
                </c:pt>
                <c:pt idx="2094">
                  <c:v>43010</c:v>
                </c:pt>
                <c:pt idx="2095">
                  <c:v>43011</c:v>
                </c:pt>
                <c:pt idx="2096">
                  <c:v>43012</c:v>
                </c:pt>
                <c:pt idx="2097">
                  <c:v>43013</c:v>
                </c:pt>
                <c:pt idx="2098">
                  <c:v>43014</c:v>
                </c:pt>
                <c:pt idx="2099">
                  <c:v>43017</c:v>
                </c:pt>
                <c:pt idx="2100">
                  <c:v>43018</c:v>
                </c:pt>
                <c:pt idx="2101">
                  <c:v>43019</c:v>
                </c:pt>
                <c:pt idx="2102">
                  <c:v>43020</c:v>
                </c:pt>
                <c:pt idx="2103">
                  <c:v>43021</c:v>
                </c:pt>
                <c:pt idx="2104">
                  <c:v>43024</c:v>
                </c:pt>
                <c:pt idx="2105">
                  <c:v>43025</c:v>
                </c:pt>
                <c:pt idx="2106">
                  <c:v>43026</c:v>
                </c:pt>
                <c:pt idx="2107">
                  <c:v>43027</c:v>
                </c:pt>
                <c:pt idx="2108">
                  <c:v>43028</c:v>
                </c:pt>
                <c:pt idx="2109">
                  <c:v>43031</c:v>
                </c:pt>
                <c:pt idx="2110">
                  <c:v>43032</c:v>
                </c:pt>
                <c:pt idx="2111">
                  <c:v>43033</c:v>
                </c:pt>
                <c:pt idx="2112">
                  <c:v>43034</c:v>
                </c:pt>
                <c:pt idx="2113">
                  <c:v>43035</c:v>
                </c:pt>
                <c:pt idx="2114">
                  <c:v>43038</c:v>
                </c:pt>
                <c:pt idx="2115">
                  <c:v>43039</c:v>
                </c:pt>
                <c:pt idx="2116">
                  <c:v>43040</c:v>
                </c:pt>
                <c:pt idx="2117">
                  <c:v>43041</c:v>
                </c:pt>
                <c:pt idx="2118">
                  <c:v>43042</c:v>
                </c:pt>
                <c:pt idx="2119">
                  <c:v>43045</c:v>
                </c:pt>
                <c:pt idx="2120">
                  <c:v>43046</c:v>
                </c:pt>
                <c:pt idx="2121">
                  <c:v>43047</c:v>
                </c:pt>
                <c:pt idx="2122">
                  <c:v>43048</c:v>
                </c:pt>
                <c:pt idx="2123">
                  <c:v>43049</c:v>
                </c:pt>
                <c:pt idx="2124">
                  <c:v>43052</c:v>
                </c:pt>
                <c:pt idx="2125">
                  <c:v>43053</c:v>
                </c:pt>
                <c:pt idx="2126">
                  <c:v>43054</c:v>
                </c:pt>
                <c:pt idx="2127">
                  <c:v>43055</c:v>
                </c:pt>
                <c:pt idx="2128">
                  <c:v>43056</c:v>
                </c:pt>
                <c:pt idx="2129">
                  <c:v>43059</c:v>
                </c:pt>
                <c:pt idx="2130">
                  <c:v>43060</c:v>
                </c:pt>
                <c:pt idx="2131">
                  <c:v>43061</c:v>
                </c:pt>
                <c:pt idx="2132">
                  <c:v>43063</c:v>
                </c:pt>
                <c:pt idx="2133">
                  <c:v>43066</c:v>
                </c:pt>
                <c:pt idx="2134">
                  <c:v>43067</c:v>
                </c:pt>
                <c:pt idx="2135">
                  <c:v>43068</c:v>
                </c:pt>
                <c:pt idx="2136">
                  <c:v>43069</c:v>
                </c:pt>
                <c:pt idx="2137">
                  <c:v>43070</c:v>
                </c:pt>
                <c:pt idx="2138">
                  <c:v>43073</c:v>
                </c:pt>
                <c:pt idx="2139">
                  <c:v>43074</c:v>
                </c:pt>
                <c:pt idx="2140">
                  <c:v>43075</c:v>
                </c:pt>
                <c:pt idx="2141">
                  <c:v>43076</c:v>
                </c:pt>
                <c:pt idx="2142">
                  <c:v>43077</c:v>
                </c:pt>
                <c:pt idx="2143">
                  <c:v>43080</c:v>
                </c:pt>
                <c:pt idx="2144">
                  <c:v>43081</c:v>
                </c:pt>
                <c:pt idx="2145">
                  <c:v>43082</c:v>
                </c:pt>
                <c:pt idx="2146">
                  <c:v>43083</c:v>
                </c:pt>
                <c:pt idx="2147">
                  <c:v>43084</c:v>
                </c:pt>
                <c:pt idx="2148">
                  <c:v>43087</c:v>
                </c:pt>
                <c:pt idx="2149">
                  <c:v>43088</c:v>
                </c:pt>
                <c:pt idx="2150">
                  <c:v>43089</c:v>
                </c:pt>
                <c:pt idx="2151">
                  <c:v>43090</c:v>
                </c:pt>
                <c:pt idx="2152">
                  <c:v>43091</c:v>
                </c:pt>
                <c:pt idx="2153">
                  <c:v>43095</c:v>
                </c:pt>
                <c:pt idx="2154">
                  <c:v>43096</c:v>
                </c:pt>
                <c:pt idx="2155">
                  <c:v>43097</c:v>
                </c:pt>
                <c:pt idx="2156">
                  <c:v>43098</c:v>
                </c:pt>
                <c:pt idx="2157">
                  <c:v>43102</c:v>
                </c:pt>
                <c:pt idx="2158">
                  <c:v>43103</c:v>
                </c:pt>
                <c:pt idx="2159">
                  <c:v>43104</c:v>
                </c:pt>
                <c:pt idx="2160">
                  <c:v>43105</c:v>
                </c:pt>
                <c:pt idx="2161">
                  <c:v>43108</c:v>
                </c:pt>
                <c:pt idx="2162">
                  <c:v>43109</c:v>
                </c:pt>
                <c:pt idx="2163">
                  <c:v>43110</c:v>
                </c:pt>
                <c:pt idx="2164">
                  <c:v>43111</c:v>
                </c:pt>
                <c:pt idx="2165">
                  <c:v>43112</c:v>
                </c:pt>
                <c:pt idx="2166">
                  <c:v>43116</c:v>
                </c:pt>
                <c:pt idx="2167">
                  <c:v>43117</c:v>
                </c:pt>
                <c:pt idx="2168">
                  <c:v>43118</c:v>
                </c:pt>
                <c:pt idx="2169">
                  <c:v>43119</c:v>
                </c:pt>
                <c:pt idx="2170">
                  <c:v>43122</c:v>
                </c:pt>
                <c:pt idx="2171">
                  <c:v>43123</c:v>
                </c:pt>
                <c:pt idx="2172">
                  <c:v>43124</c:v>
                </c:pt>
                <c:pt idx="2173">
                  <c:v>43125</c:v>
                </c:pt>
                <c:pt idx="2174">
                  <c:v>43126</c:v>
                </c:pt>
                <c:pt idx="2175">
                  <c:v>43129</c:v>
                </c:pt>
                <c:pt idx="2176">
                  <c:v>43130</c:v>
                </c:pt>
                <c:pt idx="2177">
                  <c:v>43131</c:v>
                </c:pt>
                <c:pt idx="2178">
                  <c:v>43132</c:v>
                </c:pt>
                <c:pt idx="2179">
                  <c:v>43133</c:v>
                </c:pt>
                <c:pt idx="2180">
                  <c:v>43136</c:v>
                </c:pt>
                <c:pt idx="2181">
                  <c:v>43137</c:v>
                </c:pt>
                <c:pt idx="2182">
                  <c:v>43138</c:v>
                </c:pt>
                <c:pt idx="2183">
                  <c:v>43139</c:v>
                </c:pt>
                <c:pt idx="2184">
                  <c:v>43140</c:v>
                </c:pt>
                <c:pt idx="2185">
                  <c:v>43143</c:v>
                </c:pt>
                <c:pt idx="2186">
                  <c:v>43144</c:v>
                </c:pt>
                <c:pt idx="2187">
                  <c:v>43145</c:v>
                </c:pt>
                <c:pt idx="2188">
                  <c:v>43146</c:v>
                </c:pt>
                <c:pt idx="2189">
                  <c:v>43147</c:v>
                </c:pt>
                <c:pt idx="2190">
                  <c:v>43151</c:v>
                </c:pt>
                <c:pt idx="2191">
                  <c:v>43152</c:v>
                </c:pt>
                <c:pt idx="2192">
                  <c:v>43153</c:v>
                </c:pt>
                <c:pt idx="2193">
                  <c:v>43154</c:v>
                </c:pt>
                <c:pt idx="2194">
                  <c:v>43157</c:v>
                </c:pt>
                <c:pt idx="2195">
                  <c:v>43158</c:v>
                </c:pt>
                <c:pt idx="2196">
                  <c:v>43159</c:v>
                </c:pt>
                <c:pt idx="2197">
                  <c:v>43160</c:v>
                </c:pt>
                <c:pt idx="2198">
                  <c:v>43161</c:v>
                </c:pt>
                <c:pt idx="2199">
                  <c:v>43164</c:v>
                </c:pt>
                <c:pt idx="2200">
                  <c:v>43165</c:v>
                </c:pt>
                <c:pt idx="2201">
                  <c:v>43166</c:v>
                </c:pt>
                <c:pt idx="2202">
                  <c:v>43167</c:v>
                </c:pt>
                <c:pt idx="2203">
                  <c:v>43168</c:v>
                </c:pt>
                <c:pt idx="2204">
                  <c:v>43171</c:v>
                </c:pt>
                <c:pt idx="2205">
                  <c:v>43172</c:v>
                </c:pt>
                <c:pt idx="2206">
                  <c:v>43173</c:v>
                </c:pt>
                <c:pt idx="2207">
                  <c:v>43174</c:v>
                </c:pt>
                <c:pt idx="2208">
                  <c:v>43175</c:v>
                </c:pt>
                <c:pt idx="2209">
                  <c:v>43178</c:v>
                </c:pt>
                <c:pt idx="2210">
                  <c:v>43179</c:v>
                </c:pt>
                <c:pt idx="2211">
                  <c:v>43180</c:v>
                </c:pt>
                <c:pt idx="2212">
                  <c:v>43181</c:v>
                </c:pt>
                <c:pt idx="2213">
                  <c:v>43182</c:v>
                </c:pt>
                <c:pt idx="2214">
                  <c:v>43185</c:v>
                </c:pt>
                <c:pt idx="2215">
                  <c:v>43186</c:v>
                </c:pt>
                <c:pt idx="2216">
                  <c:v>43187</c:v>
                </c:pt>
                <c:pt idx="2217">
                  <c:v>43188</c:v>
                </c:pt>
                <c:pt idx="2218">
                  <c:v>43192</c:v>
                </c:pt>
                <c:pt idx="2219">
                  <c:v>43193</c:v>
                </c:pt>
                <c:pt idx="2220">
                  <c:v>43194</c:v>
                </c:pt>
                <c:pt idx="2221">
                  <c:v>43195</c:v>
                </c:pt>
                <c:pt idx="2222">
                  <c:v>43196</c:v>
                </c:pt>
                <c:pt idx="2223">
                  <c:v>43199</c:v>
                </c:pt>
                <c:pt idx="2224">
                  <c:v>43200</c:v>
                </c:pt>
                <c:pt idx="2225">
                  <c:v>43201</c:v>
                </c:pt>
                <c:pt idx="2226">
                  <c:v>43202</c:v>
                </c:pt>
                <c:pt idx="2227">
                  <c:v>43203</c:v>
                </c:pt>
                <c:pt idx="2228">
                  <c:v>43206</c:v>
                </c:pt>
                <c:pt idx="2229">
                  <c:v>43207</c:v>
                </c:pt>
                <c:pt idx="2230">
                  <c:v>43208</c:v>
                </c:pt>
                <c:pt idx="2231">
                  <c:v>43209</c:v>
                </c:pt>
                <c:pt idx="2232">
                  <c:v>43210</c:v>
                </c:pt>
                <c:pt idx="2233">
                  <c:v>43213</c:v>
                </c:pt>
                <c:pt idx="2234">
                  <c:v>43214</c:v>
                </c:pt>
                <c:pt idx="2235">
                  <c:v>43215</c:v>
                </c:pt>
                <c:pt idx="2236">
                  <c:v>43216</c:v>
                </c:pt>
                <c:pt idx="2237">
                  <c:v>43217</c:v>
                </c:pt>
                <c:pt idx="2238">
                  <c:v>43220</c:v>
                </c:pt>
                <c:pt idx="2239">
                  <c:v>43221</c:v>
                </c:pt>
                <c:pt idx="2240">
                  <c:v>43222</c:v>
                </c:pt>
                <c:pt idx="2241">
                  <c:v>43223</c:v>
                </c:pt>
                <c:pt idx="2242">
                  <c:v>43224</c:v>
                </c:pt>
                <c:pt idx="2243">
                  <c:v>43227</c:v>
                </c:pt>
                <c:pt idx="2244">
                  <c:v>43228</c:v>
                </c:pt>
                <c:pt idx="2245">
                  <c:v>43229</c:v>
                </c:pt>
                <c:pt idx="2246">
                  <c:v>43230</c:v>
                </c:pt>
                <c:pt idx="2247">
                  <c:v>43231</c:v>
                </c:pt>
                <c:pt idx="2248">
                  <c:v>43234</c:v>
                </c:pt>
                <c:pt idx="2249">
                  <c:v>43235</c:v>
                </c:pt>
                <c:pt idx="2250">
                  <c:v>43236</c:v>
                </c:pt>
                <c:pt idx="2251">
                  <c:v>43237</c:v>
                </c:pt>
                <c:pt idx="2252">
                  <c:v>43238</c:v>
                </c:pt>
                <c:pt idx="2253">
                  <c:v>43241</c:v>
                </c:pt>
                <c:pt idx="2254">
                  <c:v>43242</c:v>
                </c:pt>
                <c:pt idx="2255">
                  <c:v>43243</c:v>
                </c:pt>
                <c:pt idx="2256">
                  <c:v>43244</c:v>
                </c:pt>
                <c:pt idx="2257">
                  <c:v>43245</c:v>
                </c:pt>
                <c:pt idx="2258">
                  <c:v>43249</c:v>
                </c:pt>
                <c:pt idx="2259">
                  <c:v>43250</c:v>
                </c:pt>
                <c:pt idx="2260">
                  <c:v>43251</c:v>
                </c:pt>
                <c:pt idx="2261">
                  <c:v>43252</c:v>
                </c:pt>
                <c:pt idx="2262">
                  <c:v>43255</c:v>
                </c:pt>
                <c:pt idx="2263">
                  <c:v>43256</c:v>
                </c:pt>
                <c:pt idx="2264">
                  <c:v>43257</c:v>
                </c:pt>
                <c:pt idx="2265">
                  <c:v>43258</c:v>
                </c:pt>
                <c:pt idx="2266">
                  <c:v>43259</c:v>
                </c:pt>
                <c:pt idx="2267">
                  <c:v>43262</c:v>
                </c:pt>
                <c:pt idx="2268">
                  <c:v>43263</c:v>
                </c:pt>
                <c:pt idx="2269">
                  <c:v>43264</c:v>
                </c:pt>
                <c:pt idx="2270">
                  <c:v>43265</c:v>
                </c:pt>
                <c:pt idx="2271">
                  <c:v>43266</c:v>
                </c:pt>
                <c:pt idx="2272">
                  <c:v>43269</c:v>
                </c:pt>
                <c:pt idx="2273">
                  <c:v>43270</c:v>
                </c:pt>
                <c:pt idx="2274">
                  <c:v>43271</c:v>
                </c:pt>
                <c:pt idx="2275">
                  <c:v>43272</c:v>
                </c:pt>
                <c:pt idx="2276">
                  <c:v>43273</c:v>
                </c:pt>
                <c:pt idx="2277">
                  <c:v>43276</c:v>
                </c:pt>
                <c:pt idx="2278">
                  <c:v>43277</c:v>
                </c:pt>
                <c:pt idx="2279">
                  <c:v>43278</c:v>
                </c:pt>
                <c:pt idx="2280">
                  <c:v>43279</c:v>
                </c:pt>
                <c:pt idx="2281">
                  <c:v>43280</c:v>
                </c:pt>
                <c:pt idx="2282">
                  <c:v>43283</c:v>
                </c:pt>
                <c:pt idx="2283">
                  <c:v>43284</c:v>
                </c:pt>
                <c:pt idx="2284">
                  <c:v>43286</c:v>
                </c:pt>
                <c:pt idx="2285">
                  <c:v>43287</c:v>
                </c:pt>
                <c:pt idx="2286">
                  <c:v>43290</c:v>
                </c:pt>
                <c:pt idx="2287">
                  <c:v>43291</c:v>
                </c:pt>
                <c:pt idx="2288">
                  <c:v>43292</c:v>
                </c:pt>
                <c:pt idx="2289">
                  <c:v>43293</c:v>
                </c:pt>
                <c:pt idx="2290">
                  <c:v>43294</c:v>
                </c:pt>
                <c:pt idx="2291">
                  <c:v>43297</c:v>
                </c:pt>
                <c:pt idx="2292">
                  <c:v>43298</c:v>
                </c:pt>
                <c:pt idx="2293">
                  <c:v>43299</c:v>
                </c:pt>
                <c:pt idx="2294">
                  <c:v>43300</c:v>
                </c:pt>
                <c:pt idx="2295">
                  <c:v>43301</c:v>
                </c:pt>
                <c:pt idx="2296">
                  <c:v>43304</c:v>
                </c:pt>
                <c:pt idx="2297">
                  <c:v>43305</c:v>
                </c:pt>
                <c:pt idx="2298">
                  <c:v>43306</c:v>
                </c:pt>
                <c:pt idx="2299">
                  <c:v>43307</c:v>
                </c:pt>
                <c:pt idx="2300">
                  <c:v>43308</c:v>
                </c:pt>
                <c:pt idx="2301">
                  <c:v>43311</c:v>
                </c:pt>
                <c:pt idx="2302">
                  <c:v>43312</c:v>
                </c:pt>
                <c:pt idx="2303">
                  <c:v>43313</c:v>
                </c:pt>
                <c:pt idx="2304">
                  <c:v>43314</c:v>
                </c:pt>
                <c:pt idx="2305">
                  <c:v>43315</c:v>
                </c:pt>
                <c:pt idx="2306">
                  <c:v>43318</c:v>
                </c:pt>
                <c:pt idx="2307">
                  <c:v>43319</c:v>
                </c:pt>
                <c:pt idx="2308">
                  <c:v>43320</c:v>
                </c:pt>
                <c:pt idx="2309">
                  <c:v>43321</c:v>
                </c:pt>
                <c:pt idx="2310">
                  <c:v>43322</c:v>
                </c:pt>
                <c:pt idx="2311">
                  <c:v>43325</c:v>
                </c:pt>
                <c:pt idx="2312">
                  <c:v>43326</c:v>
                </c:pt>
                <c:pt idx="2313">
                  <c:v>43327</c:v>
                </c:pt>
                <c:pt idx="2314">
                  <c:v>43328</c:v>
                </c:pt>
                <c:pt idx="2315">
                  <c:v>43329</c:v>
                </c:pt>
                <c:pt idx="2316">
                  <c:v>43332</c:v>
                </c:pt>
                <c:pt idx="2317">
                  <c:v>43333</c:v>
                </c:pt>
                <c:pt idx="2318">
                  <c:v>43334</c:v>
                </c:pt>
                <c:pt idx="2319">
                  <c:v>43335</c:v>
                </c:pt>
                <c:pt idx="2320">
                  <c:v>43336</c:v>
                </c:pt>
                <c:pt idx="2321">
                  <c:v>43339</c:v>
                </c:pt>
                <c:pt idx="2322">
                  <c:v>43340</c:v>
                </c:pt>
                <c:pt idx="2323">
                  <c:v>43341</c:v>
                </c:pt>
                <c:pt idx="2324">
                  <c:v>43342</c:v>
                </c:pt>
                <c:pt idx="2325">
                  <c:v>43343</c:v>
                </c:pt>
                <c:pt idx="2326">
                  <c:v>43347</c:v>
                </c:pt>
                <c:pt idx="2327">
                  <c:v>43348</c:v>
                </c:pt>
                <c:pt idx="2328">
                  <c:v>43349</c:v>
                </c:pt>
                <c:pt idx="2329">
                  <c:v>43350</c:v>
                </c:pt>
                <c:pt idx="2330">
                  <c:v>43353</c:v>
                </c:pt>
                <c:pt idx="2331">
                  <c:v>43354</c:v>
                </c:pt>
                <c:pt idx="2332">
                  <c:v>43355</c:v>
                </c:pt>
                <c:pt idx="2333">
                  <c:v>43356</c:v>
                </c:pt>
                <c:pt idx="2334">
                  <c:v>43357</c:v>
                </c:pt>
                <c:pt idx="2335">
                  <c:v>43360</c:v>
                </c:pt>
                <c:pt idx="2336">
                  <c:v>43361</c:v>
                </c:pt>
                <c:pt idx="2337">
                  <c:v>43362</c:v>
                </c:pt>
                <c:pt idx="2338">
                  <c:v>43363</c:v>
                </c:pt>
                <c:pt idx="2339">
                  <c:v>43364</c:v>
                </c:pt>
                <c:pt idx="2340">
                  <c:v>43367</c:v>
                </c:pt>
                <c:pt idx="2341">
                  <c:v>43368</c:v>
                </c:pt>
                <c:pt idx="2342">
                  <c:v>43369</c:v>
                </c:pt>
                <c:pt idx="2343">
                  <c:v>43370</c:v>
                </c:pt>
                <c:pt idx="2344">
                  <c:v>43371</c:v>
                </c:pt>
                <c:pt idx="2345">
                  <c:v>43374</c:v>
                </c:pt>
                <c:pt idx="2346">
                  <c:v>43375</c:v>
                </c:pt>
                <c:pt idx="2347">
                  <c:v>43376</c:v>
                </c:pt>
                <c:pt idx="2348">
                  <c:v>43377</c:v>
                </c:pt>
                <c:pt idx="2349">
                  <c:v>43378</c:v>
                </c:pt>
                <c:pt idx="2350">
                  <c:v>43381</c:v>
                </c:pt>
                <c:pt idx="2351">
                  <c:v>43382</c:v>
                </c:pt>
                <c:pt idx="2352">
                  <c:v>43383</c:v>
                </c:pt>
                <c:pt idx="2353">
                  <c:v>43384</c:v>
                </c:pt>
                <c:pt idx="2354">
                  <c:v>43385</c:v>
                </c:pt>
                <c:pt idx="2355">
                  <c:v>43388</c:v>
                </c:pt>
                <c:pt idx="2356">
                  <c:v>43389</c:v>
                </c:pt>
                <c:pt idx="2357">
                  <c:v>43390</c:v>
                </c:pt>
                <c:pt idx="2358">
                  <c:v>43391</c:v>
                </c:pt>
                <c:pt idx="2359">
                  <c:v>43392</c:v>
                </c:pt>
                <c:pt idx="2360">
                  <c:v>43395</c:v>
                </c:pt>
                <c:pt idx="2361">
                  <c:v>43396</c:v>
                </c:pt>
                <c:pt idx="2362">
                  <c:v>43397</c:v>
                </c:pt>
                <c:pt idx="2363">
                  <c:v>43398</c:v>
                </c:pt>
                <c:pt idx="2364">
                  <c:v>43399</c:v>
                </c:pt>
                <c:pt idx="2365">
                  <c:v>43402</c:v>
                </c:pt>
                <c:pt idx="2366">
                  <c:v>43403</c:v>
                </c:pt>
                <c:pt idx="2367">
                  <c:v>43404</c:v>
                </c:pt>
                <c:pt idx="2368">
                  <c:v>43405</c:v>
                </c:pt>
                <c:pt idx="2369">
                  <c:v>43406</c:v>
                </c:pt>
                <c:pt idx="2370">
                  <c:v>43409</c:v>
                </c:pt>
                <c:pt idx="2371">
                  <c:v>43410</c:v>
                </c:pt>
                <c:pt idx="2372">
                  <c:v>43411</c:v>
                </c:pt>
                <c:pt idx="2373">
                  <c:v>43412</c:v>
                </c:pt>
                <c:pt idx="2374">
                  <c:v>43413</c:v>
                </c:pt>
                <c:pt idx="2375">
                  <c:v>43416</c:v>
                </c:pt>
                <c:pt idx="2376">
                  <c:v>43417</c:v>
                </c:pt>
                <c:pt idx="2377">
                  <c:v>43418</c:v>
                </c:pt>
                <c:pt idx="2378">
                  <c:v>43419</c:v>
                </c:pt>
                <c:pt idx="2379">
                  <c:v>43420</c:v>
                </c:pt>
                <c:pt idx="2380">
                  <c:v>43423</c:v>
                </c:pt>
                <c:pt idx="2381">
                  <c:v>43424</c:v>
                </c:pt>
                <c:pt idx="2382">
                  <c:v>43425</c:v>
                </c:pt>
                <c:pt idx="2383">
                  <c:v>43427</c:v>
                </c:pt>
                <c:pt idx="2384">
                  <c:v>43430</c:v>
                </c:pt>
                <c:pt idx="2385">
                  <c:v>43431</c:v>
                </c:pt>
                <c:pt idx="2386">
                  <c:v>43432</c:v>
                </c:pt>
                <c:pt idx="2387">
                  <c:v>43433</c:v>
                </c:pt>
                <c:pt idx="2388">
                  <c:v>43434</c:v>
                </c:pt>
                <c:pt idx="2389">
                  <c:v>43437</c:v>
                </c:pt>
                <c:pt idx="2390">
                  <c:v>43438</c:v>
                </c:pt>
                <c:pt idx="2391">
                  <c:v>43440</c:v>
                </c:pt>
                <c:pt idx="2392">
                  <c:v>43441</c:v>
                </c:pt>
                <c:pt idx="2393">
                  <c:v>43444</c:v>
                </c:pt>
                <c:pt idx="2394">
                  <c:v>43445</c:v>
                </c:pt>
                <c:pt idx="2395">
                  <c:v>43446</c:v>
                </c:pt>
                <c:pt idx="2396">
                  <c:v>43447</c:v>
                </c:pt>
                <c:pt idx="2397">
                  <c:v>43448</c:v>
                </c:pt>
                <c:pt idx="2398">
                  <c:v>43451</c:v>
                </c:pt>
                <c:pt idx="2399">
                  <c:v>43452</c:v>
                </c:pt>
                <c:pt idx="2400">
                  <c:v>43453</c:v>
                </c:pt>
                <c:pt idx="2401">
                  <c:v>43454</c:v>
                </c:pt>
                <c:pt idx="2402">
                  <c:v>43455</c:v>
                </c:pt>
                <c:pt idx="2403">
                  <c:v>43458</c:v>
                </c:pt>
                <c:pt idx="2404">
                  <c:v>43460</c:v>
                </c:pt>
                <c:pt idx="2405">
                  <c:v>43461</c:v>
                </c:pt>
                <c:pt idx="2406">
                  <c:v>43462</c:v>
                </c:pt>
                <c:pt idx="2407">
                  <c:v>43465</c:v>
                </c:pt>
                <c:pt idx="2408">
                  <c:v>43467</c:v>
                </c:pt>
                <c:pt idx="2409">
                  <c:v>43468</c:v>
                </c:pt>
                <c:pt idx="2410">
                  <c:v>43469</c:v>
                </c:pt>
                <c:pt idx="2411">
                  <c:v>43472</c:v>
                </c:pt>
                <c:pt idx="2412">
                  <c:v>43473</c:v>
                </c:pt>
                <c:pt idx="2413">
                  <c:v>43474</c:v>
                </c:pt>
                <c:pt idx="2414">
                  <c:v>43475</c:v>
                </c:pt>
                <c:pt idx="2415">
                  <c:v>43476</c:v>
                </c:pt>
                <c:pt idx="2416">
                  <c:v>43479</c:v>
                </c:pt>
                <c:pt idx="2417">
                  <c:v>43480</c:v>
                </c:pt>
                <c:pt idx="2418">
                  <c:v>43481</c:v>
                </c:pt>
                <c:pt idx="2419">
                  <c:v>43482</c:v>
                </c:pt>
                <c:pt idx="2420">
                  <c:v>43483</c:v>
                </c:pt>
                <c:pt idx="2421">
                  <c:v>43487</c:v>
                </c:pt>
                <c:pt idx="2422">
                  <c:v>43488</c:v>
                </c:pt>
                <c:pt idx="2423">
                  <c:v>43489</c:v>
                </c:pt>
                <c:pt idx="2424">
                  <c:v>43490</c:v>
                </c:pt>
                <c:pt idx="2425">
                  <c:v>43493</c:v>
                </c:pt>
                <c:pt idx="2426">
                  <c:v>43494</c:v>
                </c:pt>
                <c:pt idx="2427">
                  <c:v>43495</c:v>
                </c:pt>
                <c:pt idx="2428">
                  <c:v>43496</c:v>
                </c:pt>
                <c:pt idx="2429">
                  <c:v>43497</c:v>
                </c:pt>
                <c:pt idx="2430">
                  <c:v>43500</c:v>
                </c:pt>
                <c:pt idx="2431">
                  <c:v>43501</c:v>
                </c:pt>
                <c:pt idx="2432">
                  <c:v>43502</c:v>
                </c:pt>
                <c:pt idx="2433">
                  <c:v>43503</c:v>
                </c:pt>
                <c:pt idx="2434">
                  <c:v>43504</c:v>
                </c:pt>
                <c:pt idx="2435">
                  <c:v>43507</c:v>
                </c:pt>
                <c:pt idx="2436">
                  <c:v>43508</c:v>
                </c:pt>
                <c:pt idx="2437">
                  <c:v>43509</c:v>
                </c:pt>
                <c:pt idx="2438">
                  <c:v>43510</c:v>
                </c:pt>
                <c:pt idx="2439">
                  <c:v>43511</c:v>
                </c:pt>
                <c:pt idx="2440">
                  <c:v>43515</c:v>
                </c:pt>
                <c:pt idx="2441">
                  <c:v>43516</c:v>
                </c:pt>
                <c:pt idx="2442">
                  <c:v>43517</c:v>
                </c:pt>
                <c:pt idx="2443">
                  <c:v>43518</c:v>
                </c:pt>
                <c:pt idx="2444">
                  <c:v>43521</c:v>
                </c:pt>
                <c:pt idx="2445">
                  <c:v>43522</c:v>
                </c:pt>
                <c:pt idx="2446">
                  <c:v>43523</c:v>
                </c:pt>
                <c:pt idx="2447">
                  <c:v>43524</c:v>
                </c:pt>
                <c:pt idx="2448">
                  <c:v>43525</c:v>
                </c:pt>
                <c:pt idx="2449">
                  <c:v>43528</c:v>
                </c:pt>
                <c:pt idx="2450">
                  <c:v>43529</c:v>
                </c:pt>
                <c:pt idx="2451">
                  <c:v>43530</c:v>
                </c:pt>
                <c:pt idx="2452">
                  <c:v>43531</c:v>
                </c:pt>
                <c:pt idx="2453">
                  <c:v>43532</c:v>
                </c:pt>
                <c:pt idx="2454">
                  <c:v>43535</c:v>
                </c:pt>
                <c:pt idx="2455">
                  <c:v>43536</c:v>
                </c:pt>
                <c:pt idx="2456">
                  <c:v>43537</c:v>
                </c:pt>
                <c:pt idx="2457">
                  <c:v>43538</c:v>
                </c:pt>
                <c:pt idx="2458">
                  <c:v>43539</c:v>
                </c:pt>
                <c:pt idx="2459">
                  <c:v>43542</c:v>
                </c:pt>
                <c:pt idx="2460">
                  <c:v>43543</c:v>
                </c:pt>
                <c:pt idx="2461">
                  <c:v>43544</c:v>
                </c:pt>
                <c:pt idx="2462">
                  <c:v>43545</c:v>
                </c:pt>
                <c:pt idx="2463">
                  <c:v>43546</c:v>
                </c:pt>
                <c:pt idx="2464">
                  <c:v>43549</c:v>
                </c:pt>
                <c:pt idx="2465">
                  <c:v>43550</c:v>
                </c:pt>
                <c:pt idx="2466">
                  <c:v>43551</c:v>
                </c:pt>
                <c:pt idx="2467">
                  <c:v>43552</c:v>
                </c:pt>
                <c:pt idx="2468">
                  <c:v>43553</c:v>
                </c:pt>
                <c:pt idx="2469">
                  <c:v>43556</c:v>
                </c:pt>
                <c:pt idx="2470">
                  <c:v>43557</c:v>
                </c:pt>
                <c:pt idx="2471">
                  <c:v>43558</c:v>
                </c:pt>
                <c:pt idx="2472">
                  <c:v>43559</c:v>
                </c:pt>
                <c:pt idx="2473">
                  <c:v>43560</c:v>
                </c:pt>
                <c:pt idx="2474">
                  <c:v>43563</c:v>
                </c:pt>
                <c:pt idx="2475">
                  <c:v>43564</c:v>
                </c:pt>
                <c:pt idx="2476">
                  <c:v>43565</c:v>
                </c:pt>
                <c:pt idx="2477">
                  <c:v>43566</c:v>
                </c:pt>
                <c:pt idx="2478">
                  <c:v>43567</c:v>
                </c:pt>
                <c:pt idx="2479">
                  <c:v>43570</c:v>
                </c:pt>
                <c:pt idx="2480">
                  <c:v>43571</c:v>
                </c:pt>
                <c:pt idx="2481">
                  <c:v>43572</c:v>
                </c:pt>
                <c:pt idx="2482">
                  <c:v>43573</c:v>
                </c:pt>
                <c:pt idx="2483">
                  <c:v>43577</c:v>
                </c:pt>
                <c:pt idx="2484">
                  <c:v>43578</c:v>
                </c:pt>
                <c:pt idx="2485">
                  <c:v>43579</c:v>
                </c:pt>
                <c:pt idx="2486">
                  <c:v>43580</c:v>
                </c:pt>
                <c:pt idx="2487">
                  <c:v>43581</c:v>
                </c:pt>
                <c:pt idx="2488">
                  <c:v>43584</c:v>
                </c:pt>
                <c:pt idx="2489">
                  <c:v>43585</c:v>
                </c:pt>
                <c:pt idx="2490">
                  <c:v>43586</c:v>
                </c:pt>
                <c:pt idx="2491">
                  <c:v>43587</c:v>
                </c:pt>
                <c:pt idx="2492">
                  <c:v>43588</c:v>
                </c:pt>
                <c:pt idx="2493">
                  <c:v>43591</c:v>
                </c:pt>
                <c:pt idx="2494">
                  <c:v>43592</c:v>
                </c:pt>
                <c:pt idx="2495">
                  <c:v>43593</c:v>
                </c:pt>
                <c:pt idx="2496">
                  <c:v>43594</c:v>
                </c:pt>
                <c:pt idx="2497">
                  <c:v>43595</c:v>
                </c:pt>
                <c:pt idx="2498">
                  <c:v>43598</c:v>
                </c:pt>
                <c:pt idx="2499">
                  <c:v>43599</c:v>
                </c:pt>
                <c:pt idx="2500">
                  <c:v>43600</c:v>
                </c:pt>
                <c:pt idx="2501">
                  <c:v>43601</c:v>
                </c:pt>
                <c:pt idx="2502">
                  <c:v>43602</c:v>
                </c:pt>
                <c:pt idx="2503">
                  <c:v>43605</c:v>
                </c:pt>
                <c:pt idx="2504">
                  <c:v>43606</c:v>
                </c:pt>
                <c:pt idx="2505">
                  <c:v>43607</c:v>
                </c:pt>
                <c:pt idx="2506">
                  <c:v>43608</c:v>
                </c:pt>
                <c:pt idx="2507">
                  <c:v>43609</c:v>
                </c:pt>
                <c:pt idx="2508">
                  <c:v>43613</c:v>
                </c:pt>
                <c:pt idx="2509">
                  <c:v>43614</c:v>
                </c:pt>
                <c:pt idx="2510">
                  <c:v>43615</c:v>
                </c:pt>
                <c:pt idx="2511">
                  <c:v>43616</c:v>
                </c:pt>
                <c:pt idx="2512">
                  <c:v>43619</c:v>
                </c:pt>
                <c:pt idx="2513">
                  <c:v>43620</c:v>
                </c:pt>
                <c:pt idx="2514">
                  <c:v>43621</c:v>
                </c:pt>
                <c:pt idx="2515">
                  <c:v>43622</c:v>
                </c:pt>
                <c:pt idx="2516">
                  <c:v>43623</c:v>
                </c:pt>
              </c:numCache>
            </c:numRef>
          </c:cat>
          <c:val>
            <c:numRef>
              <c:f>'Stock Price Data'!$I$3:$I$2519</c:f>
              <c:numCache>
                <c:formatCode>"$"#,##0.00;\-0.00;\-</c:formatCode>
                <c:ptCount val="2517"/>
                <c:pt idx="0">
                  <c:v>9.9274999999999984</c:v>
                </c:pt>
                <c:pt idx="1">
                  <c:v>9.9274999999999984</c:v>
                </c:pt>
                <c:pt idx="2">
                  <c:v>9.9274999999999984</c:v>
                </c:pt>
                <c:pt idx="3">
                  <c:v>9.9274999999999984</c:v>
                </c:pt>
                <c:pt idx="4">
                  <c:v>9.9274999999999984</c:v>
                </c:pt>
                <c:pt idx="5">
                  <c:v>9.9274999999999984</c:v>
                </c:pt>
                <c:pt idx="6">
                  <c:v>9.9274999999999984</c:v>
                </c:pt>
                <c:pt idx="7">
                  <c:v>9.9274999999999984</c:v>
                </c:pt>
                <c:pt idx="8">
                  <c:v>11</c:v>
                </c:pt>
                <c:pt idx="9">
                  <c:v>11</c:v>
                </c:pt>
                <c:pt idx="10">
                  <c:v>11</c:v>
                </c:pt>
                <c:pt idx="11">
                  <c:v>11</c:v>
                </c:pt>
                <c:pt idx="12">
                  <c:v>11.84</c:v>
                </c:pt>
                <c:pt idx="13">
                  <c:v>11.247999999999999</c:v>
                </c:pt>
                <c:pt idx="14">
                  <c:v>12.46</c:v>
                </c:pt>
                <c:pt idx="15">
                  <c:v>12.46</c:v>
                </c:pt>
                <c:pt idx="16">
                  <c:v>12.46</c:v>
                </c:pt>
                <c:pt idx="17">
                  <c:v>12.46</c:v>
                </c:pt>
                <c:pt idx="18">
                  <c:v>11.837</c:v>
                </c:pt>
                <c:pt idx="19">
                  <c:v>11.837</c:v>
                </c:pt>
                <c:pt idx="20">
                  <c:v>11.837</c:v>
                </c:pt>
                <c:pt idx="21">
                  <c:v>11.837</c:v>
                </c:pt>
                <c:pt idx="22">
                  <c:v>11.837</c:v>
                </c:pt>
                <c:pt idx="23">
                  <c:v>11.837</c:v>
                </c:pt>
                <c:pt idx="24">
                  <c:v>11.837</c:v>
                </c:pt>
                <c:pt idx="25">
                  <c:v>11.837</c:v>
                </c:pt>
                <c:pt idx="26">
                  <c:v>11.837</c:v>
                </c:pt>
                <c:pt idx="27">
                  <c:v>11.837</c:v>
                </c:pt>
                <c:pt idx="28">
                  <c:v>13.3</c:v>
                </c:pt>
                <c:pt idx="29">
                  <c:v>12.635</c:v>
                </c:pt>
                <c:pt idx="30">
                  <c:v>12.635</c:v>
                </c:pt>
                <c:pt idx="31">
                  <c:v>13.72</c:v>
                </c:pt>
                <c:pt idx="32">
                  <c:v>13.034000000000001</c:v>
                </c:pt>
                <c:pt idx="33">
                  <c:v>13.034000000000001</c:v>
                </c:pt>
                <c:pt idx="34">
                  <c:v>12.382300000000001</c:v>
                </c:pt>
                <c:pt idx="35">
                  <c:v>12.382300000000001</c:v>
                </c:pt>
                <c:pt idx="36">
                  <c:v>12.382300000000001</c:v>
                </c:pt>
                <c:pt idx="37">
                  <c:v>12.382300000000001</c:v>
                </c:pt>
                <c:pt idx="38">
                  <c:v>14.09</c:v>
                </c:pt>
                <c:pt idx="39">
                  <c:v>14.09</c:v>
                </c:pt>
                <c:pt idx="40">
                  <c:v>13.385499999999999</c:v>
                </c:pt>
                <c:pt idx="41">
                  <c:v>13.385499999999999</c:v>
                </c:pt>
                <c:pt idx="42">
                  <c:v>13.385499999999999</c:v>
                </c:pt>
                <c:pt idx="43">
                  <c:v>13.385499999999999</c:v>
                </c:pt>
                <c:pt idx="44">
                  <c:v>13.385499999999999</c:v>
                </c:pt>
                <c:pt idx="45">
                  <c:v>13.385499999999999</c:v>
                </c:pt>
                <c:pt idx="46">
                  <c:v>14.93</c:v>
                </c:pt>
                <c:pt idx="47">
                  <c:v>14.183499999999999</c:v>
                </c:pt>
                <c:pt idx="48">
                  <c:v>13.474324999999999</c:v>
                </c:pt>
                <c:pt idx="49">
                  <c:v>13.474324999999999</c:v>
                </c:pt>
                <c:pt idx="50">
                  <c:v>13.474324999999999</c:v>
                </c:pt>
                <c:pt idx="51">
                  <c:v>13.474324999999999</c:v>
                </c:pt>
                <c:pt idx="52">
                  <c:v>13.474324999999999</c:v>
                </c:pt>
                <c:pt idx="53">
                  <c:v>13.474324999999999</c:v>
                </c:pt>
                <c:pt idx="54">
                  <c:v>13.474324999999999</c:v>
                </c:pt>
                <c:pt idx="55">
                  <c:v>13.474324999999999</c:v>
                </c:pt>
                <c:pt idx="56">
                  <c:v>13.474324999999999</c:v>
                </c:pt>
                <c:pt idx="57">
                  <c:v>13.474324999999999</c:v>
                </c:pt>
                <c:pt idx="58">
                  <c:v>13.474324999999999</c:v>
                </c:pt>
                <c:pt idx="59">
                  <c:v>13.474324999999999</c:v>
                </c:pt>
                <c:pt idx="60">
                  <c:v>13.474324999999999</c:v>
                </c:pt>
                <c:pt idx="61">
                  <c:v>13.474324999999999</c:v>
                </c:pt>
                <c:pt idx="62">
                  <c:v>13.474324999999999</c:v>
                </c:pt>
                <c:pt idx="63">
                  <c:v>13.474324999999999</c:v>
                </c:pt>
                <c:pt idx="64">
                  <c:v>13.474324999999999</c:v>
                </c:pt>
                <c:pt idx="65">
                  <c:v>13.474324999999999</c:v>
                </c:pt>
                <c:pt idx="66">
                  <c:v>13.474324999999999</c:v>
                </c:pt>
                <c:pt idx="67">
                  <c:v>13.474324999999999</c:v>
                </c:pt>
                <c:pt idx="68">
                  <c:v>13.474324999999999</c:v>
                </c:pt>
                <c:pt idx="69">
                  <c:v>13.474324999999999</c:v>
                </c:pt>
                <c:pt idx="70">
                  <c:v>13.474324999999999</c:v>
                </c:pt>
                <c:pt idx="71">
                  <c:v>13.474324999999999</c:v>
                </c:pt>
                <c:pt idx="72">
                  <c:v>13.474324999999999</c:v>
                </c:pt>
                <c:pt idx="73">
                  <c:v>13.474324999999999</c:v>
                </c:pt>
                <c:pt idx="74">
                  <c:v>13.474324999999999</c:v>
                </c:pt>
                <c:pt idx="75">
                  <c:v>13.474324999999999</c:v>
                </c:pt>
                <c:pt idx="76">
                  <c:v>13.474324999999999</c:v>
                </c:pt>
                <c:pt idx="77">
                  <c:v>13.474324999999999</c:v>
                </c:pt>
                <c:pt idx="78">
                  <c:v>13.474324999999999</c:v>
                </c:pt>
                <c:pt idx="79">
                  <c:v>15.99</c:v>
                </c:pt>
                <c:pt idx="80">
                  <c:v>15.1905</c:v>
                </c:pt>
                <c:pt idx="81">
                  <c:v>15.1905</c:v>
                </c:pt>
                <c:pt idx="82">
                  <c:v>16.100000000000001</c:v>
                </c:pt>
                <c:pt idx="83">
                  <c:v>16.100000000000001</c:v>
                </c:pt>
                <c:pt idx="84">
                  <c:v>16.100000000000001</c:v>
                </c:pt>
                <c:pt idx="85">
                  <c:v>17.190000999999999</c:v>
                </c:pt>
                <c:pt idx="86">
                  <c:v>17.190000999999999</c:v>
                </c:pt>
                <c:pt idx="87">
                  <c:v>17.190000999999999</c:v>
                </c:pt>
                <c:pt idx="88">
                  <c:v>17.190000999999999</c:v>
                </c:pt>
                <c:pt idx="89">
                  <c:v>17.190000999999999</c:v>
                </c:pt>
                <c:pt idx="90">
                  <c:v>17.190000999999999</c:v>
                </c:pt>
                <c:pt idx="91">
                  <c:v>17.190000999999999</c:v>
                </c:pt>
                <c:pt idx="92">
                  <c:v>17.190000999999999</c:v>
                </c:pt>
                <c:pt idx="93">
                  <c:v>17.190000999999999</c:v>
                </c:pt>
                <c:pt idx="94">
                  <c:v>17.190000999999999</c:v>
                </c:pt>
                <c:pt idx="95">
                  <c:v>18.049999</c:v>
                </c:pt>
                <c:pt idx="96">
                  <c:v>17.14749905</c:v>
                </c:pt>
                <c:pt idx="97">
                  <c:v>17.14749905</c:v>
                </c:pt>
                <c:pt idx="98">
                  <c:v>17.14749905</c:v>
                </c:pt>
                <c:pt idx="99">
                  <c:v>16.290124097499998</c:v>
                </c:pt>
                <c:pt idx="100">
                  <c:v>16.290124097499998</c:v>
                </c:pt>
                <c:pt idx="101">
                  <c:v>16.290124097499998</c:v>
                </c:pt>
                <c:pt idx="102">
                  <c:v>16.290124097499998</c:v>
                </c:pt>
                <c:pt idx="103">
                  <c:v>16.290124097499998</c:v>
                </c:pt>
                <c:pt idx="104">
                  <c:v>16.290124097499998</c:v>
                </c:pt>
                <c:pt idx="105">
                  <c:v>16.290124097499998</c:v>
                </c:pt>
                <c:pt idx="106">
                  <c:v>16.290124097499998</c:v>
                </c:pt>
                <c:pt idx="107">
                  <c:v>16.290124097499998</c:v>
                </c:pt>
                <c:pt idx="108">
                  <c:v>16.290124097499998</c:v>
                </c:pt>
                <c:pt idx="109">
                  <c:v>16.290124097499998</c:v>
                </c:pt>
                <c:pt idx="110">
                  <c:v>16.290124097499998</c:v>
                </c:pt>
                <c:pt idx="111">
                  <c:v>16.290124097499998</c:v>
                </c:pt>
                <c:pt idx="112">
                  <c:v>16.290124097499998</c:v>
                </c:pt>
                <c:pt idx="113">
                  <c:v>16.290124097499998</c:v>
                </c:pt>
                <c:pt idx="114">
                  <c:v>16.290124097499998</c:v>
                </c:pt>
                <c:pt idx="115">
                  <c:v>16.290124097499998</c:v>
                </c:pt>
                <c:pt idx="116">
                  <c:v>16.290124097499998</c:v>
                </c:pt>
                <c:pt idx="117">
                  <c:v>16.290124097499998</c:v>
                </c:pt>
                <c:pt idx="118">
                  <c:v>16.290124097499998</c:v>
                </c:pt>
                <c:pt idx="119">
                  <c:v>16.290124097499998</c:v>
                </c:pt>
                <c:pt idx="120">
                  <c:v>16.290124097499998</c:v>
                </c:pt>
                <c:pt idx="121">
                  <c:v>15.475617892624998</c:v>
                </c:pt>
                <c:pt idx="122">
                  <c:v>15.475617892624998</c:v>
                </c:pt>
                <c:pt idx="123">
                  <c:v>15.475617892624998</c:v>
                </c:pt>
                <c:pt idx="124">
                  <c:v>15.475617892624998</c:v>
                </c:pt>
                <c:pt idx="125">
                  <c:v>15.475617892624998</c:v>
                </c:pt>
                <c:pt idx="126">
                  <c:v>15.475617892624998</c:v>
                </c:pt>
                <c:pt idx="127">
                  <c:v>15.475617892624998</c:v>
                </c:pt>
                <c:pt idx="128">
                  <c:v>15.475617892624998</c:v>
                </c:pt>
                <c:pt idx="129">
                  <c:v>15.475617892624998</c:v>
                </c:pt>
                <c:pt idx="130">
                  <c:v>15.475617892624998</c:v>
                </c:pt>
                <c:pt idx="131">
                  <c:v>15.475617892624998</c:v>
                </c:pt>
                <c:pt idx="132">
                  <c:v>15.475617892624998</c:v>
                </c:pt>
                <c:pt idx="133">
                  <c:v>15.475617892624998</c:v>
                </c:pt>
                <c:pt idx="134">
                  <c:v>15.475617892624998</c:v>
                </c:pt>
                <c:pt idx="135">
                  <c:v>15.475617892624998</c:v>
                </c:pt>
                <c:pt idx="136">
                  <c:v>15.475617892624998</c:v>
                </c:pt>
                <c:pt idx="137">
                  <c:v>15.475617892624998</c:v>
                </c:pt>
                <c:pt idx="138">
                  <c:v>15.475617892624998</c:v>
                </c:pt>
                <c:pt idx="139">
                  <c:v>15.475617892624998</c:v>
                </c:pt>
                <c:pt idx="140">
                  <c:v>15.475617892624998</c:v>
                </c:pt>
                <c:pt idx="141">
                  <c:v>15.475617892624998</c:v>
                </c:pt>
                <c:pt idx="142">
                  <c:v>15.475617892624998</c:v>
                </c:pt>
                <c:pt idx="143">
                  <c:v>15.475617892624998</c:v>
                </c:pt>
                <c:pt idx="144">
                  <c:v>15.475617892624998</c:v>
                </c:pt>
                <c:pt idx="145">
                  <c:v>15.475617892624998</c:v>
                </c:pt>
                <c:pt idx="146">
                  <c:v>15.475617892624998</c:v>
                </c:pt>
                <c:pt idx="147">
                  <c:v>15.475617892624998</c:v>
                </c:pt>
                <c:pt idx="148">
                  <c:v>15.475617892624998</c:v>
                </c:pt>
                <c:pt idx="149">
                  <c:v>15.475617892624998</c:v>
                </c:pt>
                <c:pt idx="150">
                  <c:v>15.475617892624998</c:v>
                </c:pt>
                <c:pt idx="151">
                  <c:v>15.475617892624998</c:v>
                </c:pt>
                <c:pt idx="152">
                  <c:v>15.475617892624998</c:v>
                </c:pt>
                <c:pt idx="153">
                  <c:v>15.475617892624998</c:v>
                </c:pt>
                <c:pt idx="154">
                  <c:v>15.475617892624998</c:v>
                </c:pt>
                <c:pt idx="155">
                  <c:v>15.475617892624998</c:v>
                </c:pt>
                <c:pt idx="156">
                  <c:v>15.475617892624998</c:v>
                </c:pt>
                <c:pt idx="157">
                  <c:v>15.475617892624998</c:v>
                </c:pt>
                <c:pt idx="158">
                  <c:v>15.475617892624998</c:v>
                </c:pt>
                <c:pt idx="159">
                  <c:v>15.475617892624998</c:v>
                </c:pt>
                <c:pt idx="160">
                  <c:v>15.475617892624998</c:v>
                </c:pt>
                <c:pt idx="161">
                  <c:v>15.475617892624998</c:v>
                </c:pt>
                <c:pt idx="162">
                  <c:v>15.475617892624998</c:v>
                </c:pt>
                <c:pt idx="163">
                  <c:v>15.475617892624998</c:v>
                </c:pt>
                <c:pt idx="164">
                  <c:v>15.475617892624998</c:v>
                </c:pt>
                <c:pt idx="165">
                  <c:v>15.475617892624998</c:v>
                </c:pt>
                <c:pt idx="166">
                  <c:v>15.475617892624998</c:v>
                </c:pt>
                <c:pt idx="167">
                  <c:v>15.475617892624998</c:v>
                </c:pt>
                <c:pt idx="168">
                  <c:v>15.475617892624998</c:v>
                </c:pt>
                <c:pt idx="169">
                  <c:v>15.475617892624998</c:v>
                </c:pt>
                <c:pt idx="170">
                  <c:v>15.475617892624998</c:v>
                </c:pt>
                <c:pt idx="171">
                  <c:v>15.475617892624998</c:v>
                </c:pt>
                <c:pt idx="172">
                  <c:v>15.475617892624998</c:v>
                </c:pt>
                <c:pt idx="173">
                  <c:v>15.475617892624998</c:v>
                </c:pt>
                <c:pt idx="174">
                  <c:v>15.475617892624998</c:v>
                </c:pt>
                <c:pt idx="175">
                  <c:v>15.475617892624998</c:v>
                </c:pt>
                <c:pt idx="176">
                  <c:v>15.475617892624998</c:v>
                </c:pt>
                <c:pt idx="177">
                  <c:v>15.475617892624998</c:v>
                </c:pt>
                <c:pt idx="178">
                  <c:v>15.475617892624998</c:v>
                </c:pt>
                <c:pt idx="179">
                  <c:v>15.475617892624998</c:v>
                </c:pt>
                <c:pt idx="180">
                  <c:v>15.475617892624998</c:v>
                </c:pt>
                <c:pt idx="181">
                  <c:v>15.475617892624998</c:v>
                </c:pt>
                <c:pt idx="182">
                  <c:v>15.475617892624998</c:v>
                </c:pt>
                <c:pt idx="183">
                  <c:v>15.475617892624998</c:v>
                </c:pt>
                <c:pt idx="184">
                  <c:v>15.475617892624998</c:v>
                </c:pt>
                <c:pt idx="185">
                  <c:v>15.475617892624998</c:v>
                </c:pt>
                <c:pt idx="186">
                  <c:v>15.475617892624998</c:v>
                </c:pt>
                <c:pt idx="187">
                  <c:v>15.475617892624998</c:v>
                </c:pt>
                <c:pt idx="188">
                  <c:v>15.475617892624998</c:v>
                </c:pt>
                <c:pt idx="189">
                  <c:v>15.475617892624998</c:v>
                </c:pt>
                <c:pt idx="190">
                  <c:v>15.475617892624998</c:v>
                </c:pt>
                <c:pt idx="191">
                  <c:v>15.475617892624998</c:v>
                </c:pt>
                <c:pt idx="192">
                  <c:v>15.475617892624998</c:v>
                </c:pt>
                <c:pt idx="193">
                  <c:v>15.475617892624998</c:v>
                </c:pt>
                <c:pt idx="194">
                  <c:v>15.475617892624998</c:v>
                </c:pt>
                <c:pt idx="195">
                  <c:v>15.475617892624998</c:v>
                </c:pt>
                <c:pt idx="196">
                  <c:v>15.475617892624998</c:v>
                </c:pt>
                <c:pt idx="197">
                  <c:v>15.475617892624998</c:v>
                </c:pt>
                <c:pt idx="198">
                  <c:v>15.475617892624998</c:v>
                </c:pt>
                <c:pt idx="199">
                  <c:v>15.475617892624998</c:v>
                </c:pt>
                <c:pt idx="200">
                  <c:v>15.475617892624998</c:v>
                </c:pt>
                <c:pt idx="201">
                  <c:v>15.475617892624998</c:v>
                </c:pt>
                <c:pt idx="202">
                  <c:v>15.475617892624998</c:v>
                </c:pt>
                <c:pt idx="203">
                  <c:v>15.475617892624998</c:v>
                </c:pt>
                <c:pt idx="204">
                  <c:v>15.475617892624998</c:v>
                </c:pt>
                <c:pt idx="205">
                  <c:v>15.475617892624998</c:v>
                </c:pt>
                <c:pt idx="206">
                  <c:v>18.870000999999998</c:v>
                </c:pt>
                <c:pt idx="207">
                  <c:v>18.870000999999998</c:v>
                </c:pt>
                <c:pt idx="208">
                  <c:v>18.870000999999998</c:v>
                </c:pt>
                <c:pt idx="209">
                  <c:v>18.870000999999998</c:v>
                </c:pt>
                <c:pt idx="210">
                  <c:v>20.030000999999999</c:v>
                </c:pt>
                <c:pt idx="211">
                  <c:v>20.030000999999999</c:v>
                </c:pt>
                <c:pt idx="212">
                  <c:v>20.030000999999999</c:v>
                </c:pt>
                <c:pt idx="213">
                  <c:v>20.030000999999999</c:v>
                </c:pt>
                <c:pt idx="214">
                  <c:v>21.219999000000001</c:v>
                </c:pt>
                <c:pt idx="215">
                  <c:v>20.158999050000002</c:v>
                </c:pt>
                <c:pt idx="216">
                  <c:v>20.158999050000002</c:v>
                </c:pt>
                <c:pt idx="217">
                  <c:v>20.158999050000002</c:v>
                </c:pt>
                <c:pt idx="218">
                  <c:v>20.158999050000002</c:v>
                </c:pt>
                <c:pt idx="219">
                  <c:v>20.158999050000002</c:v>
                </c:pt>
                <c:pt idx="220">
                  <c:v>19.1510490975</c:v>
                </c:pt>
                <c:pt idx="221">
                  <c:v>19.1510490975</c:v>
                </c:pt>
                <c:pt idx="222">
                  <c:v>19.1510490975</c:v>
                </c:pt>
                <c:pt idx="223">
                  <c:v>19.1510490975</c:v>
                </c:pt>
                <c:pt idx="224">
                  <c:v>19.1510490975</c:v>
                </c:pt>
                <c:pt idx="225">
                  <c:v>19.1510490975</c:v>
                </c:pt>
                <c:pt idx="226">
                  <c:v>19.1510490975</c:v>
                </c:pt>
                <c:pt idx="227">
                  <c:v>19.1510490975</c:v>
                </c:pt>
                <c:pt idx="228">
                  <c:v>18.193496642625</c:v>
                </c:pt>
                <c:pt idx="229">
                  <c:v>17.283821810493748</c:v>
                </c:pt>
                <c:pt idx="230">
                  <c:v>17.283821810493748</c:v>
                </c:pt>
                <c:pt idx="231">
                  <c:v>17.283821810493748</c:v>
                </c:pt>
                <c:pt idx="232">
                  <c:v>17.283821810493748</c:v>
                </c:pt>
                <c:pt idx="233">
                  <c:v>17.283821810493748</c:v>
                </c:pt>
                <c:pt idx="234">
                  <c:v>17.283821810493748</c:v>
                </c:pt>
                <c:pt idx="235">
                  <c:v>17.283821810493748</c:v>
                </c:pt>
                <c:pt idx="236">
                  <c:v>16.41963071996906</c:v>
                </c:pt>
                <c:pt idx="237">
                  <c:v>16.41963071996906</c:v>
                </c:pt>
                <c:pt idx="238">
                  <c:v>16.41963071996906</c:v>
                </c:pt>
                <c:pt idx="239">
                  <c:v>15.598649183970606</c:v>
                </c:pt>
                <c:pt idx="240">
                  <c:v>15.598649183970606</c:v>
                </c:pt>
                <c:pt idx="241">
                  <c:v>15.598649183970606</c:v>
                </c:pt>
                <c:pt idx="242">
                  <c:v>14.818716724772075</c:v>
                </c:pt>
                <c:pt idx="243">
                  <c:v>14.818716724772075</c:v>
                </c:pt>
                <c:pt idx="244">
                  <c:v>14.818716724772075</c:v>
                </c:pt>
                <c:pt idx="245">
                  <c:v>14.818716724772075</c:v>
                </c:pt>
                <c:pt idx="246">
                  <c:v>14.818716724772075</c:v>
                </c:pt>
                <c:pt idx="247">
                  <c:v>14.818716724772075</c:v>
                </c:pt>
                <c:pt idx="248">
                  <c:v>14.818716724772075</c:v>
                </c:pt>
                <c:pt idx="249">
                  <c:v>14.818716724772075</c:v>
                </c:pt>
                <c:pt idx="250">
                  <c:v>14.818716724772075</c:v>
                </c:pt>
                <c:pt idx="251">
                  <c:v>14.818716724772075</c:v>
                </c:pt>
                <c:pt idx="252">
                  <c:v>14.818716724772075</c:v>
                </c:pt>
                <c:pt idx="253">
                  <c:v>14.818716724772075</c:v>
                </c:pt>
                <c:pt idx="254">
                  <c:v>14.818716724772075</c:v>
                </c:pt>
                <c:pt idx="255">
                  <c:v>14.818716724772075</c:v>
                </c:pt>
                <c:pt idx="256">
                  <c:v>14.818716724772075</c:v>
                </c:pt>
                <c:pt idx="257">
                  <c:v>14.818716724772075</c:v>
                </c:pt>
                <c:pt idx="258">
                  <c:v>14.818716724772075</c:v>
                </c:pt>
                <c:pt idx="259">
                  <c:v>14.818716724772075</c:v>
                </c:pt>
                <c:pt idx="260">
                  <c:v>14.818716724772075</c:v>
                </c:pt>
                <c:pt idx="261">
                  <c:v>14.818716724772075</c:v>
                </c:pt>
                <c:pt idx="262">
                  <c:v>14.818716724772075</c:v>
                </c:pt>
                <c:pt idx="263">
                  <c:v>14.818716724772075</c:v>
                </c:pt>
                <c:pt idx="264">
                  <c:v>14.818716724772075</c:v>
                </c:pt>
                <c:pt idx="265">
                  <c:v>14.818716724772075</c:v>
                </c:pt>
                <c:pt idx="266">
                  <c:v>14.818716724772075</c:v>
                </c:pt>
                <c:pt idx="267">
                  <c:v>14.818716724772075</c:v>
                </c:pt>
                <c:pt idx="268">
                  <c:v>14.818716724772075</c:v>
                </c:pt>
                <c:pt idx="269">
                  <c:v>14.818716724772075</c:v>
                </c:pt>
                <c:pt idx="270">
                  <c:v>14.818716724772075</c:v>
                </c:pt>
                <c:pt idx="271">
                  <c:v>14.818716724772075</c:v>
                </c:pt>
                <c:pt idx="272">
                  <c:v>14.818716724772075</c:v>
                </c:pt>
                <c:pt idx="273">
                  <c:v>14.818716724772075</c:v>
                </c:pt>
                <c:pt idx="274">
                  <c:v>14.818716724772075</c:v>
                </c:pt>
                <c:pt idx="275">
                  <c:v>14.818716724772075</c:v>
                </c:pt>
                <c:pt idx="276">
                  <c:v>14.818716724772075</c:v>
                </c:pt>
                <c:pt idx="277">
                  <c:v>14.818716724772075</c:v>
                </c:pt>
                <c:pt idx="278">
                  <c:v>14.818716724772075</c:v>
                </c:pt>
                <c:pt idx="279">
                  <c:v>14.818716724772075</c:v>
                </c:pt>
                <c:pt idx="280">
                  <c:v>14.818716724772075</c:v>
                </c:pt>
                <c:pt idx="281">
                  <c:v>14.818716724772075</c:v>
                </c:pt>
                <c:pt idx="282">
                  <c:v>14.818716724772075</c:v>
                </c:pt>
                <c:pt idx="283">
                  <c:v>14.818716724772075</c:v>
                </c:pt>
                <c:pt idx="284">
                  <c:v>14.818716724772075</c:v>
                </c:pt>
                <c:pt idx="285">
                  <c:v>14.818716724772075</c:v>
                </c:pt>
                <c:pt idx="286">
                  <c:v>14.818716724772075</c:v>
                </c:pt>
                <c:pt idx="287">
                  <c:v>14.818716724772075</c:v>
                </c:pt>
                <c:pt idx="288">
                  <c:v>14.818716724772075</c:v>
                </c:pt>
                <c:pt idx="289">
                  <c:v>14.818716724772075</c:v>
                </c:pt>
                <c:pt idx="290">
                  <c:v>14.818716724772075</c:v>
                </c:pt>
                <c:pt idx="291">
                  <c:v>14.818716724772075</c:v>
                </c:pt>
                <c:pt idx="292">
                  <c:v>14.818716724772075</c:v>
                </c:pt>
                <c:pt idx="293">
                  <c:v>14.818716724772075</c:v>
                </c:pt>
                <c:pt idx="294">
                  <c:v>14.818716724772075</c:v>
                </c:pt>
                <c:pt idx="295">
                  <c:v>14.818716724772075</c:v>
                </c:pt>
                <c:pt idx="296">
                  <c:v>14.818716724772075</c:v>
                </c:pt>
                <c:pt idx="297">
                  <c:v>14.818716724772075</c:v>
                </c:pt>
                <c:pt idx="298">
                  <c:v>14.818716724772075</c:v>
                </c:pt>
                <c:pt idx="299">
                  <c:v>14.818716724772075</c:v>
                </c:pt>
                <c:pt idx="300">
                  <c:v>14.818716724772075</c:v>
                </c:pt>
                <c:pt idx="301">
                  <c:v>14.818716724772075</c:v>
                </c:pt>
                <c:pt idx="302">
                  <c:v>14.818716724772075</c:v>
                </c:pt>
                <c:pt idx="303">
                  <c:v>14.818716724772075</c:v>
                </c:pt>
                <c:pt idx="304">
                  <c:v>14.818716724772075</c:v>
                </c:pt>
                <c:pt idx="305">
                  <c:v>14.818716724772075</c:v>
                </c:pt>
                <c:pt idx="306">
                  <c:v>14.818716724772075</c:v>
                </c:pt>
                <c:pt idx="307">
                  <c:v>14.818716724772075</c:v>
                </c:pt>
                <c:pt idx="308">
                  <c:v>14.818716724772075</c:v>
                </c:pt>
                <c:pt idx="309">
                  <c:v>14.818716724772075</c:v>
                </c:pt>
                <c:pt idx="310">
                  <c:v>14.818716724772075</c:v>
                </c:pt>
                <c:pt idx="311">
                  <c:v>14.818716724772075</c:v>
                </c:pt>
                <c:pt idx="312">
                  <c:v>14.818716724772075</c:v>
                </c:pt>
                <c:pt idx="313">
                  <c:v>14.818716724772075</c:v>
                </c:pt>
                <c:pt idx="314">
                  <c:v>14.818716724772075</c:v>
                </c:pt>
                <c:pt idx="315">
                  <c:v>14.818716724772075</c:v>
                </c:pt>
                <c:pt idx="316">
                  <c:v>14.818716724772075</c:v>
                </c:pt>
                <c:pt idx="317">
                  <c:v>14.818716724772075</c:v>
                </c:pt>
                <c:pt idx="318">
                  <c:v>14.818716724772075</c:v>
                </c:pt>
                <c:pt idx="319">
                  <c:v>14.818716724772075</c:v>
                </c:pt>
                <c:pt idx="320">
                  <c:v>14.818716724772075</c:v>
                </c:pt>
                <c:pt idx="321">
                  <c:v>14.818716724772075</c:v>
                </c:pt>
                <c:pt idx="322">
                  <c:v>14.818716724772075</c:v>
                </c:pt>
                <c:pt idx="323">
                  <c:v>14.818716724772075</c:v>
                </c:pt>
                <c:pt idx="324">
                  <c:v>14.818716724772075</c:v>
                </c:pt>
                <c:pt idx="325">
                  <c:v>14.818716724772075</c:v>
                </c:pt>
                <c:pt idx="326">
                  <c:v>14.818716724772075</c:v>
                </c:pt>
                <c:pt idx="327">
                  <c:v>14.818716724772075</c:v>
                </c:pt>
                <c:pt idx="328">
                  <c:v>14.818716724772075</c:v>
                </c:pt>
                <c:pt idx="329">
                  <c:v>22.09</c:v>
                </c:pt>
                <c:pt idx="330">
                  <c:v>20.985499999999998</c:v>
                </c:pt>
                <c:pt idx="331">
                  <c:v>20.985499999999998</c:v>
                </c:pt>
                <c:pt idx="332">
                  <c:v>20.985499999999998</c:v>
                </c:pt>
                <c:pt idx="333">
                  <c:v>20.985499999999998</c:v>
                </c:pt>
                <c:pt idx="334">
                  <c:v>20.985499999999998</c:v>
                </c:pt>
                <c:pt idx="335">
                  <c:v>20.985499999999998</c:v>
                </c:pt>
                <c:pt idx="336">
                  <c:v>20.985499999999998</c:v>
                </c:pt>
                <c:pt idx="337">
                  <c:v>20.985499999999998</c:v>
                </c:pt>
                <c:pt idx="338">
                  <c:v>20.985499999999998</c:v>
                </c:pt>
                <c:pt idx="339">
                  <c:v>20.985499999999998</c:v>
                </c:pt>
                <c:pt idx="340">
                  <c:v>20.985499999999998</c:v>
                </c:pt>
                <c:pt idx="341">
                  <c:v>20.985499999999998</c:v>
                </c:pt>
                <c:pt idx="342">
                  <c:v>20.985499999999998</c:v>
                </c:pt>
                <c:pt idx="343">
                  <c:v>20.985499999999998</c:v>
                </c:pt>
                <c:pt idx="344">
                  <c:v>20.985499999999998</c:v>
                </c:pt>
                <c:pt idx="345">
                  <c:v>20.985499999999998</c:v>
                </c:pt>
                <c:pt idx="346">
                  <c:v>20.985499999999998</c:v>
                </c:pt>
                <c:pt idx="347">
                  <c:v>20.985499999999998</c:v>
                </c:pt>
                <c:pt idx="348">
                  <c:v>20.985499999999998</c:v>
                </c:pt>
                <c:pt idx="349">
                  <c:v>20.985499999999998</c:v>
                </c:pt>
                <c:pt idx="350">
                  <c:v>24.450001</c:v>
                </c:pt>
                <c:pt idx="351">
                  <c:v>23.22750095</c:v>
                </c:pt>
                <c:pt idx="352">
                  <c:v>23.22750095</c:v>
                </c:pt>
                <c:pt idx="353">
                  <c:v>23.22750095</c:v>
                </c:pt>
                <c:pt idx="354">
                  <c:v>23.22750095</c:v>
                </c:pt>
                <c:pt idx="355">
                  <c:v>25.059999000000001</c:v>
                </c:pt>
                <c:pt idx="356">
                  <c:v>25.059999000000001</c:v>
                </c:pt>
                <c:pt idx="357">
                  <c:v>25.059999000000001</c:v>
                </c:pt>
                <c:pt idx="358">
                  <c:v>23.806999050000002</c:v>
                </c:pt>
                <c:pt idx="359">
                  <c:v>23.806999050000002</c:v>
                </c:pt>
                <c:pt idx="360">
                  <c:v>23.806999050000002</c:v>
                </c:pt>
                <c:pt idx="361">
                  <c:v>23.806999050000002</c:v>
                </c:pt>
                <c:pt idx="362">
                  <c:v>23.806999050000002</c:v>
                </c:pt>
                <c:pt idx="363">
                  <c:v>23.806999050000002</c:v>
                </c:pt>
                <c:pt idx="364">
                  <c:v>22.616649097500002</c:v>
                </c:pt>
                <c:pt idx="365">
                  <c:v>22.616649097500002</c:v>
                </c:pt>
                <c:pt idx="366">
                  <c:v>22.616649097500002</c:v>
                </c:pt>
                <c:pt idx="367">
                  <c:v>22.616649097500002</c:v>
                </c:pt>
                <c:pt idx="368">
                  <c:v>22.616649097500002</c:v>
                </c:pt>
                <c:pt idx="369">
                  <c:v>22.616649097500002</c:v>
                </c:pt>
                <c:pt idx="370">
                  <c:v>22.616649097500002</c:v>
                </c:pt>
                <c:pt idx="371">
                  <c:v>22.616649097500002</c:v>
                </c:pt>
                <c:pt idx="372">
                  <c:v>22.616649097500002</c:v>
                </c:pt>
                <c:pt idx="373">
                  <c:v>22.616649097500002</c:v>
                </c:pt>
                <c:pt idx="374">
                  <c:v>22.616649097500002</c:v>
                </c:pt>
                <c:pt idx="375">
                  <c:v>22.616649097500002</c:v>
                </c:pt>
                <c:pt idx="376">
                  <c:v>22.616649097500002</c:v>
                </c:pt>
                <c:pt idx="377">
                  <c:v>22.616649097500002</c:v>
                </c:pt>
                <c:pt idx="378">
                  <c:v>22.616649097500002</c:v>
                </c:pt>
                <c:pt idx="379">
                  <c:v>22.616649097500002</c:v>
                </c:pt>
                <c:pt idx="380">
                  <c:v>22.616649097500002</c:v>
                </c:pt>
                <c:pt idx="381">
                  <c:v>22.616649097500002</c:v>
                </c:pt>
                <c:pt idx="382">
                  <c:v>22.616649097500002</c:v>
                </c:pt>
                <c:pt idx="383">
                  <c:v>22.616649097500002</c:v>
                </c:pt>
                <c:pt idx="384">
                  <c:v>22.616649097500002</c:v>
                </c:pt>
                <c:pt idx="385">
                  <c:v>22.616649097500002</c:v>
                </c:pt>
                <c:pt idx="386">
                  <c:v>22.616649097500002</c:v>
                </c:pt>
                <c:pt idx="387">
                  <c:v>22.616649097500002</c:v>
                </c:pt>
                <c:pt idx="388">
                  <c:v>22.616649097500002</c:v>
                </c:pt>
                <c:pt idx="389">
                  <c:v>22.616649097500002</c:v>
                </c:pt>
                <c:pt idx="390">
                  <c:v>22.616649097500002</c:v>
                </c:pt>
                <c:pt idx="391">
                  <c:v>22.616649097500002</c:v>
                </c:pt>
                <c:pt idx="392">
                  <c:v>22.616649097500002</c:v>
                </c:pt>
                <c:pt idx="393">
                  <c:v>22.616649097500002</c:v>
                </c:pt>
                <c:pt idx="394">
                  <c:v>22.616649097500002</c:v>
                </c:pt>
                <c:pt idx="395">
                  <c:v>22.616649097500002</c:v>
                </c:pt>
                <c:pt idx="396">
                  <c:v>22.616649097500002</c:v>
                </c:pt>
                <c:pt idx="397">
                  <c:v>22.616649097500002</c:v>
                </c:pt>
                <c:pt idx="398">
                  <c:v>22.616649097500002</c:v>
                </c:pt>
                <c:pt idx="399">
                  <c:v>22.616649097500002</c:v>
                </c:pt>
                <c:pt idx="400">
                  <c:v>22.616649097500002</c:v>
                </c:pt>
                <c:pt idx="401">
                  <c:v>22.616649097500002</c:v>
                </c:pt>
                <c:pt idx="402">
                  <c:v>22.616649097500002</c:v>
                </c:pt>
                <c:pt idx="403">
                  <c:v>22.616649097500002</c:v>
                </c:pt>
                <c:pt idx="404">
                  <c:v>22.616649097500002</c:v>
                </c:pt>
                <c:pt idx="405">
                  <c:v>26.379999000000002</c:v>
                </c:pt>
                <c:pt idx="406">
                  <c:v>26.379999000000002</c:v>
                </c:pt>
                <c:pt idx="407">
                  <c:v>26.379999000000002</c:v>
                </c:pt>
                <c:pt idx="408">
                  <c:v>26.379999000000002</c:v>
                </c:pt>
                <c:pt idx="409">
                  <c:v>26.379999000000002</c:v>
                </c:pt>
                <c:pt idx="410">
                  <c:v>26.379999000000002</c:v>
                </c:pt>
                <c:pt idx="411">
                  <c:v>25.060999049999999</c:v>
                </c:pt>
                <c:pt idx="412">
                  <c:v>25.060999049999999</c:v>
                </c:pt>
                <c:pt idx="413">
                  <c:v>25.060999049999999</c:v>
                </c:pt>
                <c:pt idx="414">
                  <c:v>25.060999049999999</c:v>
                </c:pt>
                <c:pt idx="415">
                  <c:v>25.060999049999999</c:v>
                </c:pt>
                <c:pt idx="416">
                  <c:v>25.060999049999999</c:v>
                </c:pt>
                <c:pt idx="417">
                  <c:v>25.060999049999999</c:v>
                </c:pt>
                <c:pt idx="418">
                  <c:v>25.060999049999999</c:v>
                </c:pt>
                <c:pt idx="419">
                  <c:v>25.060999049999999</c:v>
                </c:pt>
                <c:pt idx="420">
                  <c:v>25.060999049999999</c:v>
                </c:pt>
                <c:pt idx="421">
                  <c:v>25.060999049999999</c:v>
                </c:pt>
                <c:pt idx="422">
                  <c:v>25.060999049999999</c:v>
                </c:pt>
                <c:pt idx="423">
                  <c:v>25.060999049999999</c:v>
                </c:pt>
                <c:pt idx="424">
                  <c:v>25.060999049999999</c:v>
                </c:pt>
                <c:pt idx="425">
                  <c:v>25.060999049999999</c:v>
                </c:pt>
                <c:pt idx="426">
                  <c:v>25.060999049999999</c:v>
                </c:pt>
                <c:pt idx="427">
                  <c:v>25.060999049999999</c:v>
                </c:pt>
                <c:pt idx="428">
                  <c:v>25.060999049999999</c:v>
                </c:pt>
                <c:pt idx="429">
                  <c:v>25.060999049999999</c:v>
                </c:pt>
                <c:pt idx="430">
                  <c:v>23.8079490975</c:v>
                </c:pt>
                <c:pt idx="431">
                  <c:v>22.617551642624999</c:v>
                </c:pt>
                <c:pt idx="432">
                  <c:v>22.617551642624999</c:v>
                </c:pt>
                <c:pt idx="433">
                  <c:v>22.617551642624999</c:v>
                </c:pt>
                <c:pt idx="434">
                  <c:v>22.617551642624999</c:v>
                </c:pt>
                <c:pt idx="435">
                  <c:v>22.617551642624999</c:v>
                </c:pt>
                <c:pt idx="436">
                  <c:v>22.617551642624999</c:v>
                </c:pt>
                <c:pt idx="437">
                  <c:v>22.617551642624999</c:v>
                </c:pt>
                <c:pt idx="438">
                  <c:v>22.617551642624999</c:v>
                </c:pt>
                <c:pt idx="439">
                  <c:v>22.617551642624999</c:v>
                </c:pt>
                <c:pt idx="440">
                  <c:v>22.617551642624999</c:v>
                </c:pt>
                <c:pt idx="441">
                  <c:v>22.617551642624999</c:v>
                </c:pt>
                <c:pt idx="442">
                  <c:v>22.617551642624999</c:v>
                </c:pt>
                <c:pt idx="443">
                  <c:v>22.617551642624999</c:v>
                </c:pt>
                <c:pt idx="444">
                  <c:v>22.617551642624999</c:v>
                </c:pt>
                <c:pt idx="445">
                  <c:v>22.617551642624999</c:v>
                </c:pt>
                <c:pt idx="446">
                  <c:v>22.617551642624999</c:v>
                </c:pt>
                <c:pt idx="447">
                  <c:v>22.617551642624999</c:v>
                </c:pt>
                <c:pt idx="448">
                  <c:v>22.617551642624999</c:v>
                </c:pt>
                <c:pt idx="449">
                  <c:v>22.617551642624999</c:v>
                </c:pt>
                <c:pt idx="450">
                  <c:v>22.617551642624999</c:v>
                </c:pt>
                <c:pt idx="451">
                  <c:v>22.617551642624999</c:v>
                </c:pt>
                <c:pt idx="452">
                  <c:v>22.617551642624999</c:v>
                </c:pt>
                <c:pt idx="453">
                  <c:v>22.617551642624999</c:v>
                </c:pt>
                <c:pt idx="454">
                  <c:v>22.617551642624999</c:v>
                </c:pt>
                <c:pt idx="455">
                  <c:v>22.617551642624999</c:v>
                </c:pt>
                <c:pt idx="456">
                  <c:v>22.617551642624999</c:v>
                </c:pt>
                <c:pt idx="457">
                  <c:v>22.617551642624999</c:v>
                </c:pt>
                <c:pt idx="458">
                  <c:v>22.617551642624999</c:v>
                </c:pt>
                <c:pt idx="459">
                  <c:v>22.617551642624999</c:v>
                </c:pt>
                <c:pt idx="460">
                  <c:v>22.617551642624999</c:v>
                </c:pt>
                <c:pt idx="461">
                  <c:v>22.617551642624999</c:v>
                </c:pt>
                <c:pt idx="462">
                  <c:v>22.617551642624999</c:v>
                </c:pt>
                <c:pt idx="463">
                  <c:v>22.617551642624999</c:v>
                </c:pt>
                <c:pt idx="464">
                  <c:v>22.617551642624999</c:v>
                </c:pt>
                <c:pt idx="465">
                  <c:v>22.617551642624999</c:v>
                </c:pt>
                <c:pt idx="466">
                  <c:v>22.617551642624999</c:v>
                </c:pt>
                <c:pt idx="467">
                  <c:v>22.617551642624999</c:v>
                </c:pt>
                <c:pt idx="468">
                  <c:v>22.617551642624999</c:v>
                </c:pt>
                <c:pt idx="469">
                  <c:v>21.486674060493748</c:v>
                </c:pt>
                <c:pt idx="470">
                  <c:v>21.486674060493748</c:v>
                </c:pt>
                <c:pt idx="471">
                  <c:v>21.486674060493748</c:v>
                </c:pt>
                <c:pt idx="472">
                  <c:v>21.486674060493748</c:v>
                </c:pt>
                <c:pt idx="473">
                  <c:v>21.486674060493748</c:v>
                </c:pt>
                <c:pt idx="474">
                  <c:v>21.486674060493748</c:v>
                </c:pt>
                <c:pt idx="475">
                  <c:v>21.486674060493748</c:v>
                </c:pt>
                <c:pt idx="476">
                  <c:v>21.486674060493748</c:v>
                </c:pt>
                <c:pt idx="477">
                  <c:v>21.486674060493748</c:v>
                </c:pt>
                <c:pt idx="478">
                  <c:v>21.486674060493748</c:v>
                </c:pt>
                <c:pt idx="479">
                  <c:v>21.486674060493748</c:v>
                </c:pt>
                <c:pt idx="480">
                  <c:v>21.486674060493748</c:v>
                </c:pt>
                <c:pt idx="481">
                  <c:v>21.486674060493748</c:v>
                </c:pt>
                <c:pt idx="482">
                  <c:v>21.486674060493748</c:v>
                </c:pt>
                <c:pt idx="483">
                  <c:v>21.486674060493748</c:v>
                </c:pt>
                <c:pt idx="484">
                  <c:v>21.486674060493748</c:v>
                </c:pt>
                <c:pt idx="485">
                  <c:v>21.486674060493748</c:v>
                </c:pt>
                <c:pt idx="486">
                  <c:v>21.486674060493748</c:v>
                </c:pt>
                <c:pt idx="487">
                  <c:v>21.486674060493748</c:v>
                </c:pt>
                <c:pt idx="488">
                  <c:v>21.486674060493748</c:v>
                </c:pt>
                <c:pt idx="489">
                  <c:v>21.486674060493748</c:v>
                </c:pt>
                <c:pt idx="490">
                  <c:v>21.486674060493748</c:v>
                </c:pt>
                <c:pt idx="491">
                  <c:v>21.486674060493748</c:v>
                </c:pt>
                <c:pt idx="492">
                  <c:v>21.486674060493748</c:v>
                </c:pt>
                <c:pt idx="493">
                  <c:v>21.486674060493748</c:v>
                </c:pt>
                <c:pt idx="494">
                  <c:v>21.486674060493748</c:v>
                </c:pt>
                <c:pt idx="495">
                  <c:v>21.486674060493748</c:v>
                </c:pt>
                <c:pt idx="496">
                  <c:v>21.486674060493748</c:v>
                </c:pt>
                <c:pt idx="497">
                  <c:v>21.486674060493748</c:v>
                </c:pt>
                <c:pt idx="498">
                  <c:v>21.486674060493748</c:v>
                </c:pt>
                <c:pt idx="499">
                  <c:v>21.486674060493748</c:v>
                </c:pt>
                <c:pt idx="500">
                  <c:v>21.486674060493748</c:v>
                </c:pt>
                <c:pt idx="501">
                  <c:v>21.486674060493748</c:v>
                </c:pt>
                <c:pt idx="502">
                  <c:v>21.486674060493748</c:v>
                </c:pt>
                <c:pt idx="503">
                  <c:v>21.486674060493748</c:v>
                </c:pt>
                <c:pt idx="504">
                  <c:v>21.486674060493748</c:v>
                </c:pt>
                <c:pt idx="505">
                  <c:v>21.486674060493748</c:v>
                </c:pt>
                <c:pt idx="506">
                  <c:v>21.486674060493748</c:v>
                </c:pt>
                <c:pt idx="507">
                  <c:v>21.486674060493748</c:v>
                </c:pt>
                <c:pt idx="508">
                  <c:v>21.486674060493748</c:v>
                </c:pt>
                <c:pt idx="509">
                  <c:v>21.486674060493748</c:v>
                </c:pt>
                <c:pt idx="510">
                  <c:v>21.486674060493748</c:v>
                </c:pt>
                <c:pt idx="511">
                  <c:v>21.486674060493748</c:v>
                </c:pt>
                <c:pt idx="512">
                  <c:v>21.486674060493748</c:v>
                </c:pt>
                <c:pt idx="513">
                  <c:v>21.486674060493748</c:v>
                </c:pt>
                <c:pt idx="514">
                  <c:v>21.486674060493748</c:v>
                </c:pt>
                <c:pt idx="515">
                  <c:v>21.486674060493748</c:v>
                </c:pt>
                <c:pt idx="516">
                  <c:v>21.486674060493748</c:v>
                </c:pt>
                <c:pt idx="517">
                  <c:v>21.486674060493748</c:v>
                </c:pt>
                <c:pt idx="518">
                  <c:v>21.486674060493748</c:v>
                </c:pt>
                <c:pt idx="519">
                  <c:v>21.486674060493748</c:v>
                </c:pt>
                <c:pt idx="520">
                  <c:v>21.486674060493748</c:v>
                </c:pt>
                <c:pt idx="521">
                  <c:v>21.486674060493748</c:v>
                </c:pt>
                <c:pt idx="522">
                  <c:v>21.486674060493748</c:v>
                </c:pt>
                <c:pt idx="523">
                  <c:v>21.486674060493748</c:v>
                </c:pt>
                <c:pt idx="524">
                  <c:v>21.486674060493748</c:v>
                </c:pt>
                <c:pt idx="525">
                  <c:v>21.486674060493748</c:v>
                </c:pt>
                <c:pt idx="526">
                  <c:v>21.486674060493748</c:v>
                </c:pt>
                <c:pt idx="527">
                  <c:v>21.486674060493748</c:v>
                </c:pt>
                <c:pt idx="528">
                  <c:v>21.486674060493748</c:v>
                </c:pt>
                <c:pt idx="529">
                  <c:v>21.486674060493748</c:v>
                </c:pt>
                <c:pt idx="530">
                  <c:v>21.486674060493748</c:v>
                </c:pt>
                <c:pt idx="531">
                  <c:v>21.486674060493748</c:v>
                </c:pt>
                <c:pt idx="532">
                  <c:v>21.486674060493748</c:v>
                </c:pt>
                <c:pt idx="533">
                  <c:v>21.486674060493748</c:v>
                </c:pt>
                <c:pt idx="534">
                  <c:v>21.486674060493748</c:v>
                </c:pt>
                <c:pt idx="535">
                  <c:v>21.486674060493748</c:v>
                </c:pt>
                <c:pt idx="536">
                  <c:v>21.486674060493748</c:v>
                </c:pt>
                <c:pt idx="537">
                  <c:v>21.486674060493748</c:v>
                </c:pt>
                <c:pt idx="538">
                  <c:v>21.486674060493748</c:v>
                </c:pt>
                <c:pt idx="539">
                  <c:v>21.486674060493748</c:v>
                </c:pt>
                <c:pt idx="540">
                  <c:v>21.486674060493748</c:v>
                </c:pt>
                <c:pt idx="541">
                  <c:v>21.486674060493748</c:v>
                </c:pt>
                <c:pt idx="542">
                  <c:v>21.486674060493748</c:v>
                </c:pt>
                <c:pt idx="543">
                  <c:v>21.486674060493748</c:v>
                </c:pt>
                <c:pt idx="544">
                  <c:v>21.486674060493748</c:v>
                </c:pt>
                <c:pt idx="545">
                  <c:v>21.486674060493748</c:v>
                </c:pt>
                <c:pt idx="546">
                  <c:v>21.486674060493748</c:v>
                </c:pt>
                <c:pt idx="547">
                  <c:v>21.486674060493748</c:v>
                </c:pt>
                <c:pt idx="548">
                  <c:v>21.486674060493748</c:v>
                </c:pt>
                <c:pt idx="549">
                  <c:v>21.486674060493748</c:v>
                </c:pt>
                <c:pt idx="550">
                  <c:v>21.486674060493748</c:v>
                </c:pt>
                <c:pt idx="551">
                  <c:v>21.486674060493748</c:v>
                </c:pt>
                <c:pt idx="552">
                  <c:v>21.486674060493748</c:v>
                </c:pt>
                <c:pt idx="553">
                  <c:v>21.486674060493748</c:v>
                </c:pt>
                <c:pt idx="554">
                  <c:v>21.486674060493748</c:v>
                </c:pt>
                <c:pt idx="555">
                  <c:v>21.486674060493748</c:v>
                </c:pt>
                <c:pt idx="556">
                  <c:v>21.486674060493748</c:v>
                </c:pt>
                <c:pt idx="557">
                  <c:v>21.486674060493748</c:v>
                </c:pt>
                <c:pt idx="558">
                  <c:v>21.486674060493748</c:v>
                </c:pt>
                <c:pt idx="559">
                  <c:v>21.486674060493748</c:v>
                </c:pt>
                <c:pt idx="560">
                  <c:v>21.486674060493748</c:v>
                </c:pt>
                <c:pt idx="561">
                  <c:v>21.486674060493748</c:v>
                </c:pt>
                <c:pt idx="562">
                  <c:v>21.486674060493748</c:v>
                </c:pt>
                <c:pt idx="563">
                  <c:v>21.486674060493748</c:v>
                </c:pt>
                <c:pt idx="564">
                  <c:v>21.486674060493748</c:v>
                </c:pt>
                <c:pt idx="565">
                  <c:v>21.486674060493748</c:v>
                </c:pt>
                <c:pt idx="566">
                  <c:v>21.486674060493748</c:v>
                </c:pt>
                <c:pt idx="567">
                  <c:v>21.486674060493748</c:v>
                </c:pt>
                <c:pt idx="568">
                  <c:v>20.412340357469059</c:v>
                </c:pt>
                <c:pt idx="569">
                  <c:v>19.391723339595604</c:v>
                </c:pt>
                <c:pt idx="570">
                  <c:v>19.391723339595604</c:v>
                </c:pt>
                <c:pt idx="571">
                  <c:v>19.391723339595604</c:v>
                </c:pt>
                <c:pt idx="572">
                  <c:v>19.391723339595604</c:v>
                </c:pt>
                <c:pt idx="573">
                  <c:v>19.391723339595604</c:v>
                </c:pt>
                <c:pt idx="574">
                  <c:v>19.391723339595604</c:v>
                </c:pt>
                <c:pt idx="575">
                  <c:v>19.391723339595604</c:v>
                </c:pt>
                <c:pt idx="576">
                  <c:v>19.391723339595604</c:v>
                </c:pt>
                <c:pt idx="577">
                  <c:v>19.391723339595604</c:v>
                </c:pt>
                <c:pt idx="578">
                  <c:v>18.422137172615823</c:v>
                </c:pt>
                <c:pt idx="579">
                  <c:v>18.422137172615823</c:v>
                </c:pt>
                <c:pt idx="580">
                  <c:v>18.422137172615823</c:v>
                </c:pt>
                <c:pt idx="581">
                  <c:v>18.422137172615823</c:v>
                </c:pt>
                <c:pt idx="582">
                  <c:v>18.422137172615823</c:v>
                </c:pt>
                <c:pt idx="583">
                  <c:v>18.422137172615823</c:v>
                </c:pt>
                <c:pt idx="584">
                  <c:v>18.422137172615823</c:v>
                </c:pt>
                <c:pt idx="585">
                  <c:v>17.50103031398503</c:v>
                </c:pt>
                <c:pt idx="586">
                  <c:v>16.625978798285779</c:v>
                </c:pt>
                <c:pt idx="587">
                  <c:v>16.625978798285779</c:v>
                </c:pt>
                <c:pt idx="588">
                  <c:v>16.625978798285779</c:v>
                </c:pt>
                <c:pt idx="589">
                  <c:v>16.625978798285779</c:v>
                </c:pt>
                <c:pt idx="590">
                  <c:v>16.625978798285779</c:v>
                </c:pt>
                <c:pt idx="591">
                  <c:v>16.625978798285779</c:v>
                </c:pt>
                <c:pt idx="592">
                  <c:v>16.625978798285779</c:v>
                </c:pt>
                <c:pt idx="593">
                  <c:v>16.625978798285779</c:v>
                </c:pt>
                <c:pt idx="594">
                  <c:v>16.625978798285779</c:v>
                </c:pt>
                <c:pt idx="595">
                  <c:v>16.625978798285779</c:v>
                </c:pt>
                <c:pt idx="596">
                  <c:v>16.625978798285779</c:v>
                </c:pt>
                <c:pt idx="597">
                  <c:v>16.625978798285779</c:v>
                </c:pt>
                <c:pt idx="598">
                  <c:v>16.625978798285779</c:v>
                </c:pt>
                <c:pt idx="599">
                  <c:v>16.625978798285779</c:v>
                </c:pt>
                <c:pt idx="600">
                  <c:v>16.625978798285779</c:v>
                </c:pt>
                <c:pt idx="601">
                  <c:v>16.625978798285779</c:v>
                </c:pt>
                <c:pt idx="602">
                  <c:v>16.625978798285779</c:v>
                </c:pt>
                <c:pt idx="603">
                  <c:v>16.625978798285779</c:v>
                </c:pt>
                <c:pt idx="604">
                  <c:v>16.625978798285779</c:v>
                </c:pt>
                <c:pt idx="605">
                  <c:v>16.625978798285779</c:v>
                </c:pt>
                <c:pt idx="606">
                  <c:v>16.625978798285779</c:v>
                </c:pt>
                <c:pt idx="607">
                  <c:v>16.625978798285779</c:v>
                </c:pt>
                <c:pt idx="608">
                  <c:v>16.625978798285779</c:v>
                </c:pt>
                <c:pt idx="609">
                  <c:v>16.625978798285779</c:v>
                </c:pt>
                <c:pt idx="610">
                  <c:v>16.625978798285779</c:v>
                </c:pt>
                <c:pt idx="611">
                  <c:v>16.625978798285779</c:v>
                </c:pt>
                <c:pt idx="612">
                  <c:v>16.625978798285779</c:v>
                </c:pt>
                <c:pt idx="613">
                  <c:v>16.625978798285779</c:v>
                </c:pt>
                <c:pt idx="614">
                  <c:v>16.625978798285779</c:v>
                </c:pt>
                <c:pt idx="615">
                  <c:v>16.625978798285779</c:v>
                </c:pt>
                <c:pt idx="616">
                  <c:v>16.625978798285779</c:v>
                </c:pt>
                <c:pt idx="617">
                  <c:v>16.625978798285779</c:v>
                </c:pt>
                <c:pt idx="618">
                  <c:v>16.625978798285779</c:v>
                </c:pt>
                <c:pt idx="619">
                  <c:v>16.625978798285779</c:v>
                </c:pt>
                <c:pt idx="620">
                  <c:v>16.625978798285779</c:v>
                </c:pt>
                <c:pt idx="621">
                  <c:v>16.625978798285779</c:v>
                </c:pt>
                <c:pt idx="622">
                  <c:v>16.625978798285779</c:v>
                </c:pt>
                <c:pt idx="623">
                  <c:v>16.625978798285779</c:v>
                </c:pt>
                <c:pt idx="624">
                  <c:v>16.625978798285779</c:v>
                </c:pt>
                <c:pt idx="625">
                  <c:v>16.625978798285779</c:v>
                </c:pt>
                <c:pt idx="626">
                  <c:v>16.625978798285779</c:v>
                </c:pt>
                <c:pt idx="627">
                  <c:v>16.625978798285779</c:v>
                </c:pt>
                <c:pt idx="628">
                  <c:v>16.625978798285779</c:v>
                </c:pt>
                <c:pt idx="629">
                  <c:v>16.625978798285779</c:v>
                </c:pt>
                <c:pt idx="630">
                  <c:v>16.625978798285779</c:v>
                </c:pt>
                <c:pt idx="631">
                  <c:v>16.625978798285779</c:v>
                </c:pt>
                <c:pt idx="632">
                  <c:v>16.625978798285779</c:v>
                </c:pt>
                <c:pt idx="633">
                  <c:v>16.625978798285779</c:v>
                </c:pt>
                <c:pt idx="634">
                  <c:v>16.625978798285779</c:v>
                </c:pt>
                <c:pt idx="635">
                  <c:v>16.625978798285779</c:v>
                </c:pt>
                <c:pt idx="636">
                  <c:v>16.625978798285779</c:v>
                </c:pt>
                <c:pt idx="637">
                  <c:v>16.625978798285779</c:v>
                </c:pt>
                <c:pt idx="638">
                  <c:v>16.625978798285779</c:v>
                </c:pt>
                <c:pt idx="639">
                  <c:v>16.625978798285779</c:v>
                </c:pt>
                <c:pt idx="640">
                  <c:v>16.625978798285779</c:v>
                </c:pt>
                <c:pt idx="641">
                  <c:v>16.625978798285779</c:v>
                </c:pt>
                <c:pt idx="642">
                  <c:v>16.625978798285779</c:v>
                </c:pt>
                <c:pt idx="643">
                  <c:v>16.625978798285779</c:v>
                </c:pt>
                <c:pt idx="644">
                  <c:v>16.625978798285779</c:v>
                </c:pt>
                <c:pt idx="645">
                  <c:v>16.625978798285779</c:v>
                </c:pt>
                <c:pt idx="646">
                  <c:v>16.625978798285779</c:v>
                </c:pt>
                <c:pt idx="647">
                  <c:v>16.625978798285779</c:v>
                </c:pt>
                <c:pt idx="648">
                  <c:v>16.625978798285779</c:v>
                </c:pt>
                <c:pt idx="649">
                  <c:v>16.625978798285779</c:v>
                </c:pt>
                <c:pt idx="650">
                  <c:v>16.625978798285779</c:v>
                </c:pt>
                <c:pt idx="651">
                  <c:v>16.625978798285779</c:v>
                </c:pt>
                <c:pt idx="652">
                  <c:v>16.625978798285779</c:v>
                </c:pt>
                <c:pt idx="653">
                  <c:v>16.625978798285779</c:v>
                </c:pt>
                <c:pt idx="654">
                  <c:v>16.625978798285779</c:v>
                </c:pt>
                <c:pt idx="655">
                  <c:v>16.625978798285779</c:v>
                </c:pt>
                <c:pt idx="656">
                  <c:v>16.625978798285779</c:v>
                </c:pt>
                <c:pt idx="657">
                  <c:v>16.625978798285779</c:v>
                </c:pt>
                <c:pt idx="658">
                  <c:v>16.625978798285779</c:v>
                </c:pt>
                <c:pt idx="659">
                  <c:v>16.625978798285779</c:v>
                </c:pt>
                <c:pt idx="660">
                  <c:v>16.625978798285779</c:v>
                </c:pt>
                <c:pt idx="661">
                  <c:v>16.625978798285779</c:v>
                </c:pt>
                <c:pt idx="662">
                  <c:v>16.625978798285779</c:v>
                </c:pt>
                <c:pt idx="663">
                  <c:v>16.625978798285779</c:v>
                </c:pt>
                <c:pt idx="664">
                  <c:v>16.625978798285779</c:v>
                </c:pt>
                <c:pt idx="665">
                  <c:v>16.625978798285779</c:v>
                </c:pt>
                <c:pt idx="666">
                  <c:v>16.625978798285779</c:v>
                </c:pt>
                <c:pt idx="667">
                  <c:v>16.625978798285779</c:v>
                </c:pt>
                <c:pt idx="668">
                  <c:v>16.625978798285779</c:v>
                </c:pt>
                <c:pt idx="669">
                  <c:v>16.625978798285779</c:v>
                </c:pt>
                <c:pt idx="670">
                  <c:v>16.625978798285779</c:v>
                </c:pt>
                <c:pt idx="671">
                  <c:v>16.625978798285779</c:v>
                </c:pt>
                <c:pt idx="672">
                  <c:v>16.625978798285779</c:v>
                </c:pt>
                <c:pt idx="673">
                  <c:v>16.625978798285779</c:v>
                </c:pt>
                <c:pt idx="674">
                  <c:v>16.625978798285779</c:v>
                </c:pt>
                <c:pt idx="675">
                  <c:v>16.625978798285779</c:v>
                </c:pt>
                <c:pt idx="676">
                  <c:v>16.625978798285779</c:v>
                </c:pt>
                <c:pt idx="677">
                  <c:v>16.625978798285779</c:v>
                </c:pt>
                <c:pt idx="678">
                  <c:v>16.625978798285779</c:v>
                </c:pt>
                <c:pt idx="679">
                  <c:v>16.625978798285779</c:v>
                </c:pt>
                <c:pt idx="680">
                  <c:v>16.625978798285779</c:v>
                </c:pt>
                <c:pt idx="681">
                  <c:v>16.625978798285779</c:v>
                </c:pt>
                <c:pt idx="682">
                  <c:v>16.625978798285779</c:v>
                </c:pt>
                <c:pt idx="683">
                  <c:v>16.625978798285779</c:v>
                </c:pt>
                <c:pt idx="684">
                  <c:v>16.625978798285779</c:v>
                </c:pt>
                <c:pt idx="685">
                  <c:v>16.625978798285779</c:v>
                </c:pt>
                <c:pt idx="686">
                  <c:v>16.625978798285779</c:v>
                </c:pt>
                <c:pt idx="687">
                  <c:v>16.625978798285779</c:v>
                </c:pt>
                <c:pt idx="688">
                  <c:v>16.625978798285779</c:v>
                </c:pt>
                <c:pt idx="689">
                  <c:v>16.625978798285779</c:v>
                </c:pt>
                <c:pt idx="690">
                  <c:v>16.625978798285779</c:v>
                </c:pt>
                <c:pt idx="691">
                  <c:v>16.625978798285779</c:v>
                </c:pt>
                <c:pt idx="692">
                  <c:v>16.625978798285779</c:v>
                </c:pt>
                <c:pt idx="693">
                  <c:v>16.625978798285779</c:v>
                </c:pt>
                <c:pt idx="694">
                  <c:v>16.625978798285779</c:v>
                </c:pt>
                <c:pt idx="695">
                  <c:v>16.625978798285779</c:v>
                </c:pt>
                <c:pt idx="696">
                  <c:v>16.625978798285779</c:v>
                </c:pt>
                <c:pt idx="697">
                  <c:v>16.625978798285779</c:v>
                </c:pt>
                <c:pt idx="698">
                  <c:v>16.625978798285779</c:v>
                </c:pt>
                <c:pt idx="699">
                  <c:v>16.625978798285779</c:v>
                </c:pt>
                <c:pt idx="700">
                  <c:v>16.625978798285779</c:v>
                </c:pt>
                <c:pt idx="701">
                  <c:v>16.625978798285779</c:v>
                </c:pt>
                <c:pt idx="702">
                  <c:v>16.625978798285779</c:v>
                </c:pt>
                <c:pt idx="703">
                  <c:v>16.625978798285779</c:v>
                </c:pt>
                <c:pt idx="704">
                  <c:v>16.625978798285779</c:v>
                </c:pt>
                <c:pt idx="705">
                  <c:v>16.625978798285779</c:v>
                </c:pt>
                <c:pt idx="706">
                  <c:v>16.625978798285779</c:v>
                </c:pt>
                <c:pt idx="707">
                  <c:v>16.625978798285779</c:v>
                </c:pt>
                <c:pt idx="708">
                  <c:v>16.625978798285779</c:v>
                </c:pt>
                <c:pt idx="709">
                  <c:v>16.625978798285779</c:v>
                </c:pt>
                <c:pt idx="710">
                  <c:v>16.625978798285779</c:v>
                </c:pt>
                <c:pt idx="711">
                  <c:v>16.625978798285779</c:v>
                </c:pt>
                <c:pt idx="712">
                  <c:v>16.625978798285779</c:v>
                </c:pt>
                <c:pt idx="713">
                  <c:v>16.625978798285779</c:v>
                </c:pt>
                <c:pt idx="714">
                  <c:v>16.625978798285779</c:v>
                </c:pt>
                <c:pt idx="715">
                  <c:v>16.625978798285779</c:v>
                </c:pt>
                <c:pt idx="716">
                  <c:v>16.625978798285779</c:v>
                </c:pt>
                <c:pt idx="717">
                  <c:v>16.625978798285779</c:v>
                </c:pt>
                <c:pt idx="718">
                  <c:v>16.625978798285779</c:v>
                </c:pt>
                <c:pt idx="719">
                  <c:v>15.79467985837149</c:v>
                </c:pt>
                <c:pt idx="720">
                  <c:v>15.004945865452914</c:v>
                </c:pt>
                <c:pt idx="721">
                  <c:v>14.254698572180267</c:v>
                </c:pt>
                <c:pt idx="722">
                  <c:v>14.254698572180267</c:v>
                </c:pt>
                <c:pt idx="723">
                  <c:v>14.254698572180267</c:v>
                </c:pt>
                <c:pt idx="724">
                  <c:v>14.254698572180267</c:v>
                </c:pt>
                <c:pt idx="725">
                  <c:v>14.254698572180267</c:v>
                </c:pt>
                <c:pt idx="726">
                  <c:v>14.254698572180267</c:v>
                </c:pt>
                <c:pt idx="727">
                  <c:v>14.254698572180267</c:v>
                </c:pt>
                <c:pt idx="728">
                  <c:v>14.254698572180267</c:v>
                </c:pt>
                <c:pt idx="729">
                  <c:v>14.254698572180267</c:v>
                </c:pt>
                <c:pt idx="730">
                  <c:v>14.254698572180267</c:v>
                </c:pt>
                <c:pt idx="731">
                  <c:v>13.541963643571252</c:v>
                </c:pt>
                <c:pt idx="732">
                  <c:v>13.541963643571252</c:v>
                </c:pt>
                <c:pt idx="733">
                  <c:v>13.541963643571252</c:v>
                </c:pt>
                <c:pt idx="734">
                  <c:v>13.541963643571252</c:v>
                </c:pt>
                <c:pt idx="735">
                  <c:v>13.541963643571252</c:v>
                </c:pt>
                <c:pt idx="736">
                  <c:v>13.541963643571252</c:v>
                </c:pt>
                <c:pt idx="737">
                  <c:v>13.541963643571252</c:v>
                </c:pt>
                <c:pt idx="738">
                  <c:v>12.864865461392689</c:v>
                </c:pt>
                <c:pt idx="739">
                  <c:v>12.221622188323055</c:v>
                </c:pt>
                <c:pt idx="740">
                  <c:v>12.221622188323055</c:v>
                </c:pt>
                <c:pt idx="741">
                  <c:v>12.221622188323055</c:v>
                </c:pt>
                <c:pt idx="742">
                  <c:v>12.221622188323055</c:v>
                </c:pt>
                <c:pt idx="743">
                  <c:v>12.221622188323055</c:v>
                </c:pt>
                <c:pt idx="744">
                  <c:v>12.221622188323055</c:v>
                </c:pt>
                <c:pt idx="745">
                  <c:v>12.221622188323055</c:v>
                </c:pt>
                <c:pt idx="746">
                  <c:v>12.221622188323055</c:v>
                </c:pt>
                <c:pt idx="747">
                  <c:v>12.221622188323055</c:v>
                </c:pt>
                <c:pt idx="748">
                  <c:v>11.610541078906902</c:v>
                </c:pt>
                <c:pt idx="749">
                  <c:v>11.610541078906902</c:v>
                </c:pt>
                <c:pt idx="750">
                  <c:v>11.610541078906902</c:v>
                </c:pt>
                <c:pt idx="751">
                  <c:v>11.610541078906902</c:v>
                </c:pt>
                <c:pt idx="752">
                  <c:v>11.610541078906902</c:v>
                </c:pt>
                <c:pt idx="753">
                  <c:v>11.610541078906902</c:v>
                </c:pt>
                <c:pt idx="754">
                  <c:v>11.610541078906902</c:v>
                </c:pt>
                <c:pt idx="755">
                  <c:v>11.610541078906902</c:v>
                </c:pt>
                <c:pt idx="756">
                  <c:v>11.610541078906902</c:v>
                </c:pt>
                <c:pt idx="757">
                  <c:v>11.610541078906902</c:v>
                </c:pt>
                <c:pt idx="758">
                  <c:v>11.030014024961556</c:v>
                </c:pt>
                <c:pt idx="759">
                  <c:v>11.030014024961556</c:v>
                </c:pt>
                <c:pt idx="760">
                  <c:v>11.030014024961556</c:v>
                </c:pt>
                <c:pt idx="761">
                  <c:v>10.478513323713477</c:v>
                </c:pt>
                <c:pt idx="762">
                  <c:v>9.9545876575278029</c:v>
                </c:pt>
                <c:pt idx="763">
                  <c:v>9.9545876575278029</c:v>
                </c:pt>
                <c:pt idx="764">
                  <c:v>9.9545876575278029</c:v>
                </c:pt>
                <c:pt idx="765">
                  <c:v>9.9545876575278029</c:v>
                </c:pt>
                <c:pt idx="766">
                  <c:v>9.9545876575278029</c:v>
                </c:pt>
                <c:pt idx="767">
                  <c:v>9.9545876575278029</c:v>
                </c:pt>
                <c:pt idx="768">
                  <c:v>9.9545876575278029</c:v>
                </c:pt>
                <c:pt idx="769">
                  <c:v>9.9545876575278029</c:v>
                </c:pt>
                <c:pt idx="770">
                  <c:v>9.9545876575278029</c:v>
                </c:pt>
                <c:pt idx="771">
                  <c:v>9.9545876575278029</c:v>
                </c:pt>
                <c:pt idx="772">
                  <c:v>9.9545876575278029</c:v>
                </c:pt>
                <c:pt idx="773">
                  <c:v>9.9545876575278029</c:v>
                </c:pt>
                <c:pt idx="774">
                  <c:v>9.9545876575278029</c:v>
                </c:pt>
                <c:pt idx="775">
                  <c:v>9.9545876575278029</c:v>
                </c:pt>
                <c:pt idx="776">
                  <c:v>9.9545876575278029</c:v>
                </c:pt>
                <c:pt idx="777">
                  <c:v>9.9545876575278029</c:v>
                </c:pt>
                <c:pt idx="778">
                  <c:v>9.9545876575278029</c:v>
                </c:pt>
                <c:pt idx="779">
                  <c:v>9.9545876575278029</c:v>
                </c:pt>
                <c:pt idx="780">
                  <c:v>9.9545876575278029</c:v>
                </c:pt>
                <c:pt idx="781">
                  <c:v>9.9545876575278029</c:v>
                </c:pt>
                <c:pt idx="782">
                  <c:v>9.9545876575278029</c:v>
                </c:pt>
                <c:pt idx="783">
                  <c:v>9.9545876575278029</c:v>
                </c:pt>
                <c:pt idx="784">
                  <c:v>9.9545876575278029</c:v>
                </c:pt>
                <c:pt idx="785">
                  <c:v>9.9545876575278029</c:v>
                </c:pt>
                <c:pt idx="786">
                  <c:v>9.9545876575278029</c:v>
                </c:pt>
                <c:pt idx="787">
                  <c:v>9.9545876575278029</c:v>
                </c:pt>
                <c:pt idx="788">
                  <c:v>9.9545876575278029</c:v>
                </c:pt>
                <c:pt idx="789">
                  <c:v>9.9545876575278029</c:v>
                </c:pt>
                <c:pt idx="790">
                  <c:v>9.9545876575278029</c:v>
                </c:pt>
                <c:pt idx="791">
                  <c:v>9.9545876575278029</c:v>
                </c:pt>
                <c:pt idx="792">
                  <c:v>9.9545876575278029</c:v>
                </c:pt>
                <c:pt idx="793">
                  <c:v>9.9545876575278029</c:v>
                </c:pt>
                <c:pt idx="794">
                  <c:v>9.9545876575278029</c:v>
                </c:pt>
                <c:pt idx="795">
                  <c:v>9.9545876575278029</c:v>
                </c:pt>
                <c:pt idx="796">
                  <c:v>9.9545876575278029</c:v>
                </c:pt>
                <c:pt idx="797">
                  <c:v>9.9545876575278029</c:v>
                </c:pt>
                <c:pt idx="798">
                  <c:v>9.9545876575278029</c:v>
                </c:pt>
                <c:pt idx="799">
                  <c:v>9.9545876575278029</c:v>
                </c:pt>
                <c:pt idx="800">
                  <c:v>9.9545876575278029</c:v>
                </c:pt>
                <c:pt idx="801">
                  <c:v>9.9545876575278029</c:v>
                </c:pt>
                <c:pt idx="802">
                  <c:v>9.9545876575278029</c:v>
                </c:pt>
                <c:pt idx="803">
                  <c:v>9.9545876575278029</c:v>
                </c:pt>
                <c:pt idx="804">
                  <c:v>9.9545876575278029</c:v>
                </c:pt>
                <c:pt idx="805">
                  <c:v>9.9545876575278029</c:v>
                </c:pt>
                <c:pt idx="806">
                  <c:v>9.9545876575278029</c:v>
                </c:pt>
                <c:pt idx="807">
                  <c:v>9.9545876575278029</c:v>
                </c:pt>
                <c:pt idx="808">
                  <c:v>9.9545876575278029</c:v>
                </c:pt>
                <c:pt idx="809">
                  <c:v>9.9545876575278029</c:v>
                </c:pt>
                <c:pt idx="810">
                  <c:v>9.9545876575278029</c:v>
                </c:pt>
                <c:pt idx="811">
                  <c:v>9.9545876575278029</c:v>
                </c:pt>
                <c:pt idx="812">
                  <c:v>9.9545876575278029</c:v>
                </c:pt>
                <c:pt idx="813">
                  <c:v>9.9545876575278029</c:v>
                </c:pt>
                <c:pt idx="814">
                  <c:v>9.9545876575278029</c:v>
                </c:pt>
                <c:pt idx="815">
                  <c:v>9.9545876575278029</c:v>
                </c:pt>
                <c:pt idx="816">
                  <c:v>9.9545876575278029</c:v>
                </c:pt>
                <c:pt idx="817">
                  <c:v>9.9545876575278029</c:v>
                </c:pt>
                <c:pt idx="818">
                  <c:v>9.9545876575278029</c:v>
                </c:pt>
                <c:pt idx="819">
                  <c:v>9.9545876575278029</c:v>
                </c:pt>
                <c:pt idx="820">
                  <c:v>9.4568582746514132</c:v>
                </c:pt>
                <c:pt idx="821">
                  <c:v>8.9840153609188427</c:v>
                </c:pt>
                <c:pt idx="822">
                  <c:v>8.9840153609188427</c:v>
                </c:pt>
                <c:pt idx="823">
                  <c:v>8.9840153609188427</c:v>
                </c:pt>
                <c:pt idx="824">
                  <c:v>8.9840153609188427</c:v>
                </c:pt>
                <c:pt idx="825">
                  <c:v>8.9840153609188427</c:v>
                </c:pt>
                <c:pt idx="826">
                  <c:v>8.9840153609188427</c:v>
                </c:pt>
                <c:pt idx="827">
                  <c:v>8.9840153609188427</c:v>
                </c:pt>
                <c:pt idx="828">
                  <c:v>8.9840153609188427</c:v>
                </c:pt>
                <c:pt idx="829">
                  <c:v>8.9840153609188427</c:v>
                </c:pt>
                <c:pt idx="830">
                  <c:v>8.9840153609188427</c:v>
                </c:pt>
                <c:pt idx="831">
                  <c:v>8.9840153609188427</c:v>
                </c:pt>
                <c:pt idx="832">
                  <c:v>8.9840153609188427</c:v>
                </c:pt>
                <c:pt idx="833">
                  <c:v>8.9840153609188427</c:v>
                </c:pt>
                <c:pt idx="834">
                  <c:v>8.9840153609188427</c:v>
                </c:pt>
                <c:pt idx="835">
                  <c:v>8.9840153609188427</c:v>
                </c:pt>
                <c:pt idx="836">
                  <c:v>8.9840153609188427</c:v>
                </c:pt>
                <c:pt idx="837">
                  <c:v>8.9840153609188427</c:v>
                </c:pt>
                <c:pt idx="838">
                  <c:v>8.9840153609188427</c:v>
                </c:pt>
                <c:pt idx="839">
                  <c:v>8.9840153609188427</c:v>
                </c:pt>
                <c:pt idx="840">
                  <c:v>8.9840153609188427</c:v>
                </c:pt>
                <c:pt idx="841">
                  <c:v>8.9840153609188427</c:v>
                </c:pt>
                <c:pt idx="842">
                  <c:v>8.9840153609188427</c:v>
                </c:pt>
                <c:pt idx="843">
                  <c:v>8.9840153609188427</c:v>
                </c:pt>
                <c:pt idx="844">
                  <c:v>8.9840153609188427</c:v>
                </c:pt>
                <c:pt idx="845">
                  <c:v>8.9840153609188427</c:v>
                </c:pt>
                <c:pt idx="846">
                  <c:v>8.9840153609188427</c:v>
                </c:pt>
                <c:pt idx="847">
                  <c:v>8.9840153609188427</c:v>
                </c:pt>
                <c:pt idx="848">
                  <c:v>8.9840153609188427</c:v>
                </c:pt>
                <c:pt idx="849">
                  <c:v>8.9840153609188427</c:v>
                </c:pt>
                <c:pt idx="850">
                  <c:v>8.9840153609188427</c:v>
                </c:pt>
                <c:pt idx="851">
                  <c:v>8.9840153609188427</c:v>
                </c:pt>
                <c:pt idx="852">
                  <c:v>8.9840153609188427</c:v>
                </c:pt>
                <c:pt idx="853">
                  <c:v>8.9840153609188427</c:v>
                </c:pt>
                <c:pt idx="854">
                  <c:v>8.9840153609188427</c:v>
                </c:pt>
                <c:pt idx="855">
                  <c:v>8.9840153609188427</c:v>
                </c:pt>
                <c:pt idx="856">
                  <c:v>8.9840153609188427</c:v>
                </c:pt>
                <c:pt idx="857">
                  <c:v>8.9840153609188427</c:v>
                </c:pt>
                <c:pt idx="858">
                  <c:v>8.9840153609188427</c:v>
                </c:pt>
                <c:pt idx="859">
                  <c:v>8.9840153609188427</c:v>
                </c:pt>
                <c:pt idx="860">
                  <c:v>8.9840153609188427</c:v>
                </c:pt>
                <c:pt idx="861">
                  <c:v>8.9840153609188427</c:v>
                </c:pt>
                <c:pt idx="862">
                  <c:v>8.9840153609188427</c:v>
                </c:pt>
                <c:pt idx="863">
                  <c:v>8.9840153609188427</c:v>
                </c:pt>
                <c:pt idx="864">
                  <c:v>8.9840153609188427</c:v>
                </c:pt>
                <c:pt idx="865">
                  <c:v>8.9840153609188427</c:v>
                </c:pt>
                <c:pt idx="866">
                  <c:v>8.9840153609188427</c:v>
                </c:pt>
                <c:pt idx="867">
                  <c:v>8.9840153609188427</c:v>
                </c:pt>
                <c:pt idx="868">
                  <c:v>8.9840153609188427</c:v>
                </c:pt>
                <c:pt idx="869">
                  <c:v>8.9840153609188427</c:v>
                </c:pt>
                <c:pt idx="870">
                  <c:v>8.9840153609188427</c:v>
                </c:pt>
                <c:pt idx="871">
                  <c:v>8.9840153609188427</c:v>
                </c:pt>
                <c:pt idx="872">
                  <c:v>8.9840153609188427</c:v>
                </c:pt>
                <c:pt idx="873">
                  <c:v>8.9840153609188427</c:v>
                </c:pt>
                <c:pt idx="874">
                  <c:v>8.9840153609188427</c:v>
                </c:pt>
                <c:pt idx="875">
                  <c:v>8.9840153609188427</c:v>
                </c:pt>
                <c:pt idx="876">
                  <c:v>8.9840153609188427</c:v>
                </c:pt>
                <c:pt idx="877">
                  <c:v>8.9840153609188427</c:v>
                </c:pt>
                <c:pt idx="878">
                  <c:v>8.9840153609188427</c:v>
                </c:pt>
                <c:pt idx="879">
                  <c:v>8.9840153609188427</c:v>
                </c:pt>
                <c:pt idx="880">
                  <c:v>8.9840153609188427</c:v>
                </c:pt>
                <c:pt idx="881">
                  <c:v>8.9840153609188427</c:v>
                </c:pt>
                <c:pt idx="882">
                  <c:v>8.9840153609188427</c:v>
                </c:pt>
                <c:pt idx="883">
                  <c:v>8.9840153609188427</c:v>
                </c:pt>
                <c:pt idx="884">
                  <c:v>8.9840153609188427</c:v>
                </c:pt>
                <c:pt idx="885">
                  <c:v>8.9840153609188427</c:v>
                </c:pt>
                <c:pt idx="886">
                  <c:v>8.9840153609188427</c:v>
                </c:pt>
                <c:pt idx="887">
                  <c:v>8.9840153609188427</c:v>
                </c:pt>
                <c:pt idx="888">
                  <c:v>8.9840153609188427</c:v>
                </c:pt>
                <c:pt idx="889">
                  <c:v>8.9840153609188427</c:v>
                </c:pt>
                <c:pt idx="890">
                  <c:v>8.9840153609188427</c:v>
                </c:pt>
                <c:pt idx="891">
                  <c:v>8.9840153609188427</c:v>
                </c:pt>
                <c:pt idx="892">
                  <c:v>8.9840153609188427</c:v>
                </c:pt>
                <c:pt idx="893">
                  <c:v>8.9840153609188427</c:v>
                </c:pt>
                <c:pt idx="894">
                  <c:v>8.9840153609188427</c:v>
                </c:pt>
                <c:pt idx="895">
                  <c:v>8.9840153609188427</c:v>
                </c:pt>
                <c:pt idx="896">
                  <c:v>8.9840153609188427</c:v>
                </c:pt>
                <c:pt idx="897">
                  <c:v>8.9840153609188427</c:v>
                </c:pt>
                <c:pt idx="898">
                  <c:v>8.9840153609188427</c:v>
                </c:pt>
                <c:pt idx="899">
                  <c:v>8.9840153609188427</c:v>
                </c:pt>
                <c:pt idx="900">
                  <c:v>8.9840153609188427</c:v>
                </c:pt>
                <c:pt idx="901">
                  <c:v>8.9840153609188427</c:v>
                </c:pt>
                <c:pt idx="902">
                  <c:v>8.9840153609188427</c:v>
                </c:pt>
                <c:pt idx="903">
                  <c:v>8.9840153609188427</c:v>
                </c:pt>
                <c:pt idx="904">
                  <c:v>8.9840153609188427</c:v>
                </c:pt>
                <c:pt idx="905">
                  <c:v>8.9840153609188427</c:v>
                </c:pt>
                <c:pt idx="906">
                  <c:v>8.9840153609188427</c:v>
                </c:pt>
                <c:pt idx="907">
                  <c:v>8.9840153609188427</c:v>
                </c:pt>
                <c:pt idx="908">
                  <c:v>8.9840153609188427</c:v>
                </c:pt>
                <c:pt idx="909">
                  <c:v>8.9840153609188427</c:v>
                </c:pt>
                <c:pt idx="910">
                  <c:v>8.9840153609188427</c:v>
                </c:pt>
                <c:pt idx="911">
                  <c:v>8.9840153609188427</c:v>
                </c:pt>
                <c:pt idx="912">
                  <c:v>8.9840153609188427</c:v>
                </c:pt>
                <c:pt idx="913">
                  <c:v>8.9840153609188427</c:v>
                </c:pt>
                <c:pt idx="914">
                  <c:v>8.9840153609188427</c:v>
                </c:pt>
                <c:pt idx="915">
                  <c:v>8.9840153609188427</c:v>
                </c:pt>
                <c:pt idx="916">
                  <c:v>8.9840153609188427</c:v>
                </c:pt>
                <c:pt idx="917">
                  <c:v>8.9840153609188427</c:v>
                </c:pt>
                <c:pt idx="918">
                  <c:v>8.9840153609188427</c:v>
                </c:pt>
                <c:pt idx="919">
                  <c:v>8.9840153609188427</c:v>
                </c:pt>
                <c:pt idx="920">
                  <c:v>8.9840153609188427</c:v>
                </c:pt>
                <c:pt idx="921">
                  <c:v>8.9840153609188427</c:v>
                </c:pt>
                <c:pt idx="922">
                  <c:v>8.9840153609188427</c:v>
                </c:pt>
                <c:pt idx="923">
                  <c:v>8.9840153609188427</c:v>
                </c:pt>
                <c:pt idx="924">
                  <c:v>8.9840153609188427</c:v>
                </c:pt>
                <c:pt idx="925">
                  <c:v>8.9840153609188427</c:v>
                </c:pt>
                <c:pt idx="926">
                  <c:v>8.9840153609188427</c:v>
                </c:pt>
                <c:pt idx="927">
                  <c:v>8.9840153609188427</c:v>
                </c:pt>
                <c:pt idx="928">
                  <c:v>8.9840153609188427</c:v>
                </c:pt>
                <c:pt idx="929">
                  <c:v>8.9840153609188427</c:v>
                </c:pt>
                <c:pt idx="930">
                  <c:v>8.9840153609188427</c:v>
                </c:pt>
                <c:pt idx="931">
                  <c:v>8.9840153609188427</c:v>
                </c:pt>
                <c:pt idx="932">
                  <c:v>8.9840153609188427</c:v>
                </c:pt>
                <c:pt idx="933">
                  <c:v>8.9840153609188427</c:v>
                </c:pt>
                <c:pt idx="934">
                  <c:v>8.9840153609188427</c:v>
                </c:pt>
                <c:pt idx="935">
                  <c:v>8.9840153609188427</c:v>
                </c:pt>
                <c:pt idx="936">
                  <c:v>8.9840153609188427</c:v>
                </c:pt>
                <c:pt idx="937">
                  <c:v>8.9840153609188427</c:v>
                </c:pt>
                <c:pt idx="938">
                  <c:v>8.9840153609188427</c:v>
                </c:pt>
                <c:pt idx="939">
                  <c:v>8.9840153609188427</c:v>
                </c:pt>
                <c:pt idx="940">
                  <c:v>8.9840153609188427</c:v>
                </c:pt>
                <c:pt idx="941">
                  <c:v>8.9840153609188427</c:v>
                </c:pt>
                <c:pt idx="942">
                  <c:v>8.9840153609188427</c:v>
                </c:pt>
                <c:pt idx="943">
                  <c:v>8.9840153609188427</c:v>
                </c:pt>
                <c:pt idx="944">
                  <c:v>8.9840153609188427</c:v>
                </c:pt>
                <c:pt idx="945">
                  <c:v>8.9840153609188427</c:v>
                </c:pt>
                <c:pt idx="946">
                  <c:v>8.9840153609188427</c:v>
                </c:pt>
                <c:pt idx="947">
                  <c:v>8.9840153609188427</c:v>
                </c:pt>
                <c:pt idx="948">
                  <c:v>8.9840153609188427</c:v>
                </c:pt>
                <c:pt idx="949">
                  <c:v>8.9840153609188427</c:v>
                </c:pt>
                <c:pt idx="950">
                  <c:v>8.9840153609188427</c:v>
                </c:pt>
                <c:pt idx="951">
                  <c:v>8.9840153609188427</c:v>
                </c:pt>
                <c:pt idx="952">
                  <c:v>8.9840153609188427</c:v>
                </c:pt>
                <c:pt idx="953">
                  <c:v>8.9840153609188427</c:v>
                </c:pt>
                <c:pt idx="954">
                  <c:v>8.9840153609188427</c:v>
                </c:pt>
                <c:pt idx="955">
                  <c:v>8.9840153609188427</c:v>
                </c:pt>
                <c:pt idx="956">
                  <c:v>8.9840153609188427</c:v>
                </c:pt>
                <c:pt idx="957">
                  <c:v>8.9840153609188427</c:v>
                </c:pt>
                <c:pt idx="958">
                  <c:v>8.9840153609188427</c:v>
                </c:pt>
                <c:pt idx="959">
                  <c:v>8.9840153609188427</c:v>
                </c:pt>
                <c:pt idx="960">
                  <c:v>8.9840153609188427</c:v>
                </c:pt>
                <c:pt idx="961">
                  <c:v>8.9840153609188427</c:v>
                </c:pt>
                <c:pt idx="962">
                  <c:v>8.9840153609188427</c:v>
                </c:pt>
                <c:pt idx="963">
                  <c:v>8.9840153609188427</c:v>
                </c:pt>
                <c:pt idx="964">
                  <c:v>8.9840153609188427</c:v>
                </c:pt>
                <c:pt idx="965">
                  <c:v>8.9840153609188427</c:v>
                </c:pt>
                <c:pt idx="966">
                  <c:v>8.9840153609188427</c:v>
                </c:pt>
                <c:pt idx="967">
                  <c:v>8.9840153609188427</c:v>
                </c:pt>
                <c:pt idx="968">
                  <c:v>8.9840153609188427</c:v>
                </c:pt>
                <c:pt idx="969">
                  <c:v>8.9840153609188427</c:v>
                </c:pt>
                <c:pt idx="970">
                  <c:v>8.9840153609188427</c:v>
                </c:pt>
                <c:pt idx="971">
                  <c:v>8.9840153609188427</c:v>
                </c:pt>
                <c:pt idx="972">
                  <c:v>8.9840153609188427</c:v>
                </c:pt>
                <c:pt idx="973">
                  <c:v>8.9840153609188427</c:v>
                </c:pt>
                <c:pt idx="974">
                  <c:v>8.9840153609188427</c:v>
                </c:pt>
                <c:pt idx="975">
                  <c:v>8.9840153609188427</c:v>
                </c:pt>
                <c:pt idx="976">
                  <c:v>8.9840153609188427</c:v>
                </c:pt>
                <c:pt idx="977">
                  <c:v>8.9840153609188427</c:v>
                </c:pt>
                <c:pt idx="978">
                  <c:v>8.9840153609188427</c:v>
                </c:pt>
                <c:pt idx="979">
                  <c:v>8.9840153609188427</c:v>
                </c:pt>
                <c:pt idx="980">
                  <c:v>8.9840153609188427</c:v>
                </c:pt>
                <c:pt idx="981">
                  <c:v>8.9840153609188427</c:v>
                </c:pt>
                <c:pt idx="982">
                  <c:v>8.9840153609188427</c:v>
                </c:pt>
                <c:pt idx="983">
                  <c:v>8.9840153609188427</c:v>
                </c:pt>
                <c:pt idx="984">
                  <c:v>8.9840153609188427</c:v>
                </c:pt>
                <c:pt idx="985">
                  <c:v>8.9840153609188427</c:v>
                </c:pt>
                <c:pt idx="986">
                  <c:v>8.9840153609188427</c:v>
                </c:pt>
                <c:pt idx="987">
                  <c:v>8.9840153609188427</c:v>
                </c:pt>
                <c:pt idx="988">
                  <c:v>8.9840153609188427</c:v>
                </c:pt>
                <c:pt idx="989">
                  <c:v>8.9840153609188427</c:v>
                </c:pt>
                <c:pt idx="990">
                  <c:v>8.9840153609188427</c:v>
                </c:pt>
                <c:pt idx="991">
                  <c:v>8.9840153609188427</c:v>
                </c:pt>
                <c:pt idx="992">
                  <c:v>8.9840153609188427</c:v>
                </c:pt>
                <c:pt idx="993">
                  <c:v>8.9840153609188427</c:v>
                </c:pt>
                <c:pt idx="994">
                  <c:v>8.9840153609188427</c:v>
                </c:pt>
                <c:pt idx="995">
                  <c:v>8.9840153609188427</c:v>
                </c:pt>
                <c:pt idx="996">
                  <c:v>8.9840153609188427</c:v>
                </c:pt>
                <c:pt idx="997">
                  <c:v>8.9840153609188427</c:v>
                </c:pt>
                <c:pt idx="998">
                  <c:v>8.9840153609188427</c:v>
                </c:pt>
                <c:pt idx="999">
                  <c:v>8.9840153609188427</c:v>
                </c:pt>
                <c:pt idx="1000">
                  <c:v>8.9840153609188427</c:v>
                </c:pt>
                <c:pt idx="1001">
                  <c:v>8.9840153609188427</c:v>
                </c:pt>
                <c:pt idx="1002">
                  <c:v>8.9840153609188427</c:v>
                </c:pt>
                <c:pt idx="1003">
                  <c:v>8.9840153609188427</c:v>
                </c:pt>
                <c:pt idx="1004">
                  <c:v>8.9840153609188427</c:v>
                </c:pt>
                <c:pt idx="1005">
                  <c:v>8.9840153609188427</c:v>
                </c:pt>
                <c:pt idx="1006">
                  <c:v>8.9840153609188427</c:v>
                </c:pt>
                <c:pt idx="1007">
                  <c:v>8.9840153609188427</c:v>
                </c:pt>
                <c:pt idx="1008">
                  <c:v>8.9840153609188427</c:v>
                </c:pt>
                <c:pt idx="1009">
                  <c:v>8.9840153609188427</c:v>
                </c:pt>
                <c:pt idx="1010">
                  <c:v>8.9840153609188427</c:v>
                </c:pt>
                <c:pt idx="1011">
                  <c:v>8.9840153609188427</c:v>
                </c:pt>
                <c:pt idx="1012">
                  <c:v>8.9840153609188427</c:v>
                </c:pt>
                <c:pt idx="1013">
                  <c:v>8.9840153609188427</c:v>
                </c:pt>
                <c:pt idx="1014">
                  <c:v>8.9840153609188427</c:v>
                </c:pt>
                <c:pt idx="1015">
                  <c:v>8.9840153609188427</c:v>
                </c:pt>
                <c:pt idx="1016">
                  <c:v>8.9840153609188427</c:v>
                </c:pt>
                <c:pt idx="1017">
                  <c:v>8.9840153609188427</c:v>
                </c:pt>
                <c:pt idx="1018">
                  <c:v>8.9840153609188427</c:v>
                </c:pt>
                <c:pt idx="1019">
                  <c:v>8.9840153609188427</c:v>
                </c:pt>
                <c:pt idx="1020">
                  <c:v>8.9840153609188427</c:v>
                </c:pt>
                <c:pt idx="1021">
                  <c:v>8.9840153609188427</c:v>
                </c:pt>
                <c:pt idx="1022">
                  <c:v>8.9840153609188427</c:v>
                </c:pt>
                <c:pt idx="1023">
                  <c:v>8.9840153609188427</c:v>
                </c:pt>
                <c:pt idx="1024">
                  <c:v>8.9840153609188427</c:v>
                </c:pt>
                <c:pt idx="1025">
                  <c:v>8.9840153609188427</c:v>
                </c:pt>
                <c:pt idx="1026">
                  <c:v>8.9840153609188427</c:v>
                </c:pt>
                <c:pt idx="1027">
                  <c:v>8.9840153609188427</c:v>
                </c:pt>
                <c:pt idx="1028">
                  <c:v>8.9840153609188427</c:v>
                </c:pt>
                <c:pt idx="1029">
                  <c:v>8.9840153609188427</c:v>
                </c:pt>
                <c:pt idx="1030">
                  <c:v>8.9840153609188427</c:v>
                </c:pt>
                <c:pt idx="1031">
                  <c:v>8.9840153609188427</c:v>
                </c:pt>
                <c:pt idx="1032">
                  <c:v>8.9840153609188427</c:v>
                </c:pt>
                <c:pt idx="1033">
                  <c:v>8.9840153609188427</c:v>
                </c:pt>
                <c:pt idx="1034">
                  <c:v>8.9840153609188427</c:v>
                </c:pt>
                <c:pt idx="1035">
                  <c:v>8.9840153609188427</c:v>
                </c:pt>
                <c:pt idx="1036">
                  <c:v>8.9840153609188427</c:v>
                </c:pt>
                <c:pt idx="1037">
                  <c:v>8.9840153609188427</c:v>
                </c:pt>
                <c:pt idx="1038">
                  <c:v>8.9840153609188427</c:v>
                </c:pt>
                <c:pt idx="1039">
                  <c:v>8.9840153609188427</c:v>
                </c:pt>
                <c:pt idx="1040">
                  <c:v>8.9840153609188427</c:v>
                </c:pt>
                <c:pt idx="1041">
                  <c:v>8.9840153609188427</c:v>
                </c:pt>
                <c:pt idx="1042">
                  <c:v>8.9840153609188427</c:v>
                </c:pt>
                <c:pt idx="1043">
                  <c:v>8.9840153609188427</c:v>
                </c:pt>
                <c:pt idx="1044">
                  <c:v>8.9840153609188427</c:v>
                </c:pt>
                <c:pt idx="1045">
                  <c:v>8.9840153609188427</c:v>
                </c:pt>
                <c:pt idx="1046">
                  <c:v>8.9840153609188427</c:v>
                </c:pt>
                <c:pt idx="1047">
                  <c:v>8.9840153609188427</c:v>
                </c:pt>
                <c:pt idx="1048">
                  <c:v>8.9840153609188427</c:v>
                </c:pt>
                <c:pt idx="1049">
                  <c:v>8.9840153609188427</c:v>
                </c:pt>
                <c:pt idx="1050">
                  <c:v>8.9840153609188427</c:v>
                </c:pt>
                <c:pt idx="1051">
                  <c:v>8.9840153609188427</c:v>
                </c:pt>
                <c:pt idx="1052">
                  <c:v>8.9840153609188427</c:v>
                </c:pt>
                <c:pt idx="1053">
                  <c:v>8.9840153609188427</c:v>
                </c:pt>
                <c:pt idx="1054">
                  <c:v>8.9840153609188427</c:v>
                </c:pt>
                <c:pt idx="1055">
                  <c:v>8.9840153609188427</c:v>
                </c:pt>
                <c:pt idx="1056">
                  <c:v>8.9840153609188427</c:v>
                </c:pt>
                <c:pt idx="1057">
                  <c:v>8.9840153609188427</c:v>
                </c:pt>
                <c:pt idx="1058">
                  <c:v>8.9840153609188427</c:v>
                </c:pt>
                <c:pt idx="1059">
                  <c:v>8.9840153609188427</c:v>
                </c:pt>
                <c:pt idx="1060">
                  <c:v>8.9840153609188427</c:v>
                </c:pt>
                <c:pt idx="1061">
                  <c:v>8.9840153609188427</c:v>
                </c:pt>
                <c:pt idx="1062">
                  <c:v>8.9840153609188427</c:v>
                </c:pt>
                <c:pt idx="1063">
                  <c:v>8.9840153609188427</c:v>
                </c:pt>
                <c:pt idx="1064">
                  <c:v>8.9840153609188427</c:v>
                </c:pt>
                <c:pt idx="1065">
                  <c:v>8.9840153609188427</c:v>
                </c:pt>
                <c:pt idx="1066">
                  <c:v>8.9840153609188427</c:v>
                </c:pt>
                <c:pt idx="1067">
                  <c:v>8.9840153609188427</c:v>
                </c:pt>
                <c:pt idx="1068">
                  <c:v>8.9840153609188427</c:v>
                </c:pt>
                <c:pt idx="1069">
                  <c:v>8.9840153609188427</c:v>
                </c:pt>
                <c:pt idx="1070">
                  <c:v>8.9840153609188427</c:v>
                </c:pt>
                <c:pt idx="1071">
                  <c:v>8.9840153609188427</c:v>
                </c:pt>
                <c:pt idx="1072">
                  <c:v>8.9840153609188427</c:v>
                </c:pt>
                <c:pt idx="1073">
                  <c:v>8.9840153609188427</c:v>
                </c:pt>
                <c:pt idx="1074">
                  <c:v>8.9840153609188427</c:v>
                </c:pt>
                <c:pt idx="1075">
                  <c:v>8.9840153609188427</c:v>
                </c:pt>
                <c:pt idx="1076">
                  <c:v>8.9840153609188427</c:v>
                </c:pt>
                <c:pt idx="1077">
                  <c:v>8.9840153609188427</c:v>
                </c:pt>
                <c:pt idx="1078">
                  <c:v>8.9840153609188427</c:v>
                </c:pt>
                <c:pt idx="1079">
                  <c:v>8.9840153609188427</c:v>
                </c:pt>
                <c:pt idx="1080">
                  <c:v>8.9840153609188427</c:v>
                </c:pt>
                <c:pt idx="1081">
                  <c:v>8.9840153609188427</c:v>
                </c:pt>
                <c:pt idx="1082">
                  <c:v>8.9840153609188427</c:v>
                </c:pt>
                <c:pt idx="1083">
                  <c:v>8.9840153609188427</c:v>
                </c:pt>
                <c:pt idx="1084">
                  <c:v>8.9840153609188427</c:v>
                </c:pt>
                <c:pt idx="1085">
                  <c:v>8.9840153609188427</c:v>
                </c:pt>
                <c:pt idx="1086">
                  <c:v>8.9840153609188427</c:v>
                </c:pt>
                <c:pt idx="1087">
                  <c:v>8.9840153609188427</c:v>
                </c:pt>
                <c:pt idx="1088">
                  <c:v>8.9840153609188427</c:v>
                </c:pt>
                <c:pt idx="1089">
                  <c:v>8.9840153609188427</c:v>
                </c:pt>
                <c:pt idx="1090">
                  <c:v>8.9840153609188427</c:v>
                </c:pt>
                <c:pt idx="1091">
                  <c:v>8.9840153609188427</c:v>
                </c:pt>
                <c:pt idx="1092">
                  <c:v>8.9840153609188427</c:v>
                </c:pt>
                <c:pt idx="1093">
                  <c:v>8.9840153609188427</c:v>
                </c:pt>
                <c:pt idx="1094">
                  <c:v>8.9840153609188427</c:v>
                </c:pt>
                <c:pt idx="1095">
                  <c:v>8.9840153609188427</c:v>
                </c:pt>
                <c:pt idx="1096">
                  <c:v>8.9840153609188427</c:v>
                </c:pt>
                <c:pt idx="1097">
                  <c:v>8.9840153609188427</c:v>
                </c:pt>
                <c:pt idx="1098">
                  <c:v>8.9840153609188427</c:v>
                </c:pt>
                <c:pt idx="1099">
                  <c:v>8.9840153609188427</c:v>
                </c:pt>
                <c:pt idx="1100">
                  <c:v>8.9840153609188427</c:v>
                </c:pt>
                <c:pt idx="1101">
                  <c:v>8.9840153609188427</c:v>
                </c:pt>
                <c:pt idx="1102">
                  <c:v>8.9840153609188427</c:v>
                </c:pt>
                <c:pt idx="1103">
                  <c:v>8.9840153609188427</c:v>
                </c:pt>
                <c:pt idx="1104">
                  <c:v>8.9840153609188427</c:v>
                </c:pt>
                <c:pt idx="1105">
                  <c:v>8.9840153609188427</c:v>
                </c:pt>
                <c:pt idx="1106">
                  <c:v>8.9840153609188427</c:v>
                </c:pt>
                <c:pt idx="1107">
                  <c:v>8.9840153609188427</c:v>
                </c:pt>
                <c:pt idx="1108">
                  <c:v>8.9840153609188427</c:v>
                </c:pt>
                <c:pt idx="1109">
                  <c:v>8.9840153609188427</c:v>
                </c:pt>
                <c:pt idx="1110">
                  <c:v>8.9840153609188427</c:v>
                </c:pt>
                <c:pt idx="1111">
                  <c:v>8.9840153609188427</c:v>
                </c:pt>
                <c:pt idx="1112">
                  <c:v>8.9840153609188427</c:v>
                </c:pt>
                <c:pt idx="1113">
                  <c:v>8.9840153609188427</c:v>
                </c:pt>
                <c:pt idx="1114">
                  <c:v>8.9840153609188427</c:v>
                </c:pt>
                <c:pt idx="1115">
                  <c:v>8.9840153609188427</c:v>
                </c:pt>
                <c:pt idx="1116">
                  <c:v>8.9840153609188427</c:v>
                </c:pt>
                <c:pt idx="1117">
                  <c:v>8.9840153609188427</c:v>
                </c:pt>
                <c:pt idx="1118">
                  <c:v>8.9840153609188427</c:v>
                </c:pt>
                <c:pt idx="1119">
                  <c:v>8.9840153609188427</c:v>
                </c:pt>
                <c:pt idx="1120">
                  <c:v>8.9840153609188427</c:v>
                </c:pt>
                <c:pt idx="1121">
                  <c:v>8.9840153609188427</c:v>
                </c:pt>
                <c:pt idx="1122">
                  <c:v>8.9840153609188427</c:v>
                </c:pt>
                <c:pt idx="1123">
                  <c:v>8.9840153609188427</c:v>
                </c:pt>
                <c:pt idx="1124">
                  <c:v>8.9840153609188427</c:v>
                </c:pt>
                <c:pt idx="1125">
                  <c:v>8.9840153609188427</c:v>
                </c:pt>
                <c:pt idx="1126">
                  <c:v>8.9840153609188427</c:v>
                </c:pt>
                <c:pt idx="1127">
                  <c:v>8.9840153609188427</c:v>
                </c:pt>
                <c:pt idx="1128">
                  <c:v>8.9840153609188427</c:v>
                </c:pt>
                <c:pt idx="1129">
                  <c:v>8.9840153609188427</c:v>
                </c:pt>
                <c:pt idx="1130">
                  <c:v>8.9840153609188427</c:v>
                </c:pt>
                <c:pt idx="1131">
                  <c:v>8.9840153609188427</c:v>
                </c:pt>
                <c:pt idx="1132">
                  <c:v>8.9840153609188427</c:v>
                </c:pt>
                <c:pt idx="1133">
                  <c:v>8.9840153609188427</c:v>
                </c:pt>
                <c:pt idx="1134">
                  <c:v>8.9840153609188427</c:v>
                </c:pt>
                <c:pt idx="1135">
                  <c:v>8.9840153609188427</c:v>
                </c:pt>
                <c:pt idx="1136">
                  <c:v>8.9840153609188427</c:v>
                </c:pt>
                <c:pt idx="1137">
                  <c:v>8.9840153609188427</c:v>
                </c:pt>
                <c:pt idx="1138">
                  <c:v>8.9840153609188427</c:v>
                </c:pt>
                <c:pt idx="1139">
                  <c:v>8.9840153609188427</c:v>
                </c:pt>
                <c:pt idx="1140">
                  <c:v>8.9840153609188427</c:v>
                </c:pt>
                <c:pt idx="1141">
                  <c:v>8.9840153609188427</c:v>
                </c:pt>
                <c:pt idx="1142">
                  <c:v>8.9840153609188427</c:v>
                </c:pt>
                <c:pt idx="1143">
                  <c:v>8.9840153609188427</c:v>
                </c:pt>
                <c:pt idx="1144">
                  <c:v>8.9840153609188427</c:v>
                </c:pt>
                <c:pt idx="1145">
                  <c:v>8.9840153609188427</c:v>
                </c:pt>
                <c:pt idx="1146">
                  <c:v>8.9840153609188427</c:v>
                </c:pt>
                <c:pt idx="1147">
                  <c:v>8.9840153609188427</c:v>
                </c:pt>
                <c:pt idx="1148">
                  <c:v>8.9840153609188427</c:v>
                </c:pt>
                <c:pt idx="1149">
                  <c:v>8.9840153609188427</c:v>
                </c:pt>
                <c:pt idx="1150">
                  <c:v>8.9840153609188427</c:v>
                </c:pt>
                <c:pt idx="1151">
                  <c:v>8.9840153609188427</c:v>
                </c:pt>
                <c:pt idx="1152">
                  <c:v>8.9840153609188427</c:v>
                </c:pt>
                <c:pt idx="1153">
                  <c:v>8.9840153609188427</c:v>
                </c:pt>
                <c:pt idx="1154">
                  <c:v>8.9840153609188427</c:v>
                </c:pt>
                <c:pt idx="1155">
                  <c:v>8.9840153609188427</c:v>
                </c:pt>
                <c:pt idx="1156">
                  <c:v>8.9840153609188427</c:v>
                </c:pt>
                <c:pt idx="1157">
                  <c:v>8.9840153609188427</c:v>
                </c:pt>
                <c:pt idx="1158">
                  <c:v>8.9840153609188427</c:v>
                </c:pt>
                <c:pt idx="1159">
                  <c:v>8.9840153609188427</c:v>
                </c:pt>
                <c:pt idx="1160">
                  <c:v>8.9840153609188427</c:v>
                </c:pt>
                <c:pt idx="1161">
                  <c:v>8.9840153609188427</c:v>
                </c:pt>
                <c:pt idx="1162">
                  <c:v>8.9840153609188427</c:v>
                </c:pt>
                <c:pt idx="1163">
                  <c:v>8.9840153609188427</c:v>
                </c:pt>
                <c:pt idx="1164">
                  <c:v>8.9840153609188427</c:v>
                </c:pt>
                <c:pt idx="1165">
                  <c:v>8.9840153609188427</c:v>
                </c:pt>
                <c:pt idx="1166">
                  <c:v>8.9840153609188427</c:v>
                </c:pt>
                <c:pt idx="1167">
                  <c:v>8.9840153609188427</c:v>
                </c:pt>
                <c:pt idx="1168">
                  <c:v>8.9840153609188427</c:v>
                </c:pt>
                <c:pt idx="1169">
                  <c:v>8.9840153609188427</c:v>
                </c:pt>
                <c:pt idx="1170">
                  <c:v>8.9840153609188427</c:v>
                </c:pt>
                <c:pt idx="1171">
                  <c:v>8.9840153609188427</c:v>
                </c:pt>
                <c:pt idx="1172">
                  <c:v>8.9840153609188427</c:v>
                </c:pt>
                <c:pt idx="1173">
                  <c:v>8.9840153609188427</c:v>
                </c:pt>
                <c:pt idx="1174">
                  <c:v>8.9840153609188427</c:v>
                </c:pt>
                <c:pt idx="1175">
                  <c:v>8.9840153609188427</c:v>
                </c:pt>
                <c:pt idx="1176">
                  <c:v>8.9840153609188427</c:v>
                </c:pt>
                <c:pt idx="1177">
                  <c:v>8.9840153609188427</c:v>
                </c:pt>
                <c:pt idx="1178">
                  <c:v>8.9840153609188427</c:v>
                </c:pt>
                <c:pt idx="1179">
                  <c:v>8.9840153609188427</c:v>
                </c:pt>
                <c:pt idx="1180">
                  <c:v>8.9840153609188427</c:v>
                </c:pt>
                <c:pt idx="1181">
                  <c:v>8.9840153609188427</c:v>
                </c:pt>
                <c:pt idx="1182">
                  <c:v>8.9840153609188427</c:v>
                </c:pt>
                <c:pt idx="1183">
                  <c:v>8.9840153609188427</c:v>
                </c:pt>
                <c:pt idx="1184">
                  <c:v>8.9840153609188427</c:v>
                </c:pt>
                <c:pt idx="1185">
                  <c:v>8.9840153609188427</c:v>
                </c:pt>
                <c:pt idx="1186">
                  <c:v>8.9840153609188427</c:v>
                </c:pt>
                <c:pt idx="1187">
                  <c:v>8.9840153609188427</c:v>
                </c:pt>
                <c:pt idx="1188">
                  <c:v>8.9840153609188427</c:v>
                </c:pt>
                <c:pt idx="1189">
                  <c:v>8.9840153609188427</c:v>
                </c:pt>
                <c:pt idx="1190">
                  <c:v>8.9840153609188427</c:v>
                </c:pt>
                <c:pt idx="1191">
                  <c:v>8.9840153609188427</c:v>
                </c:pt>
                <c:pt idx="1192">
                  <c:v>8.9840153609188427</c:v>
                </c:pt>
                <c:pt idx="1193">
                  <c:v>8.9840153609188427</c:v>
                </c:pt>
                <c:pt idx="1194">
                  <c:v>8.9840153609188427</c:v>
                </c:pt>
                <c:pt idx="1195">
                  <c:v>8.9840153609188427</c:v>
                </c:pt>
                <c:pt idx="1196">
                  <c:v>8.9840153609188427</c:v>
                </c:pt>
                <c:pt idx="1197">
                  <c:v>8.9840153609188427</c:v>
                </c:pt>
                <c:pt idx="1198">
                  <c:v>8.9840153609188427</c:v>
                </c:pt>
                <c:pt idx="1199">
                  <c:v>8.9840153609188427</c:v>
                </c:pt>
                <c:pt idx="1200">
                  <c:v>8.9840153609188427</c:v>
                </c:pt>
                <c:pt idx="1201">
                  <c:v>8.9840153609188427</c:v>
                </c:pt>
                <c:pt idx="1202">
                  <c:v>8.9840153609188427</c:v>
                </c:pt>
                <c:pt idx="1203">
                  <c:v>8.9840153609188427</c:v>
                </c:pt>
                <c:pt idx="1204">
                  <c:v>8.9840153609188427</c:v>
                </c:pt>
                <c:pt idx="1205">
                  <c:v>8.9840153609188427</c:v>
                </c:pt>
                <c:pt idx="1206">
                  <c:v>8.9840153609188427</c:v>
                </c:pt>
                <c:pt idx="1207">
                  <c:v>8.9840153609188427</c:v>
                </c:pt>
                <c:pt idx="1208">
                  <c:v>8.9840153609188427</c:v>
                </c:pt>
                <c:pt idx="1209">
                  <c:v>8.9840153609188427</c:v>
                </c:pt>
                <c:pt idx="1210">
                  <c:v>8.9840153609188427</c:v>
                </c:pt>
                <c:pt idx="1211">
                  <c:v>8.9840153609188427</c:v>
                </c:pt>
                <c:pt idx="1212">
                  <c:v>8.9840153609188427</c:v>
                </c:pt>
                <c:pt idx="1213">
                  <c:v>8.9840153609188427</c:v>
                </c:pt>
                <c:pt idx="1214">
                  <c:v>8.9840153609188427</c:v>
                </c:pt>
                <c:pt idx="1215">
                  <c:v>8.9840153609188427</c:v>
                </c:pt>
                <c:pt idx="1216">
                  <c:v>8.9840153609188427</c:v>
                </c:pt>
                <c:pt idx="1217">
                  <c:v>8.9840153609188427</c:v>
                </c:pt>
                <c:pt idx="1218">
                  <c:v>8.9840153609188427</c:v>
                </c:pt>
                <c:pt idx="1219">
                  <c:v>8.9840153609188427</c:v>
                </c:pt>
                <c:pt idx="1220">
                  <c:v>8.9840153609188427</c:v>
                </c:pt>
                <c:pt idx="1221">
                  <c:v>8.9840153609188427</c:v>
                </c:pt>
                <c:pt idx="1222">
                  <c:v>8.9840153609188427</c:v>
                </c:pt>
                <c:pt idx="1223">
                  <c:v>8.9840153609188427</c:v>
                </c:pt>
                <c:pt idx="1224">
                  <c:v>8.9840153609188427</c:v>
                </c:pt>
                <c:pt idx="1225">
                  <c:v>8.9840153609188427</c:v>
                </c:pt>
                <c:pt idx="1226">
                  <c:v>8.9840153609188427</c:v>
                </c:pt>
                <c:pt idx="1227">
                  <c:v>8.9840153609188427</c:v>
                </c:pt>
                <c:pt idx="1228">
                  <c:v>8.9840153609188427</c:v>
                </c:pt>
                <c:pt idx="1229">
                  <c:v>8.9840153609188427</c:v>
                </c:pt>
                <c:pt idx="1230">
                  <c:v>8.9840153609188427</c:v>
                </c:pt>
                <c:pt idx="1231">
                  <c:v>8.9840153609188427</c:v>
                </c:pt>
                <c:pt idx="1232">
                  <c:v>8.9840153609188427</c:v>
                </c:pt>
                <c:pt idx="1233">
                  <c:v>8.9840153609188427</c:v>
                </c:pt>
                <c:pt idx="1234">
                  <c:v>8.9840153609188427</c:v>
                </c:pt>
                <c:pt idx="1235">
                  <c:v>8.9840153609188427</c:v>
                </c:pt>
                <c:pt idx="1236">
                  <c:v>8.9840153609188427</c:v>
                </c:pt>
                <c:pt idx="1237">
                  <c:v>8.9840153609188427</c:v>
                </c:pt>
                <c:pt idx="1238">
                  <c:v>8.9840153609188427</c:v>
                </c:pt>
                <c:pt idx="1239">
                  <c:v>8.9840153609188427</c:v>
                </c:pt>
                <c:pt idx="1240">
                  <c:v>8.9840153609188427</c:v>
                </c:pt>
                <c:pt idx="1241">
                  <c:v>8.9840153609188427</c:v>
                </c:pt>
                <c:pt idx="1242">
                  <c:v>8.9840153609188427</c:v>
                </c:pt>
                <c:pt idx="1243">
                  <c:v>8.9840153609188427</c:v>
                </c:pt>
                <c:pt idx="1244">
                  <c:v>8.9840153609188427</c:v>
                </c:pt>
                <c:pt idx="1245">
                  <c:v>8.9840153609188427</c:v>
                </c:pt>
                <c:pt idx="1246">
                  <c:v>8.9840153609188427</c:v>
                </c:pt>
                <c:pt idx="1247">
                  <c:v>8.9840153609188427</c:v>
                </c:pt>
                <c:pt idx="1248">
                  <c:v>8.9840153609188427</c:v>
                </c:pt>
                <c:pt idx="1249">
                  <c:v>8.9840153609188427</c:v>
                </c:pt>
                <c:pt idx="1250">
                  <c:v>8.9840153609188427</c:v>
                </c:pt>
                <c:pt idx="1251">
                  <c:v>8.9840153609188427</c:v>
                </c:pt>
                <c:pt idx="1252">
                  <c:v>8.9840153609188427</c:v>
                </c:pt>
                <c:pt idx="1253">
                  <c:v>8.9840153609188427</c:v>
                </c:pt>
                <c:pt idx="1254">
                  <c:v>8.9840153609188427</c:v>
                </c:pt>
                <c:pt idx="1255">
                  <c:v>8.9840153609188427</c:v>
                </c:pt>
                <c:pt idx="1256">
                  <c:v>8.9840153609188427</c:v>
                </c:pt>
                <c:pt idx="1257">
                  <c:v>8.9840153609188427</c:v>
                </c:pt>
                <c:pt idx="1258">
                  <c:v>8.9840153609188427</c:v>
                </c:pt>
                <c:pt idx="1259">
                  <c:v>8.9840153609188427</c:v>
                </c:pt>
                <c:pt idx="1260">
                  <c:v>8.9840153609188427</c:v>
                </c:pt>
                <c:pt idx="1261">
                  <c:v>8.9840153609188427</c:v>
                </c:pt>
                <c:pt idx="1262">
                  <c:v>8.9840153609188427</c:v>
                </c:pt>
                <c:pt idx="1263">
                  <c:v>8.9840153609188427</c:v>
                </c:pt>
                <c:pt idx="1264">
                  <c:v>8.9840153609188427</c:v>
                </c:pt>
                <c:pt idx="1265">
                  <c:v>8.9840153609188427</c:v>
                </c:pt>
                <c:pt idx="1266">
                  <c:v>8.9840153609188427</c:v>
                </c:pt>
                <c:pt idx="1267">
                  <c:v>8.9840153609188427</c:v>
                </c:pt>
                <c:pt idx="1268">
                  <c:v>8.9840153609188427</c:v>
                </c:pt>
                <c:pt idx="1269">
                  <c:v>8.9840153609188427</c:v>
                </c:pt>
                <c:pt idx="1270">
                  <c:v>8.9840153609188427</c:v>
                </c:pt>
                <c:pt idx="1271">
                  <c:v>8.9840153609188427</c:v>
                </c:pt>
                <c:pt idx="1272">
                  <c:v>8.9840153609188427</c:v>
                </c:pt>
                <c:pt idx="1273">
                  <c:v>8.9840153609188427</c:v>
                </c:pt>
                <c:pt idx="1274">
                  <c:v>8.9840153609188427</c:v>
                </c:pt>
                <c:pt idx="1275">
                  <c:v>8.9840153609188427</c:v>
                </c:pt>
                <c:pt idx="1276">
                  <c:v>8.9840153609188427</c:v>
                </c:pt>
                <c:pt idx="1277">
                  <c:v>8.9840153609188427</c:v>
                </c:pt>
                <c:pt idx="1278">
                  <c:v>8.9840153609188427</c:v>
                </c:pt>
                <c:pt idx="1279">
                  <c:v>8.9840153609188427</c:v>
                </c:pt>
                <c:pt idx="1280">
                  <c:v>8.9840153609188427</c:v>
                </c:pt>
                <c:pt idx="1281">
                  <c:v>8.9840153609188427</c:v>
                </c:pt>
                <c:pt idx="1282">
                  <c:v>8.9840153609188427</c:v>
                </c:pt>
                <c:pt idx="1283">
                  <c:v>8.9840153609188427</c:v>
                </c:pt>
                <c:pt idx="1284">
                  <c:v>8.9840153609188427</c:v>
                </c:pt>
                <c:pt idx="1285">
                  <c:v>8.9840153609188427</c:v>
                </c:pt>
                <c:pt idx="1286">
                  <c:v>8.9840153609188427</c:v>
                </c:pt>
                <c:pt idx="1287">
                  <c:v>8.9840153609188427</c:v>
                </c:pt>
                <c:pt idx="1288">
                  <c:v>8.9840153609188427</c:v>
                </c:pt>
                <c:pt idx="1289">
                  <c:v>8.9840153609188427</c:v>
                </c:pt>
                <c:pt idx="1290">
                  <c:v>8.9840153609188427</c:v>
                </c:pt>
                <c:pt idx="1291">
                  <c:v>8.9840153609188427</c:v>
                </c:pt>
                <c:pt idx="1292">
                  <c:v>8.9840153609188427</c:v>
                </c:pt>
                <c:pt idx="1293">
                  <c:v>8.9840153609188427</c:v>
                </c:pt>
                <c:pt idx="1294">
                  <c:v>8.9840153609188427</c:v>
                </c:pt>
                <c:pt idx="1295">
                  <c:v>8.9840153609188427</c:v>
                </c:pt>
                <c:pt idx="1296">
                  <c:v>8.9840153609188427</c:v>
                </c:pt>
                <c:pt idx="1297">
                  <c:v>8.9840153609188427</c:v>
                </c:pt>
                <c:pt idx="1298">
                  <c:v>8.9840153609188427</c:v>
                </c:pt>
                <c:pt idx="1299">
                  <c:v>8.9840153609188427</c:v>
                </c:pt>
                <c:pt idx="1300">
                  <c:v>8.9840153609188427</c:v>
                </c:pt>
                <c:pt idx="1301">
                  <c:v>8.9840153609188427</c:v>
                </c:pt>
                <c:pt idx="1302">
                  <c:v>8.9840153609188427</c:v>
                </c:pt>
                <c:pt idx="1303">
                  <c:v>8.9840153609188427</c:v>
                </c:pt>
                <c:pt idx="1304">
                  <c:v>8.9840153609188427</c:v>
                </c:pt>
                <c:pt idx="1305">
                  <c:v>8.9840153609188427</c:v>
                </c:pt>
                <c:pt idx="1306">
                  <c:v>8.9840153609188427</c:v>
                </c:pt>
                <c:pt idx="1307">
                  <c:v>8.9840153609188427</c:v>
                </c:pt>
                <c:pt idx="1308">
                  <c:v>8.9840153609188427</c:v>
                </c:pt>
                <c:pt idx="1309">
                  <c:v>8.9840153609188427</c:v>
                </c:pt>
                <c:pt idx="1310">
                  <c:v>8.9840153609188427</c:v>
                </c:pt>
                <c:pt idx="1311">
                  <c:v>8.9840153609188427</c:v>
                </c:pt>
                <c:pt idx="1312">
                  <c:v>8.9840153609188427</c:v>
                </c:pt>
                <c:pt idx="1313">
                  <c:v>8.9840153609188427</c:v>
                </c:pt>
                <c:pt idx="1314">
                  <c:v>8.9840153609188427</c:v>
                </c:pt>
                <c:pt idx="1315">
                  <c:v>8.9840153609188427</c:v>
                </c:pt>
                <c:pt idx="1316">
                  <c:v>8.9840153609188427</c:v>
                </c:pt>
                <c:pt idx="1317">
                  <c:v>8.9840153609188427</c:v>
                </c:pt>
                <c:pt idx="1318">
                  <c:v>8.9840153609188427</c:v>
                </c:pt>
                <c:pt idx="1319">
                  <c:v>8.9840153609188427</c:v>
                </c:pt>
                <c:pt idx="1320">
                  <c:v>8.9840153609188427</c:v>
                </c:pt>
                <c:pt idx="1321">
                  <c:v>8.9840153609188427</c:v>
                </c:pt>
                <c:pt idx="1322">
                  <c:v>8.9840153609188427</c:v>
                </c:pt>
                <c:pt idx="1323">
                  <c:v>8.9840153609188427</c:v>
                </c:pt>
                <c:pt idx="1324">
                  <c:v>8.9840153609188427</c:v>
                </c:pt>
                <c:pt idx="1325">
                  <c:v>8.9840153609188427</c:v>
                </c:pt>
                <c:pt idx="1326">
                  <c:v>8.9840153609188427</c:v>
                </c:pt>
                <c:pt idx="1327">
                  <c:v>8.9840153609188427</c:v>
                </c:pt>
                <c:pt idx="1328">
                  <c:v>8.9840153609188427</c:v>
                </c:pt>
                <c:pt idx="1329">
                  <c:v>8.9840153609188427</c:v>
                </c:pt>
                <c:pt idx="1330">
                  <c:v>8.9840153609188427</c:v>
                </c:pt>
                <c:pt idx="1331">
                  <c:v>8.9840153609188427</c:v>
                </c:pt>
                <c:pt idx="1332">
                  <c:v>8.9840153609188427</c:v>
                </c:pt>
                <c:pt idx="1333">
                  <c:v>8.9840153609188427</c:v>
                </c:pt>
                <c:pt idx="1334">
                  <c:v>8.9840153609188427</c:v>
                </c:pt>
                <c:pt idx="1335">
                  <c:v>8.9840153609188427</c:v>
                </c:pt>
                <c:pt idx="1336">
                  <c:v>8.9840153609188427</c:v>
                </c:pt>
                <c:pt idx="1337">
                  <c:v>8.9840153609188427</c:v>
                </c:pt>
                <c:pt idx="1338">
                  <c:v>8.9840153609188427</c:v>
                </c:pt>
                <c:pt idx="1339">
                  <c:v>8.9840153609188427</c:v>
                </c:pt>
                <c:pt idx="1340">
                  <c:v>8.9840153609188427</c:v>
                </c:pt>
                <c:pt idx="1341">
                  <c:v>8.9840153609188427</c:v>
                </c:pt>
                <c:pt idx="1342">
                  <c:v>8.9840153609188427</c:v>
                </c:pt>
                <c:pt idx="1343">
                  <c:v>8.9840153609188427</c:v>
                </c:pt>
                <c:pt idx="1344">
                  <c:v>8.9840153609188427</c:v>
                </c:pt>
                <c:pt idx="1345">
                  <c:v>8.9840153609188427</c:v>
                </c:pt>
                <c:pt idx="1346">
                  <c:v>8.9840153609188427</c:v>
                </c:pt>
                <c:pt idx="1347">
                  <c:v>8.9840153609188427</c:v>
                </c:pt>
                <c:pt idx="1348">
                  <c:v>8.9840153609188427</c:v>
                </c:pt>
                <c:pt idx="1349">
                  <c:v>8.9840153609188427</c:v>
                </c:pt>
                <c:pt idx="1350">
                  <c:v>8.9840153609188427</c:v>
                </c:pt>
                <c:pt idx="1351">
                  <c:v>8.9840153609188427</c:v>
                </c:pt>
                <c:pt idx="1352">
                  <c:v>8.9840153609188427</c:v>
                </c:pt>
                <c:pt idx="1353">
                  <c:v>8.9840153609188427</c:v>
                </c:pt>
                <c:pt idx="1354">
                  <c:v>8.9840153609188427</c:v>
                </c:pt>
                <c:pt idx="1355">
                  <c:v>8.9840153609188427</c:v>
                </c:pt>
                <c:pt idx="1356">
                  <c:v>8.9840153609188427</c:v>
                </c:pt>
                <c:pt idx="1357">
                  <c:v>8.9840153609188427</c:v>
                </c:pt>
                <c:pt idx="1358">
                  <c:v>8.9840153609188427</c:v>
                </c:pt>
                <c:pt idx="1359">
                  <c:v>8.9840153609188427</c:v>
                </c:pt>
                <c:pt idx="1360">
                  <c:v>8.9840153609188427</c:v>
                </c:pt>
                <c:pt idx="1361">
                  <c:v>8.9840153609188427</c:v>
                </c:pt>
                <c:pt idx="1362">
                  <c:v>8.9840153609188427</c:v>
                </c:pt>
                <c:pt idx="1363">
                  <c:v>8.9840153609188427</c:v>
                </c:pt>
                <c:pt idx="1364">
                  <c:v>8.9840153609188427</c:v>
                </c:pt>
                <c:pt idx="1365">
                  <c:v>8.9840153609188427</c:v>
                </c:pt>
                <c:pt idx="1366">
                  <c:v>8.9840153609188427</c:v>
                </c:pt>
                <c:pt idx="1367">
                  <c:v>8.9840153609188427</c:v>
                </c:pt>
                <c:pt idx="1368">
                  <c:v>8.9840153609188427</c:v>
                </c:pt>
                <c:pt idx="1369">
                  <c:v>8.9840153609188427</c:v>
                </c:pt>
                <c:pt idx="1370">
                  <c:v>8.9840153609188427</c:v>
                </c:pt>
                <c:pt idx="1371">
                  <c:v>8.9840153609188427</c:v>
                </c:pt>
                <c:pt idx="1372">
                  <c:v>8.9840153609188427</c:v>
                </c:pt>
                <c:pt idx="1373">
                  <c:v>8.9840153609188427</c:v>
                </c:pt>
                <c:pt idx="1374">
                  <c:v>8.9840153609188427</c:v>
                </c:pt>
                <c:pt idx="1375">
                  <c:v>8.9840153609188427</c:v>
                </c:pt>
                <c:pt idx="1376">
                  <c:v>8.9840153609188427</c:v>
                </c:pt>
                <c:pt idx="1377">
                  <c:v>8.9840153609188427</c:v>
                </c:pt>
                <c:pt idx="1378">
                  <c:v>8.9840153609188427</c:v>
                </c:pt>
                <c:pt idx="1379">
                  <c:v>8.9840153609188427</c:v>
                </c:pt>
                <c:pt idx="1380">
                  <c:v>8.9840153609188427</c:v>
                </c:pt>
                <c:pt idx="1381">
                  <c:v>8.9840153609188427</c:v>
                </c:pt>
                <c:pt idx="1382">
                  <c:v>8.9840153609188427</c:v>
                </c:pt>
                <c:pt idx="1383">
                  <c:v>8.9840153609188427</c:v>
                </c:pt>
                <c:pt idx="1384">
                  <c:v>8.9840153609188427</c:v>
                </c:pt>
                <c:pt idx="1385">
                  <c:v>8.9840153609188427</c:v>
                </c:pt>
                <c:pt idx="1386">
                  <c:v>8.9840153609188427</c:v>
                </c:pt>
                <c:pt idx="1387">
                  <c:v>8.9840153609188427</c:v>
                </c:pt>
                <c:pt idx="1388">
                  <c:v>8.9840153609188427</c:v>
                </c:pt>
                <c:pt idx="1389">
                  <c:v>8.9840153609188427</c:v>
                </c:pt>
                <c:pt idx="1390">
                  <c:v>8.9840153609188427</c:v>
                </c:pt>
                <c:pt idx="1391">
                  <c:v>8.9840153609188427</c:v>
                </c:pt>
                <c:pt idx="1392">
                  <c:v>8.9840153609188427</c:v>
                </c:pt>
                <c:pt idx="1393">
                  <c:v>8.9840153609188427</c:v>
                </c:pt>
                <c:pt idx="1394">
                  <c:v>8.9840153609188427</c:v>
                </c:pt>
                <c:pt idx="1395">
                  <c:v>8.9840153609188427</c:v>
                </c:pt>
                <c:pt idx="1396">
                  <c:v>8.9840153609188427</c:v>
                </c:pt>
                <c:pt idx="1397">
                  <c:v>8.9840153609188427</c:v>
                </c:pt>
                <c:pt idx="1398">
                  <c:v>8.9840153609188427</c:v>
                </c:pt>
                <c:pt idx="1399">
                  <c:v>8.9840153609188427</c:v>
                </c:pt>
                <c:pt idx="1400">
                  <c:v>8.9840153609188427</c:v>
                </c:pt>
                <c:pt idx="1401">
                  <c:v>8.9840153609188427</c:v>
                </c:pt>
                <c:pt idx="1402">
                  <c:v>8.9840153609188427</c:v>
                </c:pt>
                <c:pt idx="1403">
                  <c:v>8.9840153609188427</c:v>
                </c:pt>
                <c:pt idx="1404">
                  <c:v>8.9840153609188427</c:v>
                </c:pt>
                <c:pt idx="1405">
                  <c:v>8.9840153609188427</c:v>
                </c:pt>
                <c:pt idx="1406">
                  <c:v>8.9840153609188427</c:v>
                </c:pt>
                <c:pt idx="1407">
                  <c:v>8.9840153609188427</c:v>
                </c:pt>
                <c:pt idx="1408">
                  <c:v>8.9840153609188427</c:v>
                </c:pt>
                <c:pt idx="1409">
                  <c:v>8.9840153609188427</c:v>
                </c:pt>
                <c:pt idx="1410">
                  <c:v>8.9840153609188427</c:v>
                </c:pt>
                <c:pt idx="1411">
                  <c:v>8.9840153609188427</c:v>
                </c:pt>
                <c:pt idx="1412">
                  <c:v>8.9840153609188427</c:v>
                </c:pt>
                <c:pt idx="1413">
                  <c:v>8.9840153609188427</c:v>
                </c:pt>
                <c:pt idx="1414">
                  <c:v>8.9840153609188427</c:v>
                </c:pt>
                <c:pt idx="1415">
                  <c:v>8.9840153609188427</c:v>
                </c:pt>
                <c:pt idx="1416">
                  <c:v>8.9840153609188427</c:v>
                </c:pt>
                <c:pt idx="1417">
                  <c:v>8.9840153609188427</c:v>
                </c:pt>
                <c:pt idx="1418">
                  <c:v>8.9840153609188427</c:v>
                </c:pt>
                <c:pt idx="1419">
                  <c:v>8.9840153609188427</c:v>
                </c:pt>
                <c:pt idx="1420">
                  <c:v>8.9840153609188427</c:v>
                </c:pt>
                <c:pt idx="1421">
                  <c:v>8.9840153609188427</c:v>
                </c:pt>
                <c:pt idx="1422">
                  <c:v>8.9840153609188427</c:v>
                </c:pt>
                <c:pt idx="1423">
                  <c:v>8.9840153609188427</c:v>
                </c:pt>
                <c:pt idx="1424">
                  <c:v>8.9840153609188427</c:v>
                </c:pt>
                <c:pt idx="1425">
                  <c:v>8.9840153609188427</c:v>
                </c:pt>
                <c:pt idx="1426">
                  <c:v>8.9840153609188427</c:v>
                </c:pt>
                <c:pt idx="1427">
                  <c:v>8.9840153609188427</c:v>
                </c:pt>
                <c:pt idx="1428">
                  <c:v>8.9840153609188427</c:v>
                </c:pt>
                <c:pt idx="1429">
                  <c:v>8.9840153609188427</c:v>
                </c:pt>
                <c:pt idx="1430">
                  <c:v>8.9840153609188427</c:v>
                </c:pt>
                <c:pt idx="1431">
                  <c:v>8.9840153609188427</c:v>
                </c:pt>
                <c:pt idx="1432">
                  <c:v>8.9840153609188427</c:v>
                </c:pt>
                <c:pt idx="1433">
                  <c:v>8.9840153609188427</c:v>
                </c:pt>
                <c:pt idx="1434">
                  <c:v>8.9840153609188427</c:v>
                </c:pt>
                <c:pt idx="1435">
                  <c:v>8.9840153609188427</c:v>
                </c:pt>
                <c:pt idx="1436">
                  <c:v>8.9840153609188427</c:v>
                </c:pt>
                <c:pt idx="1437">
                  <c:v>8.9840153609188427</c:v>
                </c:pt>
                <c:pt idx="1438">
                  <c:v>8.9840153609188427</c:v>
                </c:pt>
                <c:pt idx="1439">
                  <c:v>8.9840153609188427</c:v>
                </c:pt>
                <c:pt idx="1440">
                  <c:v>8.9840153609188427</c:v>
                </c:pt>
                <c:pt idx="1441">
                  <c:v>8.9840153609188427</c:v>
                </c:pt>
                <c:pt idx="1442">
                  <c:v>8.9840153609188427</c:v>
                </c:pt>
                <c:pt idx="1443">
                  <c:v>8.9840153609188427</c:v>
                </c:pt>
                <c:pt idx="1444">
                  <c:v>8.9840153609188427</c:v>
                </c:pt>
                <c:pt idx="1445">
                  <c:v>8.9840153609188427</c:v>
                </c:pt>
                <c:pt idx="1446">
                  <c:v>8.9840153609188427</c:v>
                </c:pt>
                <c:pt idx="1447">
                  <c:v>8.9840153609188427</c:v>
                </c:pt>
                <c:pt idx="1448">
                  <c:v>8.9840153609188427</c:v>
                </c:pt>
                <c:pt idx="1449">
                  <c:v>8.9840153609188427</c:v>
                </c:pt>
                <c:pt idx="1450">
                  <c:v>8.9840153609188427</c:v>
                </c:pt>
                <c:pt idx="1451">
                  <c:v>8.9840153609188427</c:v>
                </c:pt>
                <c:pt idx="1452">
                  <c:v>8.9840153609188427</c:v>
                </c:pt>
                <c:pt idx="1453">
                  <c:v>8.9840153609188427</c:v>
                </c:pt>
                <c:pt idx="1454">
                  <c:v>8.9840153609188427</c:v>
                </c:pt>
                <c:pt idx="1455">
                  <c:v>8.9840153609188427</c:v>
                </c:pt>
                <c:pt idx="1456">
                  <c:v>8.9840153609188427</c:v>
                </c:pt>
                <c:pt idx="1457">
                  <c:v>8.9840153609188427</c:v>
                </c:pt>
                <c:pt idx="1458">
                  <c:v>8.9840153609188427</c:v>
                </c:pt>
                <c:pt idx="1459">
                  <c:v>8.9840153609188427</c:v>
                </c:pt>
                <c:pt idx="1460">
                  <c:v>8.9840153609188427</c:v>
                </c:pt>
                <c:pt idx="1461">
                  <c:v>8.9840153609188427</c:v>
                </c:pt>
                <c:pt idx="1462">
                  <c:v>8.9840153609188427</c:v>
                </c:pt>
                <c:pt idx="1463">
                  <c:v>8.9840153609188427</c:v>
                </c:pt>
                <c:pt idx="1464">
                  <c:v>8.9840153609188427</c:v>
                </c:pt>
                <c:pt idx="1465">
                  <c:v>8.9840153609188427</c:v>
                </c:pt>
                <c:pt idx="1466">
                  <c:v>8.9840153609188427</c:v>
                </c:pt>
                <c:pt idx="1467">
                  <c:v>8.9840153609188427</c:v>
                </c:pt>
                <c:pt idx="1468">
                  <c:v>8.9840153609188427</c:v>
                </c:pt>
                <c:pt idx="1469">
                  <c:v>8.9840153609188427</c:v>
                </c:pt>
                <c:pt idx="1470">
                  <c:v>8.9840153609188427</c:v>
                </c:pt>
                <c:pt idx="1471">
                  <c:v>8.9840153609188427</c:v>
                </c:pt>
                <c:pt idx="1472">
                  <c:v>8.9840153609188427</c:v>
                </c:pt>
                <c:pt idx="1473">
                  <c:v>8.9840153609188427</c:v>
                </c:pt>
                <c:pt idx="1474">
                  <c:v>8.9840153609188427</c:v>
                </c:pt>
                <c:pt idx="1475">
                  <c:v>8.9840153609188427</c:v>
                </c:pt>
                <c:pt idx="1476">
                  <c:v>8.9840153609188427</c:v>
                </c:pt>
                <c:pt idx="1477">
                  <c:v>8.9840153609188427</c:v>
                </c:pt>
                <c:pt idx="1478">
                  <c:v>8.9840153609188427</c:v>
                </c:pt>
                <c:pt idx="1479">
                  <c:v>8.9840153609188427</c:v>
                </c:pt>
                <c:pt idx="1480">
                  <c:v>8.9840153609188427</c:v>
                </c:pt>
                <c:pt idx="1481">
                  <c:v>8.9840153609188427</c:v>
                </c:pt>
                <c:pt idx="1482">
                  <c:v>8.9840153609188427</c:v>
                </c:pt>
                <c:pt idx="1483">
                  <c:v>8.9840153609188427</c:v>
                </c:pt>
                <c:pt idx="1484">
                  <c:v>8.9840153609188427</c:v>
                </c:pt>
                <c:pt idx="1485">
                  <c:v>8.9840153609188427</c:v>
                </c:pt>
                <c:pt idx="1486">
                  <c:v>8.9840153609188427</c:v>
                </c:pt>
                <c:pt idx="1487">
                  <c:v>8.9840153609188427</c:v>
                </c:pt>
                <c:pt idx="1488">
                  <c:v>8.9840153609188427</c:v>
                </c:pt>
                <c:pt idx="1489">
                  <c:v>8.9840153609188427</c:v>
                </c:pt>
                <c:pt idx="1490">
                  <c:v>8.9840153609188427</c:v>
                </c:pt>
                <c:pt idx="1491">
                  <c:v>8.9840153609188427</c:v>
                </c:pt>
                <c:pt idx="1492">
                  <c:v>8.9840153609188427</c:v>
                </c:pt>
                <c:pt idx="1493">
                  <c:v>8.9840153609188427</c:v>
                </c:pt>
                <c:pt idx="1494">
                  <c:v>8.9840153609188427</c:v>
                </c:pt>
                <c:pt idx="1495">
                  <c:v>8.9840153609188427</c:v>
                </c:pt>
                <c:pt idx="1496">
                  <c:v>8.9840153609188427</c:v>
                </c:pt>
                <c:pt idx="1497">
                  <c:v>8.9840153609188427</c:v>
                </c:pt>
                <c:pt idx="1498">
                  <c:v>8.9840153609188427</c:v>
                </c:pt>
                <c:pt idx="1499">
                  <c:v>8.9840153609188427</c:v>
                </c:pt>
                <c:pt idx="1500">
                  <c:v>8.9840153609188427</c:v>
                </c:pt>
                <c:pt idx="1501">
                  <c:v>8.9840153609188427</c:v>
                </c:pt>
                <c:pt idx="1502">
                  <c:v>8.9840153609188427</c:v>
                </c:pt>
                <c:pt idx="1503">
                  <c:v>8.9840153609188427</c:v>
                </c:pt>
                <c:pt idx="1504">
                  <c:v>8.9840153609188427</c:v>
                </c:pt>
                <c:pt idx="1505">
                  <c:v>8.9840153609188427</c:v>
                </c:pt>
                <c:pt idx="1506">
                  <c:v>8.9840153609188427</c:v>
                </c:pt>
                <c:pt idx="1507">
                  <c:v>8.9840153609188427</c:v>
                </c:pt>
                <c:pt idx="1508">
                  <c:v>8.9840153609188427</c:v>
                </c:pt>
                <c:pt idx="1509">
                  <c:v>8.9840153609188427</c:v>
                </c:pt>
                <c:pt idx="1510">
                  <c:v>8.9840153609188427</c:v>
                </c:pt>
                <c:pt idx="1511">
                  <c:v>8.9840153609188427</c:v>
                </c:pt>
                <c:pt idx="1512">
                  <c:v>8.9840153609188427</c:v>
                </c:pt>
                <c:pt idx="1513">
                  <c:v>8.9840153609188427</c:v>
                </c:pt>
                <c:pt idx="1514">
                  <c:v>8.9840153609188427</c:v>
                </c:pt>
                <c:pt idx="1515">
                  <c:v>8.9840153609188427</c:v>
                </c:pt>
                <c:pt idx="1516">
                  <c:v>8.9840153609188427</c:v>
                </c:pt>
                <c:pt idx="1517">
                  <c:v>8.9840153609188427</c:v>
                </c:pt>
                <c:pt idx="1518">
                  <c:v>8.9840153609188427</c:v>
                </c:pt>
                <c:pt idx="1519">
                  <c:v>8.9840153609188427</c:v>
                </c:pt>
                <c:pt idx="1520">
                  <c:v>8.9840153609188427</c:v>
                </c:pt>
                <c:pt idx="1521">
                  <c:v>8.9840153609188427</c:v>
                </c:pt>
                <c:pt idx="1522">
                  <c:v>8.9840153609188427</c:v>
                </c:pt>
                <c:pt idx="1523">
                  <c:v>8.9840153609188427</c:v>
                </c:pt>
                <c:pt idx="1524">
                  <c:v>8.9840153609188427</c:v>
                </c:pt>
                <c:pt idx="1525">
                  <c:v>8.9840153609188427</c:v>
                </c:pt>
                <c:pt idx="1526">
                  <c:v>8.9840153609188427</c:v>
                </c:pt>
                <c:pt idx="1527">
                  <c:v>8.9840153609188427</c:v>
                </c:pt>
                <c:pt idx="1528">
                  <c:v>8.9840153609188427</c:v>
                </c:pt>
                <c:pt idx="1529">
                  <c:v>8.9840153609188427</c:v>
                </c:pt>
                <c:pt idx="1530">
                  <c:v>8.9840153609188427</c:v>
                </c:pt>
                <c:pt idx="1531">
                  <c:v>8.9840153609188427</c:v>
                </c:pt>
                <c:pt idx="1532">
                  <c:v>8.9840153609188427</c:v>
                </c:pt>
                <c:pt idx="1533">
                  <c:v>8.9840153609188427</c:v>
                </c:pt>
                <c:pt idx="1534">
                  <c:v>8.9840153609188427</c:v>
                </c:pt>
                <c:pt idx="1535">
                  <c:v>8.9840153609188427</c:v>
                </c:pt>
                <c:pt idx="1536">
                  <c:v>8.9840153609188427</c:v>
                </c:pt>
                <c:pt idx="1537">
                  <c:v>8.9840153609188427</c:v>
                </c:pt>
                <c:pt idx="1538">
                  <c:v>8.9840153609188427</c:v>
                </c:pt>
                <c:pt idx="1539">
                  <c:v>8.9840153609188427</c:v>
                </c:pt>
                <c:pt idx="1540">
                  <c:v>8.9840153609188427</c:v>
                </c:pt>
                <c:pt idx="1541">
                  <c:v>8.9840153609188427</c:v>
                </c:pt>
                <c:pt idx="1542">
                  <c:v>8.9840153609188427</c:v>
                </c:pt>
                <c:pt idx="1543">
                  <c:v>8.9840153609188427</c:v>
                </c:pt>
                <c:pt idx="1544">
                  <c:v>8.9840153609188427</c:v>
                </c:pt>
                <c:pt idx="1545">
                  <c:v>8.9840153609188427</c:v>
                </c:pt>
                <c:pt idx="1546">
                  <c:v>8.9840153609188427</c:v>
                </c:pt>
                <c:pt idx="1547">
                  <c:v>8.9840153609188427</c:v>
                </c:pt>
                <c:pt idx="1548">
                  <c:v>8.9840153609188427</c:v>
                </c:pt>
                <c:pt idx="1549">
                  <c:v>8.9840153609188427</c:v>
                </c:pt>
                <c:pt idx="1550">
                  <c:v>8.9840153609188427</c:v>
                </c:pt>
                <c:pt idx="1551">
                  <c:v>8.9840153609188427</c:v>
                </c:pt>
                <c:pt idx="1552">
                  <c:v>8.9840153609188427</c:v>
                </c:pt>
                <c:pt idx="1553">
                  <c:v>8.9840153609188427</c:v>
                </c:pt>
                <c:pt idx="1554">
                  <c:v>8.9840153609188427</c:v>
                </c:pt>
                <c:pt idx="1555">
                  <c:v>8.9840153609188427</c:v>
                </c:pt>
                <c:pt idx="1556">
                  <c:v>8.9840153609188427</c:v>
                </c:pt>
                <c:pt idx="1557">
                  <c:v>8.9840153609188427</c:v>
                </c:pt>
                <c:pt idx="1558">
                  <c:v>8.9840153609188427</c:v>
                </c:pt>
                <c:pt idx="1559">
                  <c:v>8.9840153609188427</c:v>
                </c:pt>
                <c:pt idx="1560">
                  <c:v>8.9840153609188427</c:v>
                </c:pt>
                <c:pt idx="1561">
                  <c:v>8.9840153609188427</c:v>
                </c:pt>
                <c:pt idx="1562">
                  <c:v>8.9840153609188427</c:v>
                </c:pt>
                <c:pt idx="1563">
                  <c:v>8.9840153609188427</c:v>
                </c:pt>
                <c:pt idx="1564">
                  <c:v>8.9840153609188427</c:v>
                </c:pt>
                <c:pt idx="1565">
                  <c:v>8.9840153609188427</c:v>
                </c:pt>
                <c:pt idx="1566">
                  <c:v>8.9840153609188427</c:v>
                </c:pt>
                <c:pt idx="1567">
                  <c:v>8.9840153609188427</c:v>
                </c:pt>
                <c:pt idx="1568">
                  <c:v>8.9840153609188427</c:v>
                </c:pt>
                <c:pt idx="1569">
                  <c:v>8.9840153609188427</c:v>
                </c:pt>
                <c:pt idx="1570">
                  <c:v>8.9840153609188427</c:v>
                </c:pt>
                <c:pt idx="1571">
                  <c:v>8.9840153609188427</c:v>
                </c:pt>
                <c:pt idx="1572">
                  <c:v>8.9840153609188427</c:v>
                </c:pt>
                <c:pt idx="1573">
                  <c:v>8.9840153609188427</c:v>
                </c:pt>
                <c:pt idx="1574">
                  <c:v>8.9840153609188427</c:v>
                </c:pt>
                <c:pt idx="1575">
                  <c:v>8.9840153609188427</c:v>
                </c:pt>
                <c:pt idx="1576">
                  <c:v>8.9840153609188427</c:v>
                </c:pt>
                <c:pt idx="1577">
                  <c:v>8.9840153609188427</c:v>
                </c:pt>
                <c:pt idx="1578">
                  <c:v>8.9840153609188427</c:v>
                </c:pt>
                <c:pt idx="1579">
                  <c:v>8.9840153609188427</c:v>
                </c:pt>
                <c:pt idx="1580">
                  <c:v>8.9840153609188427</c:v>
                </c:pt>
                <c:pt idx="1581">
                  <c:v>8.9840153609188427</c:v>
                </c:pt>
                <c:pt idx="1582">
                  <c:v>8.9840153609188427</c:v>
                </c:pt>
                <c:pt idx="1583">
                  <c:v>8.9840153609188427</c:v>
                </c:pt>
                <c:pt idx="1584">
                  <c:v>8.9840153609188427</c:v>
                </c:pt>
                <c:pt idx="1585">
                  <c:v>8.9840153609188427</c:v>
                </c:pt>
                <c:pt idx="1586">
                  <c:v>8.9840153609188427</c:v>
                </c:pt>
                <c:pt idx="1587">
                  <c:v>8.9840153609188427</c:v>
                </c:pt>
                <c:pt idx="1588">
                  <c:v>8.9840153609188427</c:v>
                </c:pt>
                <c:pt idx="1589">
                  <c:v>8.9840153609188427</c:v>
                </c:pt>
                <c:pt idx="1590">
                  <c:v>8.9840153609188427</c:v>
                </c:pt>
                <c:pt idx="1591">
                  <c:v>8.9840153609188427</c:v>
                </c:pt>
                <c:pt idx="1592">
                  <c:v>8.9840153609188427</c:v>
                </c:pt>
                <c:pt idx="1593">
                  <c:v>8.9840153609188427</c:v>
                </c:pt>
                <c:pt idx="1594">
                  <c:v>8.9840153609188427</c:v>
                </c:pt>
                <c:pt idx="1595">
                  <c:v>8.9840153609188427</c:v>
                </c:pt>
                <c:pt idx="1596">
                  <c:v>8.9840153609188427</c:v>
                </c:pt>
                <c:pt idx="1597">
                  <c:v>8.9840153609188427</c:v>
                </c:pt>
                <c:pt idx="1598">
                  <c:v>8.9840153609188427</c:v>
                </c:pt>
                <c:pt idx="1599">
                  <c:v>8.9840153609188427</c:v>
                </c:pt>
                <c:pt idx="1600">
                  <c:v>8.9840153609188427</c:v>
                </c:pt>
                <c:pt idx="1601">
                  <c:v>8.9840153609188427</c:v>
                </c:pt>
                <c:pt idx="1602">
                  <c:v>8.9840153609188427</c:v>
                </c:pt>
                <c:pt idx="1603">
                  <c:v>8.9840153609188427</c:v>
                </c:pt>
                <c:pt idx="1604">
                  <c:v>8.9840153609188427</c:v>
                </c:pt>
                <c:pt idx="1605">
                  <c:v>8.9840153609188427</c:v>
                </c:pt>
                <c:pt idx="1606">
                  <c:v>8.9840153609188427</c:v>
                </c:pt>
                <c:pt idx="1607">
                  <c:v>8.9840153609188427</c:v>
                </c:pt>
                <c:pt idx="1608">
                  <c:v>8.9840153609188427</c:v>
                </c:pt>
                <c:pt idx="1609">
                  <c:v>8.9840153609188427</c:v>
                </c:pt>
                <c:pt idx="1610">
                  <c:v>8.9840153609188427</c:v>
                </c:pt>
                <c:pt idx="1611">
                  <c:v>8.9840153609188427</c:v>
                </c:pt>
                <c:pt idx="1612">
                  <c:v>8.9840153609188427</c:v>
                </c:pt>
                <c:pt idx="1613">
                  <c:v>8.9840153609188427</c:v>
                </c:pt>
                <c:pt idx="1614">
                  <c:v>8.9840153609188427</c:v>
                </c:pt>
                <c:pt idx="1615">
                  <c:v>8.9840153609188427</c:v>
                </c:pt>
                <c:pt idx="1616">
                  <c:v>8.9840153609188427</c:v>
                </c:pt>
                <c:pt idx="1617">
                  <c:v>8.9840153609188427</c:v>
                </c:pt>
                <c:pt idx="1618">
                  <c:v>8.9840153609188427</c:v>
                </c:pt>
                <c:pt idx="1619">
                  <c:v>8.9840153609188427</c:v>
                </c:pt>
                <c:pt idx="1620">
                  <c:v>8.9840153609188427</c:v>
                </c:pt>
                <c:pt idx="1621">
                  <c:v>8.9840153609188427</c:v>
                </c:pt>
                <c:pt idx="1622">
                  <c:v>8.9840153609188427</c:v>
                </c:pt>
                <c:pt idx="1623">
                  <c:v>8.9840153609188427</c:v>
                </c:pt>
                <c:pt idx="1624">
                  <c:v>8.9840153609188427</c:v>
                </c:pt>
                <c:pt idx="1625">
                  <c:v>8.9840153609188427</c:v>
                </c:pt>
                <c:pt idx="1626">
                  <c:v>8.9840153609188427</c:v>
                </c:pt>
                <c:pt idx="1627">
                  <c:v>8.9840153609188427</c:v>
                </c:pt>
                <c:pt idx="1628">
                  <c:v>8.9840153609188427</c:v>
                </c:pt>
                <c:pt idx="1629">
                  <c:v>8.9840153609188427</c:v>
                </c:pt>
                <c:pt idx="1630">
                  <c:v>8.9840153609188427</c:v>
                </c:pt>
                <c:pt idx="1631">
                  <c:v>8.9840153609188427</c:v>
                </c:pt>
                <c:pt idx="1632">
                  <c:v>8.9840153609188427</c:v>
                </c:pt>
                <c:pt idx="1633">
                  <c:v>8.9840153609188427</c:v>
                </c:pt>
                <c:pt idx="1634">
                  <c:v>8.9840153609188427</c:v>
                </c:pt>
                <c:pt idx="1635">
                  <c:v>8.9840153609188427</c:v>
                </c:pt>
                <c:pt idx="1636">
                  <c:v>8.9840153609188427</c:v>
                </c:pt>
                <c:pt idx="1637">
                  <c:v>8.9840153609188427</c:v>
                </c:pt>
                <c:pt idx="1638">
                  <c:v>8.9840153609188427</c:v>
                </c:pt>
                <c:pt idx="1639">
                  <c:v>8.9840153609188427</c:v>
                </c:pt>
                <c:pt idx="1640">
                  <c:v>8.9840153609188427</c:v>
                </c:pt>
                <c:pt idx="1641">
                  <c:v>8.9840153609188427</c:v>
                </c:pt>
                <c:pt idx="1642">
                  <c:v>8.9840153609188427</c:v>
                </c:pt>
                <c:pt idx="1643">
                  <c:v>8.9840153609188427</c:v>
                </c:pt>
                <c:pt idx="1644">
                  <c:v>8.9840153609188427</c:v>
                </c:pt>
                <c:pt idx="1645">
                  <c:v>8.9840153609188427</c:v>
                </c:pt>
                <c:pt idx="1646">
                  <c:v>8.9840153609188427</c:v>
                </c:pt>
                <c:pt idx="1647">
                  <c:v>8.9840153609188427</c:v>
                </c:pt>
                <c:pt idx="1648">
                  <c:v>8.9840153609188427</c:v>
                </c:pt>
                <c:pt idx="1649">
                  <c:v>8.9840153609188427</c:v>
                </c:pt>
                <c:pt idx="1650">
                  <c:v>8.9840153609188427</c:v>
                </c:pt>
                <c:pt idx="1651">
                  <c:v>8.9840153609188427</c:v>
                </c:pt>
                <c:pt idx="1652">
                  <c:v>8.9840153609188427</c:v>
                </c:pt>
                <c:pt idx="1653">
                  <c:v>8.9840153609188427</c:v>
                </c:pt>
                <c:pt idx="1654">
                  <c:v>8.9840153609188427</c:v>
                </c:pt>
                <c:pt idx="1655">
                  <c:v>8.9840153609188427</c:v>
                </c:pt>
                <c:pt idx="1656">
                  <c:v>8.9840153609188427</c:v>
                </c:pt>
                <c:pt idx="1657">
                  <c:v>8.9840153609188427</c:v>
                </c:pt>
                <c:pt idx="1658">
                  <c:v>8.9840153609188427</c:v>
                </c:pt>
                <c:pt idx="1659">
                  <c:v>8.9840153609188427</c:v>
                </c:pt>
                <c:pt idx="1660">
                  <c:v>8.9840153609188427</c:v>
                </c:pt>
                <c:pt idx="1661">
                  <c:v>8.9840153609188427</c:v>
                </c:pt>
                <c:pt idx="1662">
                  <c:v>8.9840153609188427</c:v>
                </c:pt>
                <c:pt idx="1663">
                  <c:v>8.9840153609188427</c:v>
                </c:pt>
                <c:pt idx="1664">
                  <c:v>8.9840153609188427</c:v>
                </c:pt>
                <c:pt idx="1665">
                  <c:v>8.9840153609188427</c:v>
                </c:pt>
                <c:pt idx="1666">
                  <c:v>8.9840153609188427</c:v>
                </c:pt>
                <c:pt idx="1667">
                  <c:v>8.9840153609188427</c:v>
                </c:pt>
                <c:pt idx="1668">
                  <c:v>8.9840153609188427</c:v>
                </c:pt>
                <c:pt idx="1669">
                  <c:v>8.9840153609188427</c:v>
                </c:pt>
                <c:pt idx="1670">
                  <c:v>8.9840153609188427</c:v>
                </c:pt>
                <c:pt idx="1671">
                  <c:v>8.9840153609188427</c:v>
                </c:pt>
                <c:pt idx="1672">
                  <c:v>8.9840153609188427</c:v>
                </c:pt>
                <c:pt idx="1673">
                  <c:v>8.9840153609188427</c:v>
                </c:pt>
                <c:pt idx="1674">
                  <c:v>8.9840153609188427</c:v>
                </c:pt>
                <c:pt idx="1675">
                  <c:v>8.9840153609188427</c:v>
                </c:pt>
                <c:pt idx="1676">
                  <c:v>8.9840153609188427</c:v>
                </c:pt>
                <c:pt idx="1677">
                  <c:v>8.9840153609188427</c:v>
                </c:pt>
                <c:pt idx="1678">
                  <c:v>8.9840153609188427</c:v>
                </c:pt>
                <c:pt idx="1679">
                  <c:v>8.9840153609188427</c:v>
                </c:pt>
                <c:pt idx="1680">
                  <c:v>8.9840153609188427</c:v>
                </c:pt>
                <c:pt idx="1681">
                  <c:v>8.9840153609188427</c:v>
                </c:pt>
                <c:pt idx="1682">
                  <c:v>8.9840153609188427</c:v>
                </c:pt>
                <c:pt idx="1683">
                  <c:v>8.9840153609188427</c:v>
                </c:pt>
                <c:pt idx="1684">
                  <c:v>8.9840153609188427</c:v>
                </c:pt>
                <c:pt idx="1685">
                  <c:v>8.9840153609188427</c:v>
                </c:pt>
                <c:pt idx="1686">
                  <c:v>8.9840153609188427</c:v>
                </c:pt>
                <c:pt idx="1687">
                  <c:v>8.9840153609188427</c:v>
                </c:pt>
                <c:pt idx="1688">
                  <c:v>8.9840153609188427</c:v>
                </c:pt>
                <c:pt idx="1689">
                  <c:v>8.9840153609188427</c:v>
                </c:pt>
                <c:pt idx="1690">
                  <c:v>8.9840153609188427</c:v>
                </c:pt>
                <c:pt idx="1691">
                  <c:v>8.9840153609188427</c:v>
                </c:pt>
                <c:pt idx="1692">
                  <c:v>8.9840153609188427</c:v>
                </c:pt>
                <c:pt idx="1693">
                  <c:v>8.9840153609188427</c:v>
                </c:pt>
                <c:pt idx="1694">
                  <c:v>8.9840153609188427</c:v>
                </c:pt>
                <c:pt idx="1695">
                  <c:v>8.9840153609188427</c:v>
                </c:pt>
                <c:pt idx="1696">
                  <c:v>8.9840153609188427</c:v>
                </c:pt>
                <c:pt idx="1697">
                  <c:v>8.9840153609188427</c:v>
                </c:pt>
                <c:pt idx="1698">
                  <c:v>8.9840153609188427</c:v>
                </c:pt>
                <c:pt idx="1699">
                  <c:v>8.9840153609188427</c:v>
                </c:pt>
                <c:pt idx="1700">
                  <c:v>8.9840153609188427</c:v>
                </c:pt>
                <c:pt idx="1701">
                  <c:v>8.9840153609188427</c:v>
                </c:pt>
                <c:pt idx="1702">
                  <c:v>8.9840153609188427</c:v>
                </c:pt>
                <c:pt idx="1703">
                  <c:v>8.9840153609188427</c:v>
                </c:pt>
                <c:pt idx="1704">
                  <c:v>8.9840153609188427</c:v>
                </c:pt>
                <c:pt idx="1705">
                  <c:v>8.9840153609188427</c:v>
                </c:pt>
                <c:pt idx="1706">
                  <c:v>8.9840153609188427</c:v>
                </c:pt>
                <c:pt idx="1707">
                  <c:v>8.9840153609188427</c:v>
                </c:pt>
                <c:pt idx="1708">
                  <c:v>8.9840153609188427</c:v>
                </c:pt>
                <c:pt idx="1709">
                  <c:v>8.9840153609188427</c:v>
                </c:pt>
                <c:pt idx="1710">
                  <c:v>8.9840153609188427</c:v>
                </c:pt>
                <c:pt idx="1711">
                  <c:v>8.9840153609188427</c:v>
                </c:pt>
                <c:pt idx="1712">
                  <c:v>8.9840153609188427</c:v>
                </c:pt>
                <c:pt idx="1713">
                  <c:v>8.9840153609188427</c:v>
                </c:pt>
                <c:pt idx="1714">
                  <c:v>8.9840153609188427</c:v>
                </c:pt>
                <c:pt idx="1715">
                  <c:v>8.9840153609188427</c:v>
                </c:pt>
                <c:pt idx="1716">
                  <c:v>8.9840153609188427</c:v>
                </c:pt>
                <c:pt idx="1717">
                  <c:v>8.9840153609188427</c:v>
                </c:pt>
                <c:pt idx="1718">
                  <c:v>8.9840153609188427</c:v>
                </c:pt>
                <c:pt idx="1719">
                  <c:v>8.9840153609188427</c:v>
                </c:pt>
                <c:pt idx="1720">
                  <c:v>8.9840153609188427</c:v>
                </c:pt>
                <c:pt idx="1721">
                  <c:v>8.9840153609188427</c:v>
                </c:pt>
                <c:pt idx="1722">
                  <c:v>8.9840153609188427</c:v>
                </c:pt>
                <c:pt idx="1723">
                  <c:v>8.9840153609188427</c:v>
                </c:pt>
                <c:pt idx="1724">
                  <c:v>8.9840153609188427</c:v>
                </c:pt>
                <c:pt idx="1725">
                  <c:v>8.9840153609188427</c:v>
                </c:pt>
                <c:pt idx="1726">
                  <c:v>8.9840153609188427</c:v>
                </c:pt>
                <c:pt idx="1727">
                  <c:v>8.9840153609188427</c:v>
                </c:pt>
                <c:pt idx="1728">
                  <c:v>8.9840153609188427</c:v>
                </c:pt>
                <c:pt idx="1729">
                  <c:v>8.9840153609188427</c:v>
                </c:pt>
                <c:pt idx="1730">
                  <c:v>8.9840153609188427</c:v>
                </c:pt>
                <c:pt idx="1731">
                  <c:v>8.9840153609188427</c:v>
                </c:pt>
                <c:pt idx="1732">
                  <c:v>8.9840153609188427</c:v>
                </c:pt>
                <c:pt idx="1733">
                  <c:v>8.9840153609188427</c:v>
                </c:pt>
                <c:pt idx="1734">
                  <c:v>8.9840153609188427</c:v>
                </c:pt>
                <c:pt idx="1735">
                  <c:v>8.9840153609188427</c:v>
                </c:pt>
                <c:pt idx="1736">
                  <c:v>8.9840153609188427</c:v>
                </c:pt>
                <c:pt idx="1737">
                  <c:v>8.9840153609188427</c:v>
                </c:pt>
                <c:pt idx="1738">
                  <c:v>8.9840153609188427</c:v>
                </c:pt>
                <c:pt idx="1739">
                  <c:v>8.9840153609188427</c:v>
                </c:pt>
                <c:pt idx="1740">
                  <c:v>8.9840153609188427</c:v>
                </c:pt>
                <c:pt idx="1741">
                  <c:v>8.9840153609188427</c:v>
                </c:pt>
                <c:pt idx="1742">
                  <c:v>8.9840153609188427</c:v>
                </c:pt>
                <c:pt idx="1743">
                  <c:v>8.9840153609188427</c:v>
                </c:pt>
                <c:pt idx="1744">
                  <c:v>8.9840153609188427</c:v>
                </c:pt>
                <c:pt idx="1745">
                  <c:v>8.9840153609188427</c:v>
                </c:pt>
                <c:pt idx="1746">
                  <c:v>8.9840153609188427</c:v>
                </c:pt>
                <c:pt idx="1747">
                  <c:v>8.9840153609188427</c:v>
                </c:pt>
                <c:pt idx="1748">
                  <c:v>8.9840153609188427</c:v>
                </c:pt>
                <c:pt idx="1749">
                  <c:v>8.9840153609188427</c:v>
                </c:pt>
                <c:pt idx="1750">
                  <c:v>8.9840153609188427</c:v>
                </c:pt>
                <c:pt idx="1751">
                  <c:v>8.9840153609188427</c:v>
                </c:pt>
                <c:pt idx="1752">
                  <c:v>8.9840153609188427</c:v>
                </c:pt>
                <c:pt idx="1753">
                  <c:v>8.9840153609188427</c:v>
                </c:pt>
                <c:pt idx="1754">
                  <c:v>8.9840153609188427</c:v>
                </c:pt>
                <c:pt idx="1755">
                  <c:v>8.9840153609188427</c:v>
                </c:pt>
                <c:pt idx="1756">
                  <c:v>8.9840153609188427</c:v>
                </c:pt>
                <c:pt idx="1757">
                  <c:v>8.9840153609188427</c:v>
                </c:pt>
                <c:pt idx="1758">
                  <c:v>8.9840153609188427</c:v>
                </c:pt>
                <c:pt idx="1759">
                  <c:v>8.9840153609188427</c:v>
                </c:pt>
                <c:pt idx="1760">
                  <c:v>8.9840153609188427</c:v>
                </c:pt>
                <c:pt idx="1761">
                  <c:v>8.9840153609188427</c:v>
                </c:pt>
                <c:pt idx="1762">
                  <c:v>8.9840153609188427</c:v>
                </c:pt>
                <c:pt idx="1763">
                  <c:v>8.9840153609188427</c:v>
                </c:pt>
                <c:pt idx="1764">
                  <c:v>8.9840153609188427</c:v>
                </c:pt>
                <c:pt idx="1765">
                  <c:v>8.9840153609188427</c:v>
                </c:pt>
                <c:pt idx="1766">
                  <c:v>8.9840153609188427</c:v>
                </c:pt>
                <c:pt idx="1767">
                  <c:v>8.9840153609188427</c:v>
                </c:pt>
                <c:pt idx="1768">
                  <c:v>8.9840153609188427</c:v>
                </c:pt>
                <c:pt idx="1769">
                  <c:v>8.9840153609188427</c:v>
                </c:pt>
                <c:pt idx="1770">
                  <c:v>8.9840153609188427</c:v>
                </c:pt>
                <c:pt idx="1771">
                  <c:v>8.9840153609188427</c:v>
                </c:pt>
                <c:pt idx="1772">
                  <c:v>8.9840153609188427</c:v>
                </c:pt>
                <c:pt idx="1773">
                  <c:v>8.9840153609188427</c:v>
                </c:pt>
                <c:pt idx="1774">
                  <c:v>8.9840153609188427</c:v>
                </c:pt>
                <c:pt idx="1775">
                  <c:v>8.9840153609188427</c:v>
                </c:pt>
                <c:pt idx="1776">
                  <c:v>8.9840153609188427</c:v>
                </c:pt>
                <c:pt idx="1777">
                  <c:v>8.9840153609188427</c:v>
                </c:pt>
                <c:pt idx="1778">
                  <c:v>8.9840153609188427</c:v>
                </c:pt>
                <c:pt idx="1779">
                  <c:v>8.9840153609188427</c:v>
                </c:pt>
                <c:pt idx="1780">
                  <c:v>8.9840153609188427</c:v>
                </c:pt>
                <c:pt idx="1781">
                  <c:v>8.9840153609188427</c:v>
                </c:pt>
                <c:pt idx="1782">
                  <c:v>8.9840153609188427</c:v>
                </c:pt>
                <c:pt idx="1783">
                  <c:v>8.9840153609188427</c:v>
                </c:pt>
                <c:pt idx="1784">
                  <c:v>8.9840153609188427</c:v>
                </c:pt>
                <c:pt idx="1785">
                  <c:v>8.9840153609188427</c:v>
                </c:pt>
                <c:pt idx="1786">
                  <c:v>8.9840153609188427</c:v>
                </c:pt>
                <c:pt idx="1787">
                  <c:v>8.9840153609188427</c:v>
                </c:pt>
                <c:pt idx="1788">
                  <c:v>8.9840153609188427</c:v>
                </c:pt>
                <c:pt idx="1789">
                  <c:v>8.9840153609188427</c:v>
                </c:pt>
                <c:pt idx="1790">
                  <c:v>8.9840153609188427</c:v>
                </c:pt>
                <c:pt idx="1791">
                  <c:v>8.9840153609188427</c:v>
                </c:pt>
                <c:pt idx="1792">
                  <c:v>8.9840153609188427</c:v>
                </c:pt>
                <c:pt idx="1793">
                  <c:v>8.9840153609188427</c:v>
                </c:pt>
                <c:pt idx="1794">
                  <c:v>8.9840153609188427</c:v>
                </c:pt>
                <c:pt idx="1795">
                  <c:v>8.9840153609188427</c:v>
                </c:pt>
                <c:pt idx="1796">
                  <c:v>8.9840153609188427</c:v>
                </c:pt>
                <c:pt idx="1797">
                  <c:v>8.9840153609188427</c:v>
                </c:pt>
                <c:pt idx="1798">
                  <c:v>8.9840153609188427</c:v>
                </c:pt>
                <c:pt idx="1799">
                  <c:v>8.9840153609188427</c:v>
                </c:pt>
                <c:pt idx="1800">
                  <c:v>8.9840153609188427</c:v>
                </c:pt>
                <c:pt idx="1801">
                  <c:v>8.9840153609188427</c:v>
                </c:pt>
                <c:pt idx="1802">
                  <c:v>8.9840153609188427</c:v>
                </c:pt>
                <c:pt idx="1803">
                  <c:v>8.9840153609188427</c:v>
                </c:pt>
                <c:pt idx="1804">
                  <c:v>8.9840153609188427</c:v>
                </c:pt>
                <c:pt idx="1805">
                  <c:v>8.9840153609188427</c:v>
                </c:pt>
                <c:pt idx="1806">
                  <c:v>8.9840153609188427</c:v>
                </c:pt>
                <c:pt idx="1807">
                  <c:v>8.9840153609188427</c:v>
                </c:pt>
                <c:pt idx="1808">
                  <c:v>8.9840153609188427</c:v>
                </c:pt>
                <c:pt idx="1809">
                  <c:v>8.9840153609188427</c:v>
                </c:pt>
                <c:pt idx="1810">
                  <c:v>8.9840153609188427</c:v>
                </c:pt>
                <c:pt idx="1811">
                  <c:v>8.9840153609188427</c:v>
                </c:pt>
                <c:pt idx="1812">
                  <c:v>8.9840153609188427</c:v>
                </c:pt>
                <c:pt idx="1813">
                  <c:v>8.9840153609188427</c:v>
                </c:pt>
                <c:pt idx="1814">
                  <c:v>8.9840153609188427</c:v>
                </c:pt>
                <c:pt idx="1815">
                  <c:v>8.9840153609188427</c:v>
                </c:pt>
                <c:pt idx="1816">
                  <c:v>8.9840153609188427</c:v>
                </c:pt>
                <c:pt idx="1817">
                  <c:v>8.9840153609188427</c:v>
                </c:pt>
                <c:pt idx="1818">
                  <c:v>8.9840153609188427</c:v>
                </c:pt>
                <c:pt idx="1819">
                  <c:v>8.9840153609188427</c:v>
                </c:pt>
                <c:pt idx="1820">
                  <c:v>8.9840153609188427</c:v>
                </c:pt>
                <c:pt idx="1821">
                  <c:v>8.9840153609188427</c:v>
                </c:pt>
                <c:pt idx="1822">
                  <c:v>8.9840153609188427</c:v>
                </c:pt>
                <c:pt idx="1823">
                  <c:v>8.9840153609188427</c:v>
                </c:pt>
                <c:pt idx="1824">
                  <c:v>8.9840153609188427</c:v>
                </c:pt>
                <c:pt idx="1825">
                  <c:v>8.9840153609188427</c:v>
                </c:pt>
                <c:pt idx="1826">
                  <c:v>8.9840153609188427</c:v>
                </c:pt>
                <c:pt idx="1827">
                  <c:v>8.9840153609188427</c:v>
                </c:pt>
                <c:pt idx="1828">
                  <c:v>8.9840153609188427</c:v>
                </c:pt>
                <c:pt idx="1829">
                  <c:v>8.9840153609188427</c:v>
                </c:pt>
                <c:pt idx="1830">
                  <c:v>8.9840153609188427</c:v>
                </c:pt>
                <c:pt idx="1831">
                  <c:v>8.9840153609188427</c:v>
                </c:pt>
                <c:pt idx="1832">
                  <c:v>8.9840153609188427</c:v>
                </c:pt>
                <c:pt idx="1833">
                  <c:v>8.9840153609188427</c:v>
                </c:pt>
                <c:pt idx="1834">
                  <c:v>8.9840153609188427</c:v>
                </c:pt>
                <c:pt idx="1835">
                  <c:v>8.9840153609188427</c:v>
                </c:pt>
                <c:pt idx="1836">
                  <c:v>8.9840153609188427</c:v>
                </c:pt>
                <c:pt idx="1837">
                  <c:v>8.9840153609188427</c:v>
                </c:pt>
                <c:pt idx="1838">
                  <c:v>8.9840153609188427</c:v>
                </c:pt>
                <c:pt idx="1839">
                  <c:v>8.9840153609188427</c:v>
                </c:pt>
                <c:pt idx="1840">
                  <c:v>8.9840153609188427</c:v>
                </c:pt>
                <c:pt idx="1841">
                  <c:v>8.9840153609188427</c:v>
                </c:pt>
                <c:pt idx="1842">
                  <c:v>8.9840153609188427</c:v>
                </c:pt>
                <c:pt idx="1843">
                  <c:v>8.9840153609188427</c:v>
                </c:pt>
                <c:pt idx="1844">
                  <c:v>8.9840153609188427</c:v>
                </c:pt>
                <c:pt idx="1845">
                  <c:v>8.9840153609188427</c:v>
                </c:pt>
                <c:pt idx="1846">
                  <c:v>8.9840153609188427</c:v>
                </c:pt>
                <c:pt idx="1847">
                  <c:v>8.9840153609188427</c:v>
                </c:pt>
                <c:pt idx="1848">
                  <c:v>8.9840153609188427</c:v>
                </c:pt>
                <c:pt idx="1849">
                  <c:v>8.9840153609188427</c:v>
                </c:pt>
                <c:pt idx="1850">
                  <c:v>8.9840153609188427</c:v>
                </c:pt>
                <c:pt idx="1851">
                  <c:v>8.9840153609188427</c:v>
                </c:pt>
                <c:pt idx="1852">
                  <c:v>8.9840153609188427</c:v>
                </c:pt>
                <c:pt idx="1853">
                  <c:v>8.9840153609188427</c:v>
                </c:pt>
                <c:pt idx="1854">
                  <c:v>8.9840153609188427</c:v>
                </c:pt>
                <c:pt idx="1855">
                  <c:v>8.9840153609188427</c:v>
                </c:pt>
                <c:pt idx="1856">
                  <c:v>8.9840153609188427</c:v>
                </c:pt>
                <c:pt idx="1857">
                  <c:v>8.9840153609188427</c:v>
                </c:pt>
                <c:pt idx="1858">
                  <c:v>8.9840153609188427</c:v>
                </c:pt>
                <c:pt idx="1859">
                  <c:v>8.9840153609188427</c:v>
                </c:pt>
                <c:pt idx="1860">
                  <c:v>8.9840153609188427</c:v>
                </c:pt>
                <c:pt idx="1861">
                  <c:v>8.9840153609188427</c:v>
                </c:pt>
                <c:pt idx="1862">
                  <c:v>8.9840153609188427</c:v>
                </c:pt>
                <c:pt idx="1863">
                  <c:v>8.9840153609188427</c:v>
                </c:pt>
                <c:pt idx="1864">
                  <c:v>8.9840153609188427</c:v>
                </c:pt>
                <c:pt idx="1865">
                  <c:v>8.9840153609188427</c:v>
                </c:pt>
                <c:pt idx="1866">
                  <c:v>8.9840153609188427</c:v>
                </c:pt>
                <c:pt idx="1867">
                  <c:v>8.9840153609188427</c:v>
                </c:pt>
                <c:pt idx="1868">
                  <c:v>8.9840153609188427</c:v>
                </c:pt>
                <c:pt idx="1869">
                  <c:v>8.9840153609188427</c:v>
                </c:pt>
                <c:pt idx="1870">
                  <c:v>8.9840153609188427</c:v>
                </c:pt>
                <c:pt idx="1871">
                  <c:v>8.9840153609188427</c:v>
                </c:pt>
                <c:pt idx="1872">
                  <c:v>8.9840153609188427</c:v>
                </c:pt>
                <c:pt idx="1873">
                  <c:v>8.9840153609188427</c:v>
                </c:pt>
                <c:pt idx="1874">
                  <c:v>8.9840153609188427</c:v>
                </c:pt>
                <c:pt idx="1875">
                  <c:v>8.9840153609188427</c:v>
                </c:pt>
                <c:pt idx="1876">
                  <c:v>8.9840153609188427</c:v>
                </c:pt>
                <c:pt idx="1877">
                  <c:v>8.9840153609188427</c:v>
                </c:pt>
                <c:pt idx="1878">
                  <c:v>8.9840153609188427</c:v>
                </c:pt>
                <c:pt idx="1879">
                  <c:v>8.9840153609188427</c:v>
                </c:pt>
                <c:pt idx="1880">
                  <c:v>8.9840153609188427</c:v>
                </c:pt>
                <c:pt idx="1881">
                  <c:v>8.9840153609188427</c:v>
                </c:pt>
                <c:pt idx="1882">
                  <c:v>8.9840153609188427</c:v>
                </c:pt>
                <c:pt idx="1883">
                  <c:v>8.9840153609188427</c:v>
                </c:pt>
                <c:pt idx="1884">
                  <c:v>8.9840153609188427</c:v>
                </c:pt>
                <c:pt idx="1885">
                  <c:v>8.9840153609188427</c:v>
                </c:pt>
                <c:pt idx="1886">
                  <c:v>8.9840153609188427</c:v>
                </c:pt>
                <c:pt idx="1887">
                  <c:v>8.9840153609188427</c:v>
                </c:pt>
                <c:pt idx="1888">
                  <c:v>8.9840153609188427</c:v>
                </c:pt>
                <c:pt idx="1889">
                  <c:v>8.9840153609188427</c:v>
                </c:pt>
                <c:pt idx="1890">
                  <c:v>8.9840153609188427</c:v>
                </c:pt>
                <c:pt idx="1891">
                  <c:v>8.9840153609188427</c:v>
                </c:pt>
                <c:pt idx="1892">
                  <c:v>8.9840153609188427</c:v>
                </c:pt>
                <c:pt idx="1893">
                  <c:v>8.9840153609188427</c:v>
                </c:pt>
                <c:pt idx="1894">
                  <c:v>8.9840153609188427</c:v>
                </c:pt>
                <c:pt idx="1895">
                  <c:v>8.9840153609188427</c:v>
                </c:pt>
                <c:pt idx="1896">
                  <c:v>8.9840153609188427</c:v>
                </c:pt>
                <c:pt idx="1897">
                  <c:v>8.9840153609188427</c:v>
                </c:pt>
                <c:pt idx="1898">
                  <c:v>8.9840153609188427</c:v>
                </c:pt>
                <c:pt idx="1899">
                  <c:v>8.9840153609188427</c:v>
                </c:pt>
                <c:pt idx="1900">
                  <c:v>8.9840153609188427</c:v>
                </c:pt>
                <c:pt idx="1901">
                  <c:v>8.9840153609188427</c:v>
                </c:pt>
                <c:pt idx="1902">
                  <c:v>8.9840153609188427</c:v>
                </c:pt>
                <c:pt idx="1903">
                  <c:v>8.9840153609188427</c:v>
                </c:pt>
                <c:pt idx="1904">
                  <c:v>8.9840153609188427</c:v>
                </c:pt>
                <c:pt idx="1905">
                  <c:v>8.9840153609188427</c:v>
                </c:pt>
                <c:pt idx="1906">
                  <c:v>8.9840153609188427</c:v>
                </c:pt>
                <c:pt idx="1907">
                  <c:v>8.9840153609188427</c:v>
                </c:pt>
                <c:pt idx="1908">
                  <c:v>8.9840153609188427</c:v>
                </c:pt>
                <c:pt idx="1909">
                  <c:v>8.9840153609188427</c:v>
                </c:pt>
                <c:pt idx="1910">
                  <c:v>8.9840153609188427</c:v>
                </c:pt>
                <c:pt idx="1911">
                  <c:v>8.9840153609188427</c:v>
                </c:pt>
                <c:pt idx="1912">
                  <c:v>8.9840153609188427</c:v>
                </c:pt>
                <c:pt idx="1913">
                  <c:v>8.9840153609188427</c:v>
                </c:pt>
                <c:pt idx="1914">
                  <c:v>8.9840153609188427</c:v>
                </c:pt>
                <c:pt idx="1915">
                  <c:v>8.9840153609188427</c:v>
                </c:pt>
                <c:pt idx="1916">
                  <c:v>8.9840153609188427</c:v>
                </c:pt>
                <c:pt idx="1917">
                  <c:v>8.9840153609188427</c:v>
                </c:pt>
                <c:pt idx="1918">
                  <c:v>8.9840153609188427</c:v>
                </c:pt>
                <c:pt idx="1919">
                  <c:v>8.9840153609188427</c:v>
                </c:pt>
                <c:pt idx="1920">
                  <c:v>8.9840153609188427</c:v>
                </c:pt>
                <c:pt idx="1921">
                  <c:v>8.9840153609188427</c:v>
                </c:pt>
                <c:pt idx="1922">
                  <c:v>8.9840153609188427</c:v>
                </c:pt>
                <c:pt idx="1923">
                  <c:v>8.9840153609188427</c:v>
                </c:pt>
                <c:pt idx="1924">
                  <c:v>8.9840153609188427</c:v>
                </c:pt>
                <c:pt idx="1925">
                  <c:v>8.9840153609188427</c:v>
                </c:pt>
                <c:pt idx="1926">
                  <c:v>8.9840153609188427</c:v>
                </c:pt>
                <c:pt idx="1927">
                  <c:v>8.9840153609188427</c:v>
                </c:pt>
                <c:pt idx="1928">
                  <c:v>8.9840153609188427</c:v>
                </c:pt>
                <c:pt idx="1929">
                  <c:v>8.9840153609188427</c:v>
                </c:pt>
                <c:pt idx="1930">
                  <c:v>8.9840153609188427</c:v>
                </c:pt>
                <c:pt idx="1931">
                  <c:v>8.9840153609188427</c:v>
                </c:pt>
                <c:pt idx="1932">
                  <c:v>8.9840153609188427</c:v>
                </c:pt>
                <c:pt idx="1933">
                  <c:v>8.9840153609188427</c:v>
                </c:pt>
                <c:pt idx="1934">
                  <c:v>8.9840153609188427</c:v>
                </c:pt>
                <c:pt idx="1935">
                  <c:v>8.9840153609188427</c:v>
                </c:pt>
                <c:pt idx="1936">
                  <c:v>8.9840153609188427</c:v>
                </c:pt>
                <c:pt idx="1937">
                  <c:v>8.9840153609188427</c:v>
                </c:pt>
                <c:pt idx="1938">
                  <c:v>8.9840153609188427</c:v>
                </c:pt>
                <c:pt idx="1939">
                  <c:v>8.9840153609188427</c:v>
                </c:pt>
                <c:pt idx="1940">
                  <c:v>8.9840153609188427</c:v>
                </c:pt>
                <c:pt idx="1941">
                  <c:v>8.9840153609188427</c:v>
                </c:pt>
                <c:pt idx="1942">
                  <c:v>8.9840153609188427</c:v>
                </c:pt>
                <c:pt idx="1943">
                  <c:v>8.9840153609188427</c:v>
                </c:pt>
                <c:pt idx="1944">
                  <c:v>8.9840153609188427</c:v>
                </c:pt>
                <c:pt idx="1945">
                  <c:v>8.9840153609188427</c:v>
                </c:pt>
                <c:pt idx="1946">
                  <c:v>8.9840153609188427</c:v>
                </c:pt>
                <c:pt idx="1947">
                  <c:v>8.9840153609188427</c:v>
                </c:pt>
                <c:pt idx="1948">
                  <c:v>8.9840153609188427</c:v>
                </c:pt>
                <c:pt idx="1949">
                  <c:v>8.9840153609188427</c:v>
                </c:pt>
                <c:pt idx="1950">
                  <c:v>8.9840153609188427</c:v>
                </c:pt>
                <c:pt idx="1951">
                  <c:v>8.9840153609188427</c:v>
                </c:pt>
                <c:pt idx="1952">
                  <c:v>8.9840153609188427</c:v>
                </c:pt>
                <c:pt idx="1953">
                  <c:v>8.9840153609188427</c:v>
                </c:pt>
                <c:pt idx="1954">
                  <c:v>8.9840153609188427</c:v>
                </c:pt>
                <c:pt idx="1955">
                  <c:v>8.9840153609188427</c:v>
                </c:pt>
                <c:pt idx="1956">
                  <c:v>8.9840153609188427</c:v>
                </c:pt>
                <c:pt idx="1957">
                  <c:v>8.9840153609188427</c:v>
                </c:pt>
                <c:pt idx="1958">
                  <c:v>8.9840153609188427</c:v>
                </c:pt>
                <c:pt idx="1959">
                  <c:v>8.9840153609188427</c:v>
                </c:pt>
                <c:pt idx="1960">
                  <c:v>8.9840153609188427</c:v>
                </c:pt>
                <c:pt idx="1961">
                  <c:v>8.9840153609188427</c:v>
                </c:pt>
                <c:pt idx="1962">
                  <c:v>8.9840153609188427</c:v>
                </c:pt>
                <c:pt idx="1963">
                  <c:v>8.9840153609188427</c:v>
                </c:pt>
                <c:pt idx="1964">
                  <c:v>8.9840153609188427</c:v>
                </c:pt>
                <c:pt idx="1965">
                  <c:v>8.9840153609188427</c:v>
                </c:pt>
                <c:pt idx="1966">
                  <c:v>8.9840153609188427</c:v>
                </c:pt>
                <c:pt idx="1967">
                  <c:v>8.9840153609188427</c:v>
                </c:pt>
                <c:pt idx="1968">
                  <c:v>8.9840153609188427</c:v>
                </c:pt>
                <c:pt idx="1969">
                  <c:v>8.9840153609188427</c:v>
                </c:pt>
                <c:pt idx="1970">
                  <c:v>8.9840153609188427</c:v>
                </c:pt>
                <c:pt idx="1971">
                  <c:v>8.9840153609188427</c:v>
                </c:pt>
                <c:pt idx="1972">
                  <c:v>8.9840153609188427</c:v>
                </c:pt>
                <c:pt idx="1973">
                  <c:v>8.9840153609188427</c:v>
                </c:pt>
                <c:pt idx="1974">
                  <c:v>8.9840153609188427</c:v>
                </c:pt>
                <c:pt idx="1975">
                  <c:v>8.9840153609188427</c:v>
                </c:pt>
                <c:pt idx="1976">
                  <c:v>8.9840153609188427</c:v>
                </c:pt>
                <c:pt idx="1977">
                  <c:v>8.9840153609188427</c:v>
                </c:pt>
                <c:pt idx="1978">
                  <c:v>8.9840153609188427</c:v>
                </c:pt>
                <c:pt idx="1979">
                  <c:v>8.9840153609188427</c:v>
                </c:pt>
                <c:pt idx="1980">
                  <c:v>8.9840153609188427</c:v>
                </c:pt>
                <c:pt idx="1981">
                  <c:v>8.9840153609188427</c:v>
                </c:pt>
                <c:pt idx="1982">
                  <c:v>8.9840153609188427</c:v>
                </c:pt>
                <c:pt idx="1983">
                  <c:v>8.9840153609188427</c:v>
                </c:pt>
                <c:pt idx="1984">
                  <c:v>8.9840153609188427</c:v>
                </c:pt>
                <c:pt idx="1985">
                  <c:v>8.9840153609188427</c:v>
                </c:pt>
                <c:pt idx="1986">
                  <c:v>8.9840153609188427</c:v>
                </c:pt>
                <c:pt idx="1987">
                  <c:v>8.9840153609188427</c:v>
                </c:pt>
                <c:pt idx="1988">
                  <c:v>8.9840153609188427</c:v>
                </c:pt>
                <c:pt idx="1989">
                  <c:v>8.9840153609188427</c:v>
                </c:pt>
                <c:pt idx="1990">
                  <c:v>8.9840153609188427</c:v>
                </c:pt>
                <c:pt idx="1991">
                  <c:v>8.9840153609188427</c:v>
                </c:pt>
                <c:pt idx="1992">
                  <c:v>8.9840153609188427</c:v>
                </c:pt>
                <c:pt idx="1993">
                  <c:v>8.9840153609188427</c:v>
                </c:pt>
                <c:pt idx="1994">
                  <c:v>8.9840153609188427</c:v>
                </c:pt>
                <c:pt idx="1995">
                  <c:v>8.9840153609188427</c:v>
                </c:pt>
                <c:pt idx="1996">
                  <c:v>8.9840153609188427</c:v>
                </c:pt>
                <c:pt idx="1997">
                  <c:v>8.9840153609188427</c:v>
                </c:pt>
                <c:pt idx="1998">
                  <c:v>8.9840153609188427</c:v>
                </c:pt>
                <c:pt idx="1999">
                  <c:v>8.9840153609188427</c:v>
                </c:pt>
                <c:pt idx="2000">
                  <c:v>8.9840153609188427</c:v>
                </c:pt>
                <c:pt idx="2001">
                  <c:v>8.9840153609188427</c:v>
                </c:pt>
                <c:pt idx="2002">
                  <c:v>8.9840153609188427</c:v>
                </c:pt>
                <c:pt idx="2003">
                  <c:v>8.9840153609188427</c:v>
                </c:pt>
                <c:pt idx="2004">
                  <c:v>8.9840153609188427</c:v>
                </c:pt>
                <c:pt idx="2005">
                  <c:v>8.9840153609188427</c:v>
                </c:pt>
                <c:pt idx="2006">
                  <c:v>8.9840153609188427</c:v>
                </c:pt>
                <c:pt idx="2007">
                  <c:v>8.9840153609188427</c:v>
                </c:pt>
                <c:pt idx="2008">
                  <c:v>8.9840153609188427</c:v>
                </c:pt>
                <c:pt idx="2009">
                  <c:v>8.9840153609188427</c:v>
                </c:pt>
                <c:pt idx="2010">
                  <c:v>8.9840153609188427</c:v>
                </c:pt>
                <c:pt idx="2011">
                  <c:v>8.9840153609188427</c:v>
                </c:pt>
                <c:pt idx="2012">
                  <c:v>8.9840153609188427</c:v>
                </c:pt>
                <c:pt idx="2013">
                  <c:v>8.9840153609188427</c:v>
                </c:pt>
                <c:pt idx="2014">
                  <c:v>8.9840153609188427</c:v>
                </c:pt>
                <c:pt idx="2015">
                  <c:v>8.9840153609188427</c:v>
                </c:pt>
                <c:pt idx="2016">
                  <c:v>8.9840153609188427</c:v>
                </c:pt>
                <c:pt idx="2017">
                  <c:v>8.9840153609188427</c:v>
                </c:pt>
                <c:pt idx="2018">
                  <c:v>8.9840153609188427</c:v>
                </c:pt>
                <c:pt idx="2019">
                  <c:v>8.9840153609188427</c:v>
                </c:pt>
                <c:pt idx="2020">
                  <c:v>8.9840153609188427</c:v>
                </c:pt>
                <c:pt idx="2021">
                  <c:v>8.9840153609188427</c:v>
                </c:pt>
                <c:pt idx="2022">
                  <c:v>8.9840153609188427</c:v>
                </c:pt>
                <c:pt idx="2023">
                  <c:v>8.9840153609188427</c:v>
                </c:pt>
                <c:pt idx="2024">
                  <c:v>8.9840153609188427</c:v>
                </c:pt>
                <c:pt idx="2025">
                  <c:v>8.9840153609188427</c:v>
                </c:pt>
                <c:pt idx="2026">
                  <c:v>8.9840153609188427</c:v>
                </c:pt>
                <c:pt idx="2027">
                  <c:v>8.9840153609188427</c:v>
                </c:pt>
                <c:pt idx="2028">
                  <c:v>8.9840153609188427</c:v>
                </c:pt>
                <c:pt idx="2029">
                  <c:v>8.9840153609188427</c:v>
                </c:pt>
                <c:pt idx="2030">
                  <c:v>8.9840153609188427</c:v>
                </c:pt>
                <c:pt idx="2031">
                  <c:v>29.459999</c:v>
                </c:pt>
                <c:pt idx="2032">
                  <c:v>27.986999049999998</c:v>
                </c:pt>
                <c:pt idx="2033">
                  <c:v>27.986999049999998</c:v>
                </c:pt>
                <c:pt idx="2034">
                  <c:v>27.986999049999998</c:v>
                </c:pt>
                <c:pt idx="2035">
                  <c:v>27.986999049999998</c:v>
                </c:pt>
                <c:pt idx="2036">
                  <c:v>27.986999049999998</c:v>
                </c:pt>
                <c:pt idx="2037">
                  <c:v>27.986999049999998</c:v>
                </c:pt>
                <c:pt idx="2038">
                  <c:v>27.986999049999998</c:v>
                </c:pt>
                <c:pt idx="2039">
                  <c:v>27.986999049999998</c:v>
                </c:pt>
                <c:pt idx="2040">
                  <c:v>27.986999049999998</c:v>
                </c:pt>
                <c:pt idx="2041">
                  <c:v>26.587649097499998</c:v>
                </c:pt>
                <c:pt idx="2042">
                  <c:v>26.587649097499998</c:v>
                </c:pt>
                <c:pt idx="2043">
                  <c:v>26.587649097499998</c:v>
                </c:pt>
                <c:pt idx="2044">
                  <c:v>26.587649097499998</c:v>
                </c:pt>
                <c:pt idx="2045">
                  <c:v>26.587649097499998</c:v>
                </c:pt>
                <c:pt idx="2046">
                  <c:v>26.587649097499998</c:v>
                </c:pt>
                <c:pt idx="2047">
                  <c:v>26.587649097499998</c:v>
                </c:pt>
                <c:pt idx="2048">
                  <c:v>26.587649097499998</c:v>
                </c:pt>
                <c:pt idx="2049">
                  <c:v>26.587649097499998</c:v>
                </c:pt>
                <c:pt idx="2050">
                  <c:v>25.258266642624996</c:v>
                </c:pt>
                <c:pt idx="2051">
                  <c:v>25.258266642624996</c:v>
                </c:pt>
                <c:pt idx="2052">
                  <c:v>25.258266642624996</c:v>
                </c:pt>
                <c:pt idx="2053">
                  <c:v>25.258266642624996</c:v>
                </c:pt>
                <c:pt idx="2054">
                  <c:v>25.258266642624996</c:v>
                </c:pt>
                <c:pt idx="2055">
                  <c:v>25.258266642624996</c:v>
                </c:pt>
                <c:pt idx="2056">
                  <c:v>25.258266642624996</c:v>
                </c:pt>
                <c:pt idx="2057">
                  <c:v>25.258266642624996</c:v>
                </c:pt>
                <c:pt idx="2058">
                  <c:v>25.258266642624996</c:v>
                </c:pt>
                <c:pt idx="2059">
                  <c:v>25.258266642624996</c:v>
                </c:pt>
                <c:pt idx="2060">
                  <c:v>25.258266642624996</c:v>
                </c:pt>
                <c:pt idx="2061">
                  <c:v>25.258266642624996</c:v>
                </c:pt>
                <c:pt idx="2062">
                  <c:v>25.258266642624996</c:v>
                </c:pt>
                <c:pt idx="2063">
                  <c:v>30.5</c:v>
                </c:pt>
                <c:pt idx="2064">
                  <c:v>30.5</c:v>
                </c:pt>
                <c:pt idx="2065">
                  <c:v>30.5</c:v>
                </c:pt>
                <c:pt idx="2066">
                  <c:v>30.5</c:v>
                </c:pt>
                <c:pt idx="2067">
                  <c:v>28.974999999999998</c:v>
                </c:pt>
                <c:pt idx="2068">
                  <c:v>28.974999999999998</c:v>
                </c:pt>
                <c:pt idx="2069">
                  <c:v>28.974999999999998</c:v>
                </c:pt>
                <c:pt idx="2070">
                  <c:v>28.974999999999998</c:v>
                </c:pt>
                <c:pt idx="2071">
                  <c:v>28.974999999999998</c:v>
                </c:pt>
                <c:pt idx="2072">
                  <c:v>28.974999999999998</c:v>
                </c:pt>
                <c:pt idx="2073">
                  <c:v>28.974999999999998</c:v>
                </c:pt>
                <c:pt idx="2074">
                  <c:v>28.974999999999998</c:v>
                </c:pt>
                <c:pt idx="2075">
                  <c:v>28.974999999999998</c:v>
                </c:pt>
                <c:pt idx="2076">
                  <c:v>28.974999999999998</c:v>
                </c:pt>
                <c:pt idx="2077">
                  <c:v>28.974999999999998</c:v>
                </c:pt>
                <c:pt idx="2078">
                  <c:v>28.974999999999998</c:v>
                </c:pt>
                <c:pt idx="2079">
                  <c:v>28.974999999999998</c:v>
                </c:pt>
                <c:pt idx="2080">
                  <c:v>28.974999999999998</c:v>
                </c:pt>
                <c:pt idx="2081">
                  <c:v>28.974999999999998</c:v>
                </c:pt>
                <c:pt idx="2082">
                  <c:v>28.974999999999998</c:v>
                </c:pt>
                <c:pt idx="2083">
                  <c:v>28.974999999999998</c:v>
                </c:pt>
                <c:pt idx="2084">
                  <c:v>28.974999999999998</c:v>
                </c:pt>
                <c:pt idx="2085">
                  <c:v>28.974999999999998</c:v>
                </c:pt>
                <c:pt idx="2086">
                  <c:v>28.974999999999998</c:v>
                </c:pt>
                <c:pt idx="2087">
                  <c:v>28.974999999999998</c:v>
                </c:pt>
                <c:pt idx="2088">
                  <c:v>28.974999999999998</c:v>
                </c:pt>
                <c:pt idx="2089">
                  <c:v>28.974999999999998</c:v>
                </c:pt>
                <c:pt idx="2090">
                  <c:v>28.974999999999998</c:v>
                </c:pt>
                <c:pt idx="2091">
                  <c:v>28.974999999999998</c:v>
                </c:pt>
                <c:pt idx="2092">
                  <c:v>28.974999999999998</c:v>
                </c:pt>
                <c:pt idx="2093">
                  <c:v>28.974999999999998</c:v>
                </c:pt>
                <c:pt idx="2094">
                  <c:v>28.974999999999998</c:v>
                </c:pt>
                <c:pt idx="2095">
                  <c:v>28.974999999999998</c:v>
                </c:pt>
                <c:pt idx="2096">
                  <c:v>28.974999999999998</c:v>
                </c:pt>
                <c:pt idx="2097">
                  <c:v>28.974999999999998</c:v>
                </c:pt>
                <c:pt idx="2098">
                  <c:v>28.974999999999998</c:v>
                </c:pt>
                <c:pt idx="2099">
                  <c:v>28.974999999999998</c:v>
                </c:pt>
                <c:pt idx="2100">
                  <c:v>28.974999999999998</c:v>
                </c:pt>
                <c:pt idx="2101">
                  <c:v>28.974999999999998</c:v>
                </c:pt>
                <c:pt idx="2102">
                  <c:v>28.974999999999998</c:v>
                </c:pt>
                <c:pt idx="2103">
                  <c:v>28.974999999999998</c:v>
                </c:pt>
                <c:pt idx="2104">
                  <c:v>28.974999999999998</c:v>
                </c:pt>
                <c:pt idx="2105">
                  <c:v>28.974999999999998</c:v>
                </c:pt>
                <c:pt idx="2106">
                  <c:v>28.974999999999998</c:v>
                </c:pt>
                <c:pt idx="2107">
                  <c:v>32.139999000000003</c:v>
                </c:pt>
                <c:pt idx="2108">
                  <c:v>30.532999050000001</c:v>
                </c:pt>
                <c:pt idx="2109">
                  <c:v>33.799999</c:v>
                </c:pt>
                <c:pt idx="2110">
                  <c:v>32.109999049999999</c:v>
                </c:pt>
                <c:pt idx="2111">
                  <c:v>32.109999049999999</c:v>
                </c:pt>
                <c:pt idx="2112">
                  <c:v>32.109999049999999</c:v>
                </c:pt>
                <c:pt idx="2113">
                  <c:v>32.109999049999999</c:v>
                </c:pt>
                <c:pt idx="2114">
                  <c:v>32.109999049999999</c:v>
                </c:pt>
                <c:pt idx="2115">
                  <c:v>32.109999049999999</c:v>
                </c:pt>
                <c:pt idx="2116">
                  <c:v>32.109999049999999</c:v>
                </c:pt>
                <c:pt idx="2117">
                  <c:v>32.109999049999999</c:v>
                </c:pt>
                <c:pt idx="2118">
                  <c:v>32.109999049999999</c:v>
                </c:pt>
                <c:pt idx="2119">
                  <c:v>32.109999049999999</c:v>
                </c:pt>
                <c:pt idx="2120">
                  <c:v>32.109999049999999</c:v>
                </c:pt>
                <c:pt idx="2121">
                  <c:v>32.109999049999999</c:v>
                </c:pt>
                <c:pt idx="2122">
                  <c:v>32.109999049999999</c:v>
                </c:pt>
                <c:pt idx="2123">
                  <c:v>32.109999049999999</c:v>
                </c:pt>
                <c:pt idx="2124">
                  <c:v>32.109999049999999</c:v>
                </c:pt>
                <c:pt idx="2125">
                  <c:v>30.504499097499998</c:v>
                </c:pt>
                <c:pt idx="2126">
                  <c:v>30.504499097499998</c:v>
                </c:pt>
                <c:pt idx="2127">
                  <c:v>30.504499097499998</c:v>
                </c:pt>
                <c:pt idx="2128">
                  <c:v>30.504499097499998</c:v>
                </c:pt>
                <c:pt idx="2129">
                  <c:v>30.504499097499998</c:v>
                </c:pt>
                <c:pt idx="2130">
                  <c:v>30.504499097499998</c:v>
                </c:pt>
                <c:pt idx="2131">
                  <c:v>30.504499097499998</c:v>
                </c:pt>
                <c:pt idx="2132">
                  <c:v>30.504499097499998</c:v>
                </c:pt>
                <c:pt idx="2133">
                  <c:v>30.504499097499998</c:v>
                </c:pt>
                <c:pt idx="2134">
                  <c:v>30.504499097499998</c:v>
                </c:pt>
                <c:pt idx="2135">
                  <c:v>30.504499097499998</c:v>
                </c:pt>
                <c:pt idx="2136">
                  <c:v>30.504499097499998</c:v>
                </c:pt>
                <c:pt idx="2137">
                  <c:v>36.080002</c:v>
                </c:pt>
                <c:pt idx="2138">
                  <c:v>34.276001899999997</c:v>
                </c:pt>
                <c:pt idx="2139">
                  <c:v>34.276001899999997</c:v>
                </c:pt>
                <c:pt idx="2140">
                  <c:v>34.276001899999997</c:v>
                </c:pt>
                <c:pt idx="2141">
                  <c:v>34.276001899999997</c:v>
                </c:pt>
                <c:pt idx="2142">
                  <c:v>34.276001899999997</c:v>
                </c:pt>
                <c:pt idx="2143">
                  <c:v>34.276001899999997</c:v>
                </c:pt>
                <c:pt idx="2144">
                  <c:v>34.276001899999997</c:v>
                </c:pt>
                <c:pt idx="2145">
                  <c:v>38.479999999999997</c:v>
                </c:pt>
                <c:pt idx="2146">
                  <c:v>36.555999999999997</c:v>
                </c:pt>
                <c:pt idx="2147">
                  <c:v>36.555999999999997</c:v>
                </c:pt>
                <c:pt idx="2148">
                  <c:v>36.555999999999997</c:v>
                </c:pt>
                <c:pt idx="2149">
                  <c:v>36.555999999999997</c:v>
                </c:pt>
                <c:pt idx="2150">
                  <c:v>36.555999999999997</c:v>
                </c:pt>
                <c:pt idx="2151">
                  <c:v>36.555999999999997</c:v>
                </c:pt>
                <c:pt idx="2152">
                  <c:v>36.555999999999997</c:v>
                </c:pt>
                <c:pt idx="2153">
                  <c:v>36.555999999999997</c:v>
                </c:pt>
                <c:pt idx="2154">
                  <c:v>36.555999999999997</c:v>
                </c:pt>
                <c:pt idx="2155">
                  <c:v>36.555999999999997</c:v>
                </c:pt>
                <c:pt idx="2156">
                  <c:v>36.555999999999997</c:v>
                </c:pt>
                <c:pt idx="2157">
                  <c:v>36.555999999999997</c:v>
                </c:pt>
                <c:pt idx="2158">
                  <c:v>36.555999999999997</c:v>
                </c:pt>
                <c:pt idx="2159">
                  <c:v>36.555999999999997</c:v>
                </c:pt>
                <c:pt idx="2160">
                  <c:v>36.555999999999997</c:v>
                </c:pt>
                <c:pt idx="2161">
                  <c:v>36.555999999999997</c:v>
                </c:pt>
                <c:pt idx="2162">
                  <c:v>36.555999999999997</c:v>
                </c:pt>
                <c:pt idx="2163">
                  <c:v>36.555999999999997</c:v>
                </c:pt>
                <c:pt idx="2164">
                  <c:v>36.555999999999997</c:v>
                </c:pt>
                <c:pt idx="2165">
                  <c:v>36.555999999999997</c:v>
                </c:pt>
                <c:pt idx="2166">
                  <c:v>36.555999999999997</c:v>
                </c:pt>
                <c:pt idx="2167">
                  <c:v>36.555999999999997</c:v>
                </c:pt>
                <c:pt idx="2168">
                  <c:v>36.555999999999997</c:v>
                </c:pt>
                <c:pt idx="2169">
                  <c:v>36.555999999999997</c:v>
                </c:pt>
                <c:pt idx="2170">
                  <c:v>36.555999999999997</c:v>
                </c:pt>
                <c:pt idx="2171">
                  <c:v>36.555999999999997</c:v>
                </c:pt>
                <c:pt idx="2172">
                  <c:v>36.555999999999997</c:v>
                </c:pt>
                <c:pt idx="2173">
                  <c:v>36.555999999999997</c:v>
                </c:pt>
                <c:pt idx="2174">
                  <c:v>36.555999999999997</c:v>
                </c:pt>
                <c:pt idx="2175">
                  <c:v>36.555999999999997</c:v>
                </c:pt>
                <c:pt idx="2176">
                  <c:v>36.555999999999997</c:v>
                </c:pt>
                <c:pt idx="2177">
                  <c:v>36.555999999999997</c:v>
                </c:pt>
                <c:pt idx="2178">
                  <c:v>36.555999999999997</c:v>
                </c:pt>
                <c:pt idx="2179">
                  <c:v>36.555999999999997</c:v>
                </c:pt>
                <c:pt idx="2180">
                  <c:v>34.728199999999994</c:v>
                </c:pt>
                <c:pt idx="2181">
                  <c:v>34.728199999999994</c:v>
                </c:pt>
                <c:pt idx="2182">
                  <c:v>34.728199999999994</c:v>
                </c:pt>
                <c:pt idx="2183">
                  <c:v>32.991789999999995</c:v>
                </c:pt>
                <c:pt idx="2184">
                  <c:v>32.991789999999995</c:v>
                </c:pt>
                <c:pt idx="2185">
                  <c:v>32.991789999999995</c:v>
                </c:pt>
                <c:pt idx="2186">
                  <c:v>31.342200499999993</c:v>
                </c:pt>
                <c:pt idx="2187">
                  <c:v>31.342200499999993</c:v>
                </c:pt>
                <c:pt idx="2188">
                  <c:v>31.342200499999993</c:v>
                </c:pt>
                <c:pt idx="2189">
                  <c:v>31.342200499999993</c:v>
                </c:pt>
                <c:pt idx="2190">
                  <c:v>31.342200499999993</c:v>
                </c:pt>
                <c:pt idx="2191">
                  <c:v>31.342200499999993</c:v>
                </c:pt>
                <c:pt idx="2192">
                  <c:v>31.342200499999993</c:v>
                </c:pt>
                <c:pt idx="2193">
                  <c:v>31.342200499999993</c:v>
                </c:pt>
                <c:pt idx="2194">
                  <c:v>31.342200499999993</c:v>
                </c:pt>
                <c:pt idx="2195">
                  <c:v>31.342200499999993</c:v>
                </c:pt>
                <c:pt idx="2196">
                  <c:v>31.342200499999993</c:v>
                </c:pt>
                <c:pt idx="2197">
                  <c:v>31.342200499999993</c:v>
                </c:pt>
                <c:pt idx="2198">
                  <c:v>31.342200499999993</c:v>
                </c:pt>
                <c:pt idx="2199">
                  <c:v>29.775090474999992</c:v>
                </c:pt>
                <c:pt idx="2200">
                  <c:v>29.775090474999992</c:v>
                </c:pt>
                <c:pt idx="2201">
                  <c:v>29.775090474999992</c:v>
                </c:pt>
                <c:pt idx="2202">
                  <c:v>29.775090474999992</c:v>
                </c:pt>
                <c:pt idx="2203">
                  <c:v>29.775090474999992</c:v>
                </c:pt>
                <c:pt idx="2204">
                  <c:v>29.775090474999992</c:v>
                </c:pt>
                <c:pt idx="2205">
                  <c:v>29.775090474999992</c:v>
                </c:pt>
                <c:pt idx="2206">
                  <c:v>29.775090474999992</c:v>
                </c:pt>
                <c:pt idx="2207">
                  <c:v>29.775090474999992</c:v>
                </c:pt>
                <c:pt idx="2208">
                  <c:v>29.775090474999992</c:v>
                </c:pt>
                <c:pt idx="2209">
                  <c:v>29.775090474999992</c:v>
                </c:pt>
                <c:pt idx="2210">
                  <c:v>29.775090474999992</c:v>
                </c:pt>
                <c:pt idx="2211">
                  <c:v>29.775090474999992</c:v>
                </c:pt>
                <c:pt idx="2212">
                  <c:v>29.775090474999992</c:v>
                </c:pt>
                <c:pt idx="2213">
                  <c:v>29.775090474999992</c:v>
                </c:pt>
                <c:pt idx="2214">
                  <c:v>29.775090474999992</c:v>
                </c:pt>
                <c:pt idx="2215">
                  <c:v>29.775090474999992</c:v>
                </c:pt>
                <c:pt idx="2216">
                  <c:v>29.775090474999992</c:v>
                </c:pt>
                <c:pt idx="2217">
                  <c:v>29.775090474999992</c:v>
                </c:pt>
                <c:pt idx="2218">
                  <c:v>29.775090474999992</c:v>
                </c:pt>
                <c:pt idx="2219">
                  <c:v>29.775090474999992</c:v>
                </c:pt>
                <c:pt idx="2220">
                  <c:v>29.775090474999992</c:v>
                </c:pt>
                <c:pt idx="2221">
                  <c:v>29.775090474999992</c:v>
                </c:pt>
                <c:pt idx="2222">
                  <c:v>29.775090474999992</c:v>
                </c:pt>
                <c:pt idx="2223">
                  <c:v>29.775090474999992</c:v>
                </c:pt>
                <c:pt idx="2224">
                  <c:v>29.775090474999992</c:v>
                </c:pt>
                <c:pt idx="2225">
                  <c:v>29.775090474999992</c:v>
                </c:pt>
                <c:pt idx="2226">
                  <c:v>29.775090474999992</c:v>
                </c:pt>
                <c:pt idx="2227">
                  <c:v>29.775090474999992</c:v>
                </c:pt>
                <c:pt idx="2228">
                  <c:v>29.775090474999992</c:v>
                </c:pt>
                <c:pt idx="2229">
                  <c:v>29.775090474999992</c:v>
                </c:pt>
                <c:pt idx="2230">
                  <c:v>29.775090474999992</c:v>
                </c:pt>
                <c:pt idx="2231">
                  <c:v>29.775090474999992</c:v>
                </c:pt>
                <c:pt idx="2232">
                  <c:v>29.775090474999992</c:v>
                </c:pt>
                <c:pt idx="2233">
                  <c:v>29.775090474999992</c:v>
                </c:pt>
                <c:pt idx="2234">
                  <c:v>29.775090474999992</c:v>
                </c:pt>
                <c:pt idx="2235">
                  <c:v>29.775090474999992</c:v>
                </c:pt>
                <c:pt idx="2236">
                  <c:v>28.286335951249992</c:v>
                </c:pt>
                <c:pt idx="2237">
                  <c:v>28.286335951249992</c:v>
                </c:pt>
                <c:pt idx="2238">
                  <c:v>28.286335951249992</c:v>
                </c:pt>
                <c:pt idx="2239">
                  <c:v>28.286335951249992</c:v>
                </c:pt>
                <c:pt idx="2240">
                  <c:v>28.286335951249992</c:v>
                </c:pt>
                <c:pt idx="2241">
                  <c:v>26.872019153687489</c:v>
                </c:pt>
                <c:pt idx="2242">
                  <c:v>26.872019153687489</c:v>
                </c:pt>
                <c:pt idx="2243">
                  <c:v>26.872019153687489</c:v>
                </c:pt>
                <c:pt idx="2244">
                  <c:v>25.528418196003113</c:v>
                </c:pt>
                <c:pt idx="2245">
                  <c:v>24.251997286202958</c:v>
                </c:pt>
                <c:pt idx="2246">
                  <c:v>24.251997286202958</c:v>
                </c:pt>
                <c:pt idx="2247">
                  <c:v>23.039397421892808</c:v>
                </c:pt>
                <c:pt idx="2248">
                  <c:v>21.887427550798165</c:v>
                </c:pt>
                <c:pt idx="2249">
                  <c:v>21.887427550798165</c:v>
                </c:pt>
                <c:pt idx="2250">
                  <c:v>21.887427550798165</c:v>
                </c:pt>
                <c:pt idx="2251">
                  <c:v>21.887427550798165</c:v>
                </c:pt>
                <c:pt idx="2252">
                  <c:v>21.887427550798165</c:v>
                </c:pt>
                <c:pt idx="2253">
                  <c:v>21.887427550798165</c:v>
                </c:pt>
                <c:pt idx="2254">
                  <c:v>21.887427550798165</c:v>
                </c:pt>
                <c:pt idx="2255">
                  <c:v>21.887427550798165</c:v>
                </c:pt>
                <c:pt idx="2256">
                  <c:v>21.887427550798165</c:v>
                </c:pt>
                <c:pt idx="2257">
                  <c:v>21.887427550798165</c:v>
                </c:pt>
                <c:pt idx="2258">
                  <c:v>21.887427550798165</c:v>
                </c:pt>
                <c:pt idx="2259">
                  <c:v>21.887427550798165</c:v>
                </c:pt>
                <c:pt idx="2260">
                  <c:v>21.887427550798165</c:v>
                </c:pt>
                <c:pt idx="2261">
                  <c:v>20.793056173258258</c:v>
                </c:pt>
                <c:pt idx="2262">
                  <c:v>20.793056173258258</c:v>
                </c:pt>
                <c:pt idx="2263">
                  <c:v>20.793056173258258</c:v>
                </c:pt>
                <c:pt idx="2264">
                  <c:v>20.793056173258258</c:v>
                </c:pt>
                <c:pt idx="2265">
                  <c:v>20.793056173258258</c:v>
                </c:pt>
                <c:pt idx="2266">
                  <c:v>20.793056173258258</c:v>
                </c:pt>
                <c:pt idx="2267">
                  <c:v>20.793056173258258</c:v>
                </c:pt>
                <c:pt idx="2268">
                  <c:v>20.793056173258258</c:v>
                </c:pt>
                <c:pt idx="2269">
                  <c:v>20.793056173258258</c:v>
                </c:pt>
                <c:pt idx="2270">
                  <c:v>20.793056173258258</c:v>
                </c:pt>
                <c:pt idx="2271">
                  <c:v>20.793056173258258</c:v>
                </c:pt>
                <c:pt idx="2272">
                  <c:v>19.753403364595343</c:v>
                </c:pt>
                <c:pt idx="2273">
                  <c:v>19.753403364595343</c:v>
                </c:pt>
                <c:pt idx="2274">
                  <c:v>19.753403364595343</c:v>
                </c:pt>
                <c:pt idx="2275">
                  <c:v>19.753403364595343</c:v>
                </c:pt>
                <c:pt idx="2276">
                  <c:v>19.753403364595343</c:v>
                </c:pt>
                <c:pt idx="2277">
                  <c:v>19.753403364595343</c:v>
                </c:pt>
                <c:pt idx="2278">
                  <c:v>19.753403364595343</c:v>
                </c:pt>
                <c:pt idx="2279">
                  <c:v>19.753403364595343</c:v>
                </c:pt>
                <c:pt idx="2280">
                  <c:v>18.765733196365574</c:v>
                </c:pt>
                <c:pt idx="2281">
                  <c:v>17.827446536547296</c:v>
                </c:pt>
                <c:pt idx="2282">
                  <c:v>16.93607420971993</c:v>
                </c:pt>
                <c:pt idx="2283">
                  <c:v>16.93607420971993</c:v>
                </c:pt>
                <c:pt idx="2284">
                  <c:v>16.93607420971993</c:v>
                </c:pt>
                <c:pt idx="2285">
                  <c:v>16.93607420971993</c:v>
                </c:pt>
                <c:pt idx="2286">
                  <c:v>16.93607420971993</c:v>
                </c:pt>
                <c:pt idx="2287">
                  <c:v>16.93607420971993</c:v>
                </c:pt>
                <c:pt idx="2288">
                  <c:v>16.93607420971993</c:v>
                </c:pt>
                <c:pt idx="2289">
                  <c:v>16.93607420971993</c:v>
                </c:pt>
                <c:pt idx="2290">
                  <c:v>16.93607420971993</c:v>
                </c:pt>
                <c:pt idx="2291">
                  <c:v>16.93607420971993</c:v>
                </c:pt>
                <c:pt idx="2292">
                  <c:v>16.93607420971993</c:v>
                </c:pt>
                <c:pt idx="2293">
                  <c:v>16.93607420971993</c:v>
                </c:pt>
                <c:pt idx="2294">
                  <c:v>16.93607420971993</c:v>
                </c:pt>
                <c:pt idx="2295">
                  <c:v>16.93607420971993</c:v>
                </c:pt>
                <c:pt idx="2296">
                  <c:v>16.93607420971993</c:v>
                </c:pt>
                <c:pt idx="2297">
                  <c:v>16.93607420971993</c:v>
                </c:pt>
                <c:pt idx="2298">
                  <c:v>16.93607420971993</c:v>
                </c:pt>
                <c:pt idx="2299">
                  <c:v>16.93607420971993</c:v>
                </c:pt>
                <c:pt idx="2300">
                  <c:v>16.93607420971993</c:v>
                </c:pt>
                <c:pt idx="2301">
                  <c:v>16.93607420971993</c:v>
                </c:pt>
                <c:pt idx="2302">
                  <c:v>16.93607420971993</c:v>
                </c:pt>
                <c:pt idx="2303">
                  <c:v>16.93607420971993</c:v>
                </c:pt>
                <c:pt idx="2304">
                  <c:v>16.93607420971993</c:v>
                </c:pt>
                <c:pt idx="2305">
                  <c:v>16.93607420971993</c:v>
                </c:pt>
                <c:pt idx="2306">
                  <c:v>16.93607420971993</c:v>
                </c:pt>
                <c:pt idx="2307">
                  <c:v>16.93607420971993</c:v>
                </c:pt>
                <c:pt idx="2308">
                  <c:v>16.93607420971993</c:v>
                </c:pt>
                <c:pt idx="2309">
                  <c:v>16.93607420971993</c:v>
                </c:pt>
                <c:pt idx="2310">
                  <c:v>16.93607420971993</c:v>
                </c:pt>
                <c:pt idx="2311">
                  <c:v>16.93607420971993</c:v>
                </c:pt>
                <c:pt idx="2312">
                  <c:v>16.93607420971993</c:v>
                </c:pt>
                <c:pt idx="2313">
                  <c:v>16.93607420971993</c:v>
                </c:pt>
                <c:pt idx="2314">
                  <c:v>16.93607420971993</c:v>
                </c:pt>
                <c:pt idx="2315">
                  <c:v>16.93607420971993</c:v>
                </c:pt>
                <c:pt idx="2316">
                  <c:v>16.93607420971993</c:v>
                </c:pt>
                <c:pt idx="2317">
                  <c:v>16.93607420971993</c:v>
                </c:pt>
                <c:pt idx="2318">
                  <c:v>16.93607420971993</c:v>
                </c:pt>
                <c:pt idx="2319">
                  <c:v>16.93607420971993</c:v>
                </c:pt>
                <c:pt idx="2320">
                  <c:v>16.93607420971993</c:v>
                </c:pt>
                <c:pt idx="2321">
                  <c:v>16.93607420971993</c:v>
                </c:pt>
                <c:pt idx="2322">
                  <c:v>16.93607420971993</c:v>
                </c:pt>
                <c:pt idx="2323">
                  <c:v>16.93607420971993</c:v>
                </c:pt>
                <c:pt idx="2324">
                  <c:v>16.089270499233933</c:v>
                </c:pt>
                <c:pt idx="2325">
                  <c:v>16.089270499233933</c:v>
                </c:pt>
                <c:pt idx="2326">
                  <c:v>15.284806974272236</c:v>
                </c:pt>
                <c:pt idx="2327">
                  <c:v>15.284806974272236</c:v>
                </c:pt>
                <c:pt idx="2328">
                  <c:v>15.284806974272236</c:v>
                </c:pt>
                <c:pt idx="2329">
                  <c:v>15.284806974272236</c:v>
                </c:pt>
                <c:pt idx="2330">
                  <c:v>15.284806974272236</c:v>
                </c:pt>
                <c:pt idx="2331">
                  <c:v>15.284806974272236</c:v>
                </c:pt>
                <c:pt idx="2332">
                  <c:v>15.284806974272236</c:v>
                </c:pt>
                <c:pt idx="2333">
                  <c:v>15.284806974272236</c:v>
                </c:pt>
                <c:pt idx="2334">
                  <c:v>15.284806974272236</c:v>
                </c:pt>
                <c:pt idx="2335">
                  <c:v>15.284806974272236</c:v>
                </c:pt>
                <c:pt idx="2336">
                  <c:v>15.284806974272236</c:v>
                </c:pt>
                <c:pt idx="2337">
                  <c:v>15.284806974272236</c:v>
                </c:pt>
                <c:pt idx="2338">
                  <c:v>15.284806974272236</c:v>
                </c:pt>
                <c:pt idx="2339">
                  <c:v>15.284806974272236</c:v>
                </c:pt>
                <c:pt idx="2340">
                  <c:v>15.284806974272236</c:v>
                </c:pt>
                <c:pt idx="2341">
                  <c:v>15.284806974272236</c:v>
                </c:pt>
                <c:pt idx="2342">
                  <c:v>15.284806974272236</c:v>
                </c:pt>
                <c:pt idx="2343">
                  <c:v>15.284806974272236</c:v>
                </c:pt>
                <c:pt idx="2344">
                  <c:v>15.284806974272236</c:v>
                </c:pt>
                <c:pt idx="2345">
                  <c:v>15.284806974272236</c:v>
                </c:pt>
                <c:pt idx="2346">
                  <c:v>15.284806974272236</c:v>
                </c:pt>
                <c:pt idx="2347">
                  <c:v>15.284806974272236</c:v>
                </c:pt>
                <c:pt idx="2348">
                  <c:v>15.284806974272236</c:v>
                </c:pt>
                <c:pt idx="2349">
                  <c:v>15.284806974272236</c:v>
                </c:pt>
                <c:pt idx="2350">
                  <c:v>15.284806974272236</c:v>
                </c:pt>
                <c:pt idx="2351">
                  <c:v>15.284806974272236</c:v>
                </c:pt>
                <c:pt idx="2352">
                  <c:v>15.284806974272236</c:v>
                </c:pt>
                <c:pt idx="2353">
                  <c:v>15.284806974272236</c:v>
                </c:pt>
                <c:pt idx="2354">
                  <c:v>15.284806974272236</c:v>
                </c:pt>
                <c:pt idx="2355">
                  <c:v>15.284806974272236</c:v>
                </c:pt>
                <c:pt idx="2356">
                  <c:v>15.284806974272236</c:v>
                </c:pt>
                <c:pt idx="2357">
                  <c:v>15.284806974272236</c:v>
                </c:pt>
                <c:pt idx="2358">
                  <c:v>15.284806974272236</c:v>
                </c:pt>
                <c:pt idx="2359">
                  <c:v>15.284806974272236</c:v>
                </c:pt>
                <c:pt idx="2360">
                  <c:v>15.284806974272236</c:v>
                </c:pt>
                <c:pt idx="2361">
                  <c:v>15.284806974272236</c:v>
                </c:pt>
                <c:pt idx="2362">
                  <c:v>15.284806974272236</c:v>
                </c:pt>
                <c:pt idx="2363">
                  <c:v>15.284806974272236</c:v>
                </c:pt>
                <c:pt idx="2364">
                  <c:v>15.284806974272236</c:v>
                </c:pt>
                <c:pt idx="2365">
                  <c:v>15.284806974272236</c:v>
                </c:pt>
                <c:pt idx="2366">
                  <c:v>15.284806974272236</c:v>
                </c:pt>
                <c:pt idx="2367">
                  <c:v>15.284806974272236</c:v>
                </c:pt>
                <c:pt idx="2368">
                  <c:v>15.284806974272236</c:v>
                </c:pt>
                <c:pt idx="2369">
                  <c:v>15.284806974272236</c:v>
                </c:pt>
                <c:pt idx="2370">
                  <c:v>15.284806974272236</c:v>
                </c:pt>
                <c:pt idx="2371">
                  <c:v>15.284806974272236</c:v>
                </c:pt>
                <c:pt idx="2372">
                  <c:v>15.284806974272236</c:v>
                </c:pt>
                <c:pt idx="2373">
                  <c:v>15.284806974272236</c:v>
                </c:pt>
                <c:pt idx="2374">
                  <c:v>15.284806974272236</c:v>
                </c:pt>
                <c:pt idx="2375">
                  <c:v>15.284806974272236</c:v>
                </c:pt>
                <c:pt idx="2376">
                  <c:v>15.284806974272236</c:v>
                </c:pt>
                <c:pt idx="2377">
                  <c:v>15.284806974272236</c:v>
                </c:pt>
                <c:pt idx="2378">
                  <c:v>15.284806974272236</c:v>
                </c:pt>
                <c:pt idx="2379">
                  <c:v>15.284806974272236</c:v>
                </c:pt>
                <c:pt idx="2380">
                  <c:v>15.284806974272236</c:v>
                </c:pt>
                <c:pt idx="2381">
                  <c:v>15.284806974272236</c:v>
                </c:pt>
                <c:pt idx="2382">
                  <c:v>15.284806974272236</c:v>
                </c:pt>
                <c:pt idx="2383">
                  <c:v>15.284806974272236</c:v>
                </c:pt>
                <c:pt idx="2384">
                  <c:v>15.284806974272236</c:v>
                </c:pt>
                <c:pt idx="2385">
                  <c:v>15.284806974272236</c:v>
                </c:pt>
                <c:pt idx="2386">
                  <c:v>15.284806974272236</c:v>
                </c:pt>
                <c:pt idx="2387">
                  <c:v>15.284806974272236</c:v>
                </c:pt>
                <c:pt idx="2388">
                  <c:v>15.284806974272236</c:v>
                </c:pt>
                <c:pt idx="2389">
                  <c:v>15.284806974272236</c:v>
                </c:pt>
                <c:pt idx="2390">
                  <c:v>15.284806974272236</c:v>
                </c:pt>
                <c:pt idx="2391">
                  <c:v>15.284806974272236</c:v>
                </c:pt>
                <c:pt idx="2392">
                  <c:v>15.284806974272236</c:v>
                </c:pt>
                <c:pt idx="2393">
                  <c:v>15.284806974272236</c:v>
                </c:pt>
                <c:pt idx="2394">
                  <c:v>15.284806974272236</c:v>
                </c:pt>
                <c:pt idx="2395">
                  <c:v>15.284806974272236</c:v>
                </c:pt>
                <c:pt idx="2396">
                  <c:v>15.284806974272236</c:v>
                </c:pt>
                <c:pt idx="2397">
                  <c:v>15.284806974272236</c:v>
                </c:pt>
                <c:pt idx="2398">
                  <c:v>15.284806974272236</c:v>
                </c:pt>
                <c:pt idx="2399">
                  <c:v>15.284806974272236</c:v>
                </c:pt>
                <c:pt idx="2400">
                  <c:v>14.520566625558624</c:v>
                </c:pt>
                <c:pt idx="2401">
                  <c:v>14.520566625558624</c:v>
                </c:pt>
                <c:pt idx="2402">
                  <c:v>13.794538294280692</c:v>
                </c:pt>
                <c:pt idx="2403">
                  <c:v>13.794538294280692</c:v>
                </c:pt>
                <c:pt idx="2404">
                  <c:v>13.794538294280692</c:v>
                </c:pt>
                <c:pt idx="2405">
                  <c:v>13.794538294280692</c:v>
                </c:pt>
                <c:pt idx="2406">
                  <c:v>13.794538294280692</c:v>
                </c:pt>
                <c:pt idx="2407">
                  <c:v>13.794538294280692</c:v>
                </c:pt>
                <c:pt idx="2408">
                  <c:v>13.794538294280692</c:v>
                </c:pt>
                <c:pt idx="2409">
                  <c:v>13.794538294280692</c:v>
                </c:pt>
                <c:pt idx="2410">
                  <c:v>13.794538294280692</c:v>
                </c:pt>
                <c:pt idx="2411">
                  <c:v>13.794538294280692</c:v>
                </c:pt>
                <c:pt idx="2412">
                  <c:v>13.794538294280692</c:v>
                </c:pt>
                <c:pt idx="2413">
                  <c:v>13.794538294280692</c:v>
                </c:pt>
                <c:pt idx="2414">
                  <c:v>13.794538294280692</c:v>
                </c:pt>
                <c:pt idx="2415">
                  <c:v>13.794538294280692</c:v>
                </c:pt>
                <c:pt idx="2416">
                  <c:v>13.794538294280692</c:v>
                </c:pt>
                <c:pt idx="2417">
                  <c:v>13.794538294280692</c:v>
                </c:pt>
                <c:pt idx="2418">
                  <c:v>13.794538294280692</c:v>
                </c:pt>
                <c:pt idx="2419">
                  <c:v>13.794538294280692</c:v>
                </c:pt>
                <c:pt idx="2420">
                  <c:v>13.794538294280692</c:v>
                </c:pt>
                <c:pt idx="2421">
                  <c:v>13.794538294280692</c:v>
                </c:pt>
                <c:pt idx="2422">
                  <c:v>13.794538294280692</c:v>
                </c:pt>
                <c:pt idx="2423">
                  <c:v>13.794538294280692</c:v>
                </c:pt>
                <c:pt idx="2424">
                  <c:v>13.794538294280692</c:v>
                </c:pt>
                <c:pt idx="2425">
                  <c:v>13.794538294280692</c:v>
                </c:pt>
                <c:pt idx="2426">
                  <c:v>13.794538294280692</c:v>
                </c:pt>
                <c:pt idx="2427">
                  <c:v>13.794538294280692</c:v>
                </c:pt>
                <c:pt idx="2428">
                  <c:v>13.794538294280692</c:v>
                </c:pt>
                <c:pt idx="2429">
                  <c:v>13.794538294280692</c:v>
                </c:pt>
                <c:pt idx="2430">
                  <c:v>13.794538294280692</c:v>
                </c:pt>
                <c:pt idx="2431">
                  <c:v>13.794538294280692</c:v>
                </c:pt>
                <c:pt idx="2432">
                  <c:v>13.794538294280692</c:v>
                </c:pt>
                <c:pt idx="2433">
                  <c:v>13.794538294280692</c:v>
                </c:pt>
                <c:pt idx="2434">
                  <c:v>13.794538294280692</c:v>
                </c:pt>
                <c:pt idx="2435">
                  <c:v>13.794538294280692</c:v>
                </c:pt>
                <c:pt idx="2436">
                  <c:v>13.794538294280692</c:v>
                </c:pt>
                <c:pt idx="2437">
                  <c:v>13.794538294280692</c:v>
                </c:pt>
                <c:pt idx="2438">
                  <c:v>13.794538294280692</c:v>
                </c:pt>
                <c:pt idx="2439">
                  <c:v>13.794538294280692</c:v>
                </c:pt>
                <c:pt idx="2440">
                  <c:v>13.794538294280692</c:v>
                </c:pt>
                <c:pt idx="2441">
                  <c:v>13.794538294280692</c:v>
                </c:pt>
                <c:pt idx="2442">
                  <c:v>13.794538294280692</c:v>
                </c:pt>
                <c:pt idx="2443">
                  <c:v>13.794538294280692</c:v>
                </c:pt>
                <c:pt idx="2444">
                  <c:v>13.794538294280692</c:v>
                </c:pt>
                <c:pt idx="2445">
                  <c:v>13.794538294280692</c:v>
                </c:pt>
                <c:pt idx="2446">
                  <c:v>13.794538294280692</c:v>
                </c:pt>
                <c:pt idx="2447">
                  <c:v>13.794538294280692</c:v>
                </c:pt>
                <c:pt idx="2448">
                  <c:v>13.794538294280692</c:v>
                </c:pt>
                <c:pt idx="2449">
                  <c:v>13.794538294280692</c:v>
                </c:pt>
                <c:pt idx="2450">
                  <c:v>13.794538294280692</c:v>
                </c:pt>
                <c:pt idx="2451">
                  <c:v>13.794538294280692</c:v>
                </c:pt>
                <c:pt idx="2452">
                  <c:v>13.794538294280692</c:v>
                </c:pt>
                <c:pt idx="2453">
                  <c:v>13.794538294280692</c:v>
                </c:pt>
                <c:pt idx="2454">
                  <c:v>13.794538294280692</c:v>
                </c:pt>
                <c:pt idx="2455">
                  <c:v>13.794538294280692</c:v>
                </c:pt>
                <c:pt idx="2456">
                  <c:v>13.794538294280692</c:v>
                </c:pt>
                <c:pt idx="2457">
                  <c:v>13.794538294280692</c:v>
                </c:pt>
                <c:pt idx="2458">
                  <c:v>13.794538294280692</c:v>
                </c:pt>
                <c:pt idx="2459">
                  <c:v>13.794538294280692</c:v>
                </c:pt>
                <c:pt idx="2460">
                  <c:v>13.794538294280692</c:v>
                </c:pt>
                <c:pt idx="2461">
                  <c:v>13.794538294280692</c:v>
                </c:pt>
                <c:pt idx="2462">
                  <c:v>13.794538294280692</c:v>
                </c:pt>
                <c:pt idx="2463">
                  <c:v>13.794538294280692</c:v>
                </c:pt>
                <c:pt idx="2464">
                  <c:v>13.794538294280692</c:v>
                </c:pt>
                <c:pt idx="2465">
                  <c:v>13.794538294280692</c:v>
                </c:pt>
                <c:pt idx="2466">
                  <c:v>13.794538294280692</c:v>
                </c:pt>
                <c:pt idx="2467">
                  <c:v>13.794538294280692</c:v>
                </c:pt>
                <c:pt idx="2468">
                  <c:v>13.794538294280692</c:v>
                </c:pt>
                <c:pt idx="2469">
                  <c:v>13.794538294280692</c:v>
                </c:pt>
                <c:pt idx="2470">
                  <c:v>13.794538294280692</c:v>
                </c:pt>
                <c:pt idx="2471">
                  <c:v>13.794538294280692</c:v>
                </c:pt>
                <c:pt idx="2472">
                  <c:v>13.794538294280692</c:v>
                </c:pt>
                <c:pt idx="2473">
                  <c:v>13.794538294280692</c:v>
                </c:pt>
                <c:pt idx="2474">
                  <c:v>13.794538294280692</c:v>
                </c:pt>
                <c:pt idx="2475">
                  <c:v>13.794538294280692</c:v>
                </c:pt>
                <c:pt idx="2476">
                  <c:v>13.794538294280692</c:v>
                </c:pt>
                <c:pt idx="2477">
                  <c:v>13.794538294280692</c:v>
                </c:pt>
                <c:pt idx="2478">
                  <c:v>13.794538294280692</c:v>
                </c:pt>
                <c:pt idx="2479">
                  <c:v>13.794538294280692</c:v>
                </c:pt>
                <c:pt idx="2480">
                  <c:v>13.794538294280692</c:v>
                </c:pt>
                <c:pt idx="2481">
                  <c:v>13.794538294280692</c:v>
                </c:pt>
                <c:pt idx="2482">
                  <c:v>13.794538294280692</c:v>
                </c:pt>
                <c:pt idx="2483">
                  <c:v>13.794538294280692</c:v>
                </c:pt>
                <c:pt idx="2484">
                  <c:v>13.794538294280692</c:v>
                </c:pt>
                <c:pt idx="2485">
                  <c:v>13.794538294280692</c:v>
                </c:pt>
                <c:pt idx="2486">
                  <c:v>13.104811379566657</c:v>
                </c:pt>
                <c:pt idx="2487">
                  <c:v>13.104811379566657</c:v>
                </c:pt>
                <c:pt idx="2488">
                  <c:v>13.104811379566657</c:v>
                </c:pt>
                <c:pt idx="2489">
                  <c:v>13.104811379566657</c:v>
                </c:pt>
                <c:pt idx="2490">
                  <c:v>13.104811379566657</c:v>
                </c:pt>
                <c:pt idx="2491">
                  <c:v>13.104811379566657</c:v>
                </c:pt>
                <c:pt idx="2492">
                  <c:v>13.104811379566657</c:v>
                </c:pt>
                <c:pt idx="2493">
                  <c:v>13.104811379566657</c:v>
                </c:pt>
                <c:pt idx="2494">
                  <c:v>13.104811379566657</c:v>
                </c:pt>
                <c:pt idx="2495">
                  <c:v>13.104811379566657</c:v>
                </c:pt>
                <c:pt idx="2496">
                  <c:v>13.104811379566657</c:v>
                </c:pt>
                <c:pt idx="2497">
                  <c:v>13.104811379566657</c:v>
                </c:pt>
                <c:pt idx="2498">
                  <c:v>13.104811379566657</c:v>
                </c:pt>
                <c:pt idx="2499">
                  <c:v>13.104811379566657</c:v>
                </c:pt>
                <c:pt idx="2500">
                  <c:v>13.104811379566657</c:v>
                </c:pt>
                <c:pt idx="2501">
                  <c:v>13.104811379566657</c:v>
                </c:pt>
                <c:pt idx="2502">
                  <c:v>13.104811379566657</c:v>
                </c:pt>
                <c:pt idx="2503">
                  <c:v>13.104811379566657</c:v>
                </c:pt>
                <c:pt idx="2504">
                  <c:v>13.104811379566657</c:v>
                </c:pt>
                <c:pt idx="2505">
                  <c:v>13.104811379566657</c:v>
                </c:pt>
                <c:pt idx="2506">
                  <c:v>13.104811379566657</c:v>
                </c:pt>
                <c:pt idx="2507">
                  <c:v>13.104811379566657</c:v>
                </c:pt>
                <c:pt idx="2508">
                  <c:v>13.104811379566657</c:v>
                </c:pt>
                <c:pt idx="2509">
                  <c:v>13.104811379566657</c:v>
                </c:pt>
                <c:pt idx="2510">
                  <c:v>13.104811379566657</c:v>
                </c:pt>
                <c:pt idx="2511">
                  <c:v>13.104811379566657</c:v>
                </c:pt>
                <c:pt idx="2512">
                  <c:v>13.104811379566657</c:v>
                </c:pt>
                <c:pt idx="2513">
                  <c:v>13.104811379566657</c:v>
                </c:pt>
                <c:pt idx="2514">
                  <c:v>13.104811379566657</c:v>
                </c:pt>
                <c:pt idx="2515">
                  <c:v>13.104811379566657</c:v>
                </c:pt>
                <c:pt idx="2516">
                  <c:v>13.104811379566657</c:v>
                </c:pt>
              </c:numCache>
            </c:numRef>
          </c:val>
          <c:smooth val="0"/>
          <c:extLst>
            <c:ext xmlns:c16="http://schemas.microsoft.com/office/drawing/2014/chart" uri="{C3380CC4-5D6E-409C-BE32-E72D297353CC}">
              <c16:uniqueId val="{00000004-0CBD-48B0-8C04-EB0E02AC62AA}"/>
            </c:ext>
          </c:extLst>
        </c:ser>
        <c:dLbls>
          <c:showLegendKey val="0"/>
          <c:showVal val="0"/>
          <c:showCatName val="0"/>
          <c:showSerName val="0"/>
          <c:showPercent val="0"/>
          <c:showBubbleSize val="0"/>
        </c:dLbls>
        <c:smooth val="0"/>
        <c:axId val="1171155977"/>
        <c:axId val="1155256929"/>
      </c:lineChart>
      <c:dateAx>
        <c:axId val="1171155977"/>
        <c:scaling>
          <c:orientation val="minMax"/>
        </c:scaling>
        <c:delete val="0"/>
        <c:axPos val="b"/>
        <c:numFmt formatCode="yyyy" sourceLinked="0"/>
        <c:majorTickMark val="none"/>
        <c:minorTickMark val="none"/>
        <c:tickLblPos val="low"/>
        <c:spPr>
          <a:ln/>
        </c:spPr>
        <c:txPr>
          <a:bodyPr rot="0" vert="horz"/>
          <a:lstStyle/>
          <a:p>
            <a:pPr>
              <a:defRPr/>
            </a:pPr>
            <a:endParaRPr lang="en-US"/>
          </a:p>
        </c:txPr>
        <c:crossAx val="1155256929"/>
        <c:crosses val="autoZero"/>
        <c:auto val="1"/>
        <c:lblOffset val="100"/>
        <c:baseTimeUnit val="days"/>
        <c:majorUnit val="1"/>
        <c:majorTimeUnit val="years"/>
      </c:dateAx>
      <c:valAx>
        <c:axId val="1155256929"/>
        <c:scaling>
          <c:orientation val="minMax"/>
        </c:scaling>
        <c:delete val="0"/>
        <c:axPos val="l"/>
        <c:majorGridlines>
          <c:spPr>
            <a:ln>
              <a:solidFill>
                <a:srgbClr val="B7B7B7"/>
              </a:solidFill>
            </a:ln>
          </c:spPr>
        </c:majorGridlines>
        <c:numFmt formatCode="&quot;$&quot;#,##0" sourceLinked="0"/>
        <c:majorTickMark val="cross"/>
        <c:minorTickMark val="cross"/>
        <c:tickLblPos val="nextTo"/>
        <c:spPr>
          <a:ln w="47625">
            <a:noFill/>
          </a:ln>
        </c:spPr>
        <c:crossAx val="1171155977"/>
        <c:crosses val="autoZero"/>
        <c:crossBetween val="between"/>
      </c:valAx>
    </c:plotArea>
    <c:legend>
      <c:legendPos val="b"/>
      <c:overlay val="0"/>
    </c:legend>
    <c:plotVisOnly val="1"/>
    <c:dispBlanksAs val="zero"/>
    <c:showDLblsOverMax val="1"/>
  </c:chart>
  <c:spPr>
    <a:solidFill>
      <a:srgbClr val="FFFFFF"/>
    </a:solidFill>
    <a:ln>
      <a:solidFill>
        <a:schemeClr val="tx1"/>
      </a:solidFill>
    </a:ln>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2025585026804534E-2"/>
          <c:y val="0.1703187222275088"/>
          <c:w val="0.91167576727969479"/>
          <c:h val="0.68024689222038637"/>
        </c:manualLayout>
      </c:layout>
      <c:areaChart>
        <c:grouping val="standard"/>
        <c:varyColors val="0"/>
        <c:ser>
          <c:idx val="0"/>
          <c:order val="0"/>
          <c:tx>
            <c:v>Volume</c:v>
          </c:tx>
          <c:spPr>
            <a:solidFill>
              <a:srgbClr val="002060"/>
            </a:solidFill>
            <a:ln>
              <a:noFill/>
            </a:ln>
            <a:effectLst/>
          </c:spPr>
          <c:cat>
            <c:numRef>
              <c:f>'Stock Price Data'!$A$3:$A$2519</c:f>
              <c:numCache>
                <c:formatCode>m/d/yy</c:formatCode>
                <c:ptCount val="2517"/>
                <c:pt idx="0">
                  <c:v>39973</c:v>
                </c:pt>
                <c:pt idx="1">
                  <c:v>39974</c:v>
                </c:pt>
                <c:pt idx="2">
                  <c:v>39975</c:v>
                </c:pt>
                <c:pt idx="3">
                  <c:v>39976</c:v>
                </c:pt>
                <c:pt idx="4">
                  <c:v>39979</c:v>
                </c:pt>
                <c:pt idx="5">
                  <c:v>39980</c:v>
                </c:pt>
                <c:pt idx="6">
                  <c:v>39981</c:v>
                </c:pt>
                <c:pt idx="7">
                  <c:v>39982</c:v>
                </c:pt>
                <c:pt idx="8">
                  <c:v>39983</c:v>
                </c:pt>
                <c:pt idx="9">
                  <c:v>39986</c:v>
                </c:pt>
                <c:pt idx="10">
                  <c:v>39987</c:v>
                </c:pt>
                <c:pt idx="11">
                  <c:v>39988</c:v>
                </c:pt>
                <c:pt idx="12">
                  <c:v>39989</c:v>
                </c:pt>
                <c:pt idx="13">
                  <c:v>39990</c:v>
                </c:pt>
                <c:pt idx="14">
                  <c:v>39993</c:v>
                </c:pt>
                <c:pt idx="15">
                  <c:v>39994</c:v>
                </c:pt>
                <c:pt idx="16">
                  <c:v>39995</c:v>
                </c:pt>
                <c:pt idx="17">
                  <c:v>39996</c:v>
                </c:pt>
                <c:pt idx="18">
                  <c:v>40000</c:v>
                </c:pt>
                <c:pt idx="19">
                  <c:v>40001</c:v>
                </c:pt>
                <c:pt idx="20">
                  <c:v>40002</c:v>
                </c:pt>
                <c:pt idx="21">
                  <c:v>40003</c:v>
                </c:pt>
                <c:pt idx="22">
                  <c:v>40004</c:v>
                </c:pt>
                <c:pt idx="23">
                  <c:v>40007</c:v>
                </c:pt>
                <c:pt idx="24">
                  <c:v>40008</c:v>
                </c:pt>
                <c:pt idx="25">
                  <c:v>40009</c:v>
                </c:pt>
                <c:pt idx="26">
                  <c:v>40010</c:v>
                </c:pt>
                <c:pt idx="27">
                  <c:v>40011</c:v>
                </c:pt>
                <c:pt idx="28">
                  <c:v>40014</c:v>
                </c:pt>
                <c:pt idx="29">
                  <c:v>40015</c:v>
                </c:pt>
                <c:pt idx="30">
                  <c:v>40016</c:v>
                </c:pt>
                <c:pt idx="31">
                  <c:v>40017</c:v>
                </c:pt>
                <c:pt idx="32">
                  <c:v>40018</c:v>
                </c:pt>
                <c:pt idx="33">
                  <c:v>40021</c:v>
                </c:pt>
                <c:pt idx="34">
                  <c:v>40022</c:v>
                </c:pt>
                <c:pt idx="35">
                  <c:v>40023</c:v>
                </c:pt>
                <c:pt idx="36">
                  <c:v>40024</c:v>
                </c:pt>
                <c:pt idx="37">
                  <c:v>40025</c:v>
                </c:pt>
                <c:pt idx="38">
                  <c:v>40028</c:v>
                </c:pt>
                <c:pt idx="39">
                  <c:v>40029</c:v>
                </c:pt>
                <c:pt idx="40">
                  <c:v>40030</c:v>
                </c:pt>
                <c:pt idx="41">
                  <c:v>40031</c:v>
                </c:pt>
                <c:pt idx="42">
                  <c:v>40032</c:v>
                </c:pt>
                <c:pt idx="43">
                  <c:v>40035</c:v>
                </c:pt>
                <c:pt idx="44">
                  <c:v>40036</c:v>
                </c:pt>
                <c:pt idx="45">
                  <c:v>40037</c:v>
                </c:pt>
                <c:pt idx="46">
                  <c:v>40038</c:v>
                </c:pt>
                <c:pt idx="47">
                  <c:v>40039</c:v>
                </c:pt>
                <c:pt idx="48">
                  <c:v>40042</c:v>
                </c:pt>
                <c:pt idx="49">
                  <c:v>40043</c:v>
                </c:pt>
                <c:pt idx="50">
                  <c:v>40044</c:v>
                </c:pt>
                <c:pt idx="51">
                  <c:v>40045</c:v>
                </c:pt>
                <c:pt idx="52">
                  <c:v>40046</c:v>
                </c:pt>
                <c:pt idx="53">
                  <c:v>40049</c:v>
                </c:pt>
                <c:pt idx="54">
                  <c:v>40050</c:v>
                </c:pt>
                <c:pt idx="55">
                  <c:v>40051</c:v>
                </c:pt>
                <c:pt idx="56">
                  <c:v>40052</c:v>
                </c:pt>
                <c:pt idx="57">
                  <c:v>40053</c:v>
                </c:pt>
                <c:pt idx="58">
                  <c:v>40056</c:v>
                </c:pt>
                <c:pt idx="59">
                  <c:v>40057</c:v>
                </c:pt>
                <c:pt idx="60">
                  <c:v>40058</c:v>
                </c:pt>
                <c:pt idx="61">
                  <c:v>40059</c:v>
                </c:pt>
                <c:pt idx="62">
                  <c:v>40060</c:v>
                </c:pt>
                <c:pt idx="63">
                  <c:v>40064</c:v>
                </c:pt>
                <c:pt idx="64">
                  <c:v>40065</c:v>
                </c:pt>
                <c:pt idx="65">
                  <c:v>40066</c:v>
                </c:pt>
                <c:pt idx="66">
                  <c:v>40067</c:v>
                </c:pt>
                <c:pt idx="67">
                  <c:v>40070</c:v>
                </c:pt>
                <c:pt idx="68">
                  <c:v>40071</c:v>
                </c:pt>
                <c:pt idx="69">
                  <c:v>40072</c:v>
                </c:pt>
                <c:pt idx="70">
                  <c:v>40073</c:v>
                </c:pt>
                <c:pt idx="71">
                  <c:v>40074</c:v>
                </c:pt>
                <c:pt idx="72">
                  <c:v>40077</c:v>
                </c:pt>
                <c:pt idx="73">
                  <c:v>40078</c:v>
                </c:pt>
                <c:pt idx="74">
                  <c:v>40079</c:v>
                </c:pt>
                <c:pt idx="75">
                  <c:v>40080</c:v>
                </c:pt>
                <c:pt idx="76">
                  <c:v>40081</c:v>
                </c:pt>
                <c:pt idx="77">
                  <c:v>40084</c:v>
                </c:pt>
                <c:pt idx="78">
                  <c:v>40085</c:v>
                </c:pt>
                <c:pt idx="79">
                  <c:v>40086</c:v>
                </c:pt>
                <c:pt idx="80">
                  <c:v>40087</c:v>
                </c:pt>
                <c:pt idx="81">
                  <c:v>40088</c:v>
                </c:pt>
                <c:pt idx="82">
                  <c:v>40091</c:v>
                </c:pt>
                <c:pt idx="83">
                  <c:v>40092</c:v>
                </c:pt>
                <c:pt idx="84">
                  <c:v>40093</c:v>
                </c:pt>
                <c:pt idx="85">
                  <c:v>40094</c:v>
                </c:pt>
                <c:pt idx="86">
                  <c:v>40095</c:v>
                </c:pt>
                <c:pt idx="87">
                  <c:v>40098</c:v>
                </c:pt>
                <c:pt idx="88">
                  <c:v>40099</c:v>
                </c:pt>
                <c:pt idx="89">
                  <c:v>40100</c:v>
                </c:pt>
                <c:pt idx="90">
                  <c:v>40101</c:v>
                </c:pt>
                <c:pt idx="91">
                  <c:v>40102</c:v>
                </c:pt>
                <c:pt idx="92">
                  <c:v>40105</c:v>
                </c:pt>
                <c:pt idx="93">
                  <c:v>40106</c:v>
                </c:pt>
                <c:pt idx="94">
                  <c:v>40107</c:v>
                </c:pt>
                <c:pt idx="95">
                  <c:v>40108</c:v>
                </c:pt>
                <c:pt idx="96">
                  <c:v>40109</c:v>
                </c:pt>
                <c:pt idx="97">
                  <c:v>40112</c:v>
                </c:pt>
                <c:pt idx="98">
                  <c:v>40113</c:v>
                </c:pt>
                <c:pt idx="99">
                  <c:v>40114</c:v>
                </c:pt>
                <c:pt idx="100">
                  <c:v>40115</c:v>
                </c:pt>
                <c:pt idx="101">
                  <c:v>40116</c:v>
                </c:pt>
                <c:pt idx="102">
                  <c:v>40119</c:v>
                </c:pt>
                <c:pt idx="103">
                  <c:v>40120</c:v>
                </c:pt>
                <c:pt idx="104">
                  <c:v>40121</c:v>
                </c:pt>
                <c:pt idx="105">
                  <c:v>40122</c:v>
                </c:pt>
                <c:pt idx="106">
                  <c:v>40123</c:v>
                </c:pt>
                <c:pt idx="107">
                  <c:v>40126</c:v>
                </c:pt>
                <c:pt idx="108">
                  <c:v>40127</c:v>
                </c:pt>
                <c:pt idx="109">
                  <c:v>40128</c:v>
                </c:pt>
                <c:pt idx="110">
                  <c:v>40129</c:v>
                </c:pt>
                <c:pt idx="111">
                  <c:v>40130</c:v>
                </c:pt>
                <c:pt idx="112">
                  <c:v>40133</c:v>
                </c:pt>
                <c:pt idx="113">
                  <c:v>40134</c:v>
                </c:pt>
                <c:pt idx="114">
                  <c:v>40135</c:v>
                </c:pt>
                <c:pt idx="115">
                  <c:v>40136</c:v>
                </c:pt>
                <c:pt idx="116">
                  <c:v>40137</c:v>
                </c:pt>
                <c:pt idx="117">
                  <c:v>40140</c:v>
                </c:pt>
                <c:pt idx="118">
                  <c:v>40141</c:v>
                </c:pt>
                <c:pt idx="119">
                  <c:v>40142</c:v>
                </c:pt>
                <c:pt idx="120">
                  <c:v>40144</c:v>
                </c:pt>
                <c:pt idx="121">
                  <c:v>40147</c:v>
                </c:pt>
                <c:pt idx="122">
                  <c:v>40148</c:v>
                </c:pt>
                <c:pt idx="123">
                  <c:v>40149</c:v>
                </c:pt>
                <c:pt idx="124">
                  <c:v>40150</c:v>
                </c:pt>
                <c:pt idx="125">
                  <c:v>40151</c:v>
                </c:pt>
                <c:pt idx="126">
                  <c:v>40154</c:v>
                </c:pt>
                <c:pt idx="127">
                  <c:v>40155</c:v>
                </c:pt>
                <c:pt idx="128">
                  <c:v>40156</c:v>
                </c:pt>
                <c:pt idx="129">
                  <c:v>40157</c:v>
                </c:pt>
                <c:pt idx="130">
                  <c:v>40158</c:v>
                </c:pt>
                <c:pt idx="131">
                  <c:v>40161</c:v>
                </c:pt>
                <c:pt idx="132">
                  <c:v>40162</c:v>
                </c:pt>
                <c:pt idx="133">
                  <c:v>40163</c:v>
                </c:pt>
                <c:pt idx="134">
                  <c:v>40164</c:v>
                </c:pt>
                <c:pt idx="135">
                  <c:v>40165</c:v>
                </c:pt>
                <c:pt idx="136">
                  <c:v>40168</c:v>
                </c:pt>
                <c:pt idx="137">
                  <c:v>40169</c:v>
                </c:pt>
                <c:pt idx="138">
                  <c:v>40170</c:v>
                </c:pt>
                <c:pt idx="139">
                  <c:v>40171</c:v>
                </c:pt>
                <c:pt idx="140">
                  <c:v>40175</c:v>
                </c:pt>
                <c:pt idx="141">
                  <c:v>40176</c:v>
                </c:pt>
                <c:pt idx="142">
                  <c:v>40177</c:v>
                </c:pt>
                <c:pt idx="143">
                  <c:v>40178</c:v>
                </c:pt>
                <c:pt idx="144">
                  <c:v>40182</c:v>
                </c:pt>
                <c:pt idx="145">
                  <c:v>40183</c:v>
                </c:pt>
                <c:pt idx="146">
                  <c:v>40184</c:v>
                </c:pt>
                <c:pt idx="147">
                  <c:v>40185</c:v>
                </c:pt>
                <c:pt idx="148">
                  <c:v>40186</c:v>
                </c:pt>
                <c:pt idx="149">
                  <c:v>40189</c:v>
                </c:pt>
                <c:pt idx="150">
                  <c:v>40190</c:v>
                </c:pt>
                <c:pt idx="151">
                  <c:v>40191</c:v>
                </c:pt>
                <c:pt idx="152">
                  <c:v>40192</c:v>
                </c:pt>
                <c:pt idx="153">
                  <c:v>40193</c:v>
                </c:pt>
                <c:pt idx="154">
                  <c:v>40197</c:v>
                </c:pt>
                <c:pt idx="155">
                  <c:v>40198</c:v>
                </c:pt>
                <c:pt idx="156">
                  <c:v>40199</c:v>
                </c:pt>
                <c:pt idx="157">
                  <c:v>40200</c:v>
                </c:pt>
                <c:pt idx="158">
                  <c:v>40203</c:v>
                </c:pt>
                <c:pt idx="159">
                  <c:v>40204</c:v>
                </c:pt>
                <c:pt idx="160">
                  <c:v>40205</c:v>
                </c:pt>
                <c:pt idx="161">
                  <c:v>40206</c:v>
                </c:pt>
                <c:pt idx="162">
                  <c:v>40207</c:v>
                </c:pt>
                <c:pt idx="163">
                  <c:v>40210</c:v>
                </c:pt>
                <c:pt idx="164">
                  <c:v>40211</c:v>
                </c:pt>
                <c:pt idx="165">
                  <c:v>40212</c:v>
                </c:pt>
                <c:pt idx="166">
                  <c:v>40213</c:v>
                </c:pt>
                <c:pt idx="167">
                  <c:v>40214</c:v>
                </c:pt>
                <c:pt idx="168">
                  <c:v>40217</c:v>
                </c:pt>
                <c:pt idx="169">
                  <c:v>40218</c:v>
                </c:pt>
                <c:pt idx="170">
                  <c:v>40219</c:v>
                </c:pt>
                <c:pt idx="171">
                  <c:v>40220</c:v>
                </c:pt>
                <c:pt idx="172">
                  <c:v>40221</c:v>
                </c:pt>
                <c:pt idx="173">
                  <c:v>40225</c:v>
                </c:pt>
                <c:pt idx="174">
                  <c:v>40226</c:v>
                </c:pt>
                <c:pt idx="175">
                  <c:v>40227</c:v>
                </c:pt>
                <c:pt idx="176">
                  <c:v>40228</c:v>
                </c:pt>
                <c:pt idx="177">
                  <c:v>40231</c:v>
                </c:pt>
                <c:pt idx="178">
                  <c:v>40232</c:v>
                </c:pt>
                <c:pt idx="179">
                  <c:v>40233</c:v>
                </c:pt>
                <c:pt idx="180">
                  <c:v>40234</c:v>
                </c:pt>
                <c:pt idx="181">
                  <c:v>40235</c:v>
                </c:pt>
                <c:pt idx="182">
                  <c:v>40238</c:v>
                </c:pt>
                <c:pt idx="183">
                  <c:v>40239</c:v>
                </c:pt>
                <c:pt idx="184">
                  <c:v>40240</c:v>
                </c:pt>
                <c:pt idx="185">
                  <c:v>40241</c:v>
                </c:pt>
                <c:pt idx="186">
                  <c:v>40242</c:v>
                </c:pt>
                <c:pt idx="187">
                  <c:v>40245</c:v>
                </c:pt>
                <c:pt idx="188">
                  <c:v>40246</c:v>
                </c:pt>
                <c:pt idx="189">
                  <c:v>40247</c:v>
                </c:pt>
                <c:pt idx="190">
                  <c:v>40248</c:v>
                </c:pt>
                <c:pt idx="191">
                  <c:v>40249</c:v>
                </c:pt>
                <c:pt idx="192">
                  <c:v>40252</c:v>
                </c:pt>
                <c:pt idx="193">
                  <c:v>40253</c:v>
                </c:pt>
                <c:pt idx="194">
                  <c:v>40254</c:v>
                </c:pt>
                <c:pt idx="195">
                  <c:v>40255</c:v>
                </c:pt>
                <c:pt idx="196">
                  <c:v>40256</c:v>
                </c:pt>
                <c:pt idx="197">
                  <c:v>40259</c:v>
                </c:pt>
                <c:pt idx="198">
                  <c:v>40260</c:v>
                </c:pt>
                <c:pt idx="199">
                  <c:v>40261</c:v>
                </c:pt>
                <c:pt idx="200">
                  <c:v>40262</c:v>
                </c:pt>
                <c:pt idx="201">
                  <c:v>40263</c:v>
                </c:pt>
                <c:pt idx="202">
                  <c:v>40266</c:v>
                </c:pt>
                <c:pt idx="203">
                  <c:v>40267</c:v>
                </c:pt>
                <c:pt idx="204">
                  <c:v>40268</c:v>
                </c:pt>
                <c:pt idx="205">
                  <c:v>40269</c:v>
                </c:pt>
                <c:pt idx="206">
                  <c:v>40273</c:v>
                </c:pt>
                <c:pt idx="207">
                  <c:v>40274</c:v>
                </c:pt>
                <c:pt idx="208">
                  <c:v>40275</c:v>
                </c:pt>
                <c:pt idx="209">
                  <c:v>40276</c:v>
                </c:pt>
                <c:pt idx="210">
                  <c:v>40277</c:v>
                </c:pt>
                <c:pt idx="211">
                  <c:v>40280</c:v>
                </c:pt>
                <c:pt idx="212">
                  <c:v>40281</c:v>
                </c:pt>
                <c:pt idx="213">
                  <c:v>40282</c:v>
                </c:pt>
                <c:pt idx="214">
                  <c:v>40283</c:v>
                </c:pt>
                <c:pt idx="215">
                  <c:v>40284</c:v>
                </c:pt>
                <c:pt idx="216">
                  <c:v>40287</c:v>
                </c:pt>
                <c:pt idx="217">
                  <c:v>40288</c:v>
                </c:pt>
                <c:pt idx="218">
                  <c:v>40289</c:v>
                </c:pt>
                <c:pt idx="219">
                  <c:v>40290</c:v>
                </c:pt>
                <c:pt idx="220">
                  <c:v>40291</c:v>
                </c:pt>
                <c:pt idx="221">
                  <c:v>40294</c:v>
                </c:pt>
                <c:pt idx="222">
                  <c:v>40295</c:v>
                </c:pt>
                <c:pt idx="223">
                  <c:v>40296</c:v>
                </c:pt>
                <c:pt idx="224">
                  <c:v>40297</c:v>
                </c:pt>
                <c:pt idx="225">
                  <c:v>40298</c:v>
                </c:pt>
                <c:pt idx="226">
                  <c:v>40301</c:v>
                </c:pt>
                <c:pt idx="227">
                  <c:v>40302</c:v>
                </c:pt>
                <c:pt idx="228">
                  <c:v>40303</c:v>
                </c:pt>
                <c:pt idx="229">
                  <c:v>40304</c:v>
                </c:pt>
                <c:pt idx="230">
                  <c:v>40305</c:v>
                </c:pt>
                <c:pt idx="231">
                  <c:v>40308</c:v>
                </c:pt>
                <c:pt idx="232">
                  <c:v>40309</c:v>
                </c:pt>
                <c:pt idx="233">
                  <c:v>40310</c:v>
                </c:pt>
                <c:pt idx="234">
                  <c:v>40311</c:v>
                </c:pt>
                <c:pt idx="235">
                  <c:v>40312</c:v>
                </c:pt>
                <c:pt idx="236">
                  <c:v>40315</c:v>
                </c:pt>
                <c:pt idx="237">
                  <c:v>40316</c:v>
                </c:pt>
                <c:pt idx="238">
                  <c:v>40317</c:v>
                </c:pt>
                <c:pt idx="239">
                  <c:v>40318</c:v>
                </c:pt>
                <c:pt idx="240">
                  <c:v>40319</c:v>
                </c:pt>
                <c:pt idx="241">
                  <c:v>40322</c:v>
                </c:pt>
                <c:pt idx="242">
                  <c:v>40323</c:v>
                </c:pt>
                <c:pt idx="243">
                  <c:v>40324</c:v>
                </c:pt>
                <c:pt idx="244">
                  <c:v>40325</c:v>
                </c:pt>
                <c:pt idx="245">
                  <c:v>40326</c:v>
                </c:pt>
                <c:pt idx="246">
                  <c:v>40330</c:v>
                </c:pt>
                <c:pt idx="247">
                  <c:v>40331</c:v>
                </c:pt>
                <c:pt idx="248">
                  <c:v>40332</c:v>
                </c:pt>
                <c:pt idx="249">
                  <c:v>40333</c:v>
                </c:pt>
                <c:pt idx="250">
                  <c:v>40336</c:v>
                </c:pt>
                <c:pt idx="251">
                  <c:v>40337</c:v>
                </c:pt>
                <c:pt idx="252">
                  <c:v>40338</c:v>
                </c:pt>
                <c:pt idx="253">
                  <c:v>40339</c:v>
                </c:pt>
                <c:pt idx="254">
                  <c:v>40340</c:v>
                </c:pt>
                <c:pt idx="255">
                  <c:v>40343</c:v>
                </c:pt>
                <c:pt idx="256">
                  <c:v>40344</c:v>
                </c:pt>
                <c:pt idx="257">
                  <c:v>40345</c:v>
                </c:pt>
                <c:pt idx="258">
                  <c:v>40346</c:v>
                </c:pt>
                <c:pt idx="259">
                  <c:v>40347</c:v>
                </c:pt>
                <c:pt idx="260">
                  <c:v>40350</c:v>
                </c:pt>
                <c:pt idx="261">
                  <c:v>40351</c:v>
                </c:pt>
                <c:pt idx="262">
                  <c:v>40352</c:v>
                </c:pt>
                <c:pt idx="263">
                  <c:v>40353</c:v>
                </c:pt>
                <c:pt idx="264">
                  <c:v>40354</c:v>
                </c:pt>
                <c:pt idx="265">
                  <c:v>40357</c:v>
                </c:pt>
                <c:pt idx="266">
                  <c:v>40358</c:v>
                </c:pt>
                <c:pt idx="267">
                  <c:v>40359</c:v>
                </c:pt>
                <c:pt idx="268">
                  <c:v>40360</c:v>
                </c:pt>
                <c:pt idx="269">
                  <c:v>40361</c:v>
                </c:pt>
                <c:pt idx="270">
                  <c:v>40365</c:v>
                </c:pt>
                <c:pt idx="271">
                  <c:v>40366</c:v>
                </c:pt>
                <c:pt idx="272">
                  <c:v>40367</c:v>
                </c:pt>
                <c:pt idx="273">
                  <c:v>40368</c:v>
                </c:pt>
                <c:pt idx="274">
                  <c:v>40371</c:v>
                </c:pt>
                <c:pt idx="275">
                  <c:v>40372</c:v>
                </c:pt>
                <c:pt idx="276">
                  <c:v>40373</c:v>
                </c:pt>
                <c:pt idx="277">
                  <c:v>40374</c:v>
                </c:pt>
                <c:pt idx="278">
                  <c:v>40375</c:v>
                </c:pt>
                <c:pt idx="279">
                  <c:v>40378</c:v>
                </c:pt>
                <c:pt idx="280">
                  <c:v>40379</c:v>
                </c:pt>
                <c:pt idx="281">
                  <c:v>40380</c:v>
                </c:pt>
                <c:pt idx="282">
                  <c:v>40381</c:v>
                </c:pt>
                <c:pt idx="283">
                  <c:v>40382</c:v>
                </c:pt>
                <c:pt idx="284">
                  <c:v>40385</c:v>
                </c:pt>
                <c:pt idx="285">
                  <c:v>40386</c:v>
                </c:pt>
                <c:pt idx="286">
                  <c:v>40387</c:v>
                </c:pt>
                <c:pt idx="287">
                  <c:v>40388</c:v>
                </c:pt>
                <c:pt idx="288">
                  <c:v>40389</c:v>
                </c:pt>
                <c:pt idx="289">
                  <c:v>40392</c:v>
                </c:pt>
                <c:pt idx="290">
                  <c:v>40393</c:v>
                </c:pt>
                <c:pt idx="291">
                  <c:v>40394</c:v>
                </c:pt>
                <c:pt idx="292">
                  <c:v>40395</c:v>
                </c:pt>
                <c:pt idx="293">
                  <c:v>40396</c:v>
                </c:pt>
                <c:pt idx="294">
                  <c:v>40399</c:v>
                </c:pt>
                <c:pt idx="295">
                  <c:v>40400</c:v>
                </c:pt>
                <c:pt idx="296">
                  <c:v>40401</c:v>
                </c:pt>
                <c:pt idx="297">
                  <c:v>40402</c:v>
                </c:pt>
                <c:pt idx="298">
                  <c:v>40403</c:v>
                </c:pt>
                <c:pt idx="299">
                  <c:v>40406</c:v>
                </c:pt>
                <c:pt idx="300">
                  <c:v>40407</c:v>
                </c:pt>
                <c:pt idx="301">
                  <c:v>40408</c:v>
                </c:pt>
                <c:pt idx="302">
                  <c:v>40409</c:v>
                </c:pt>
                <c:pt idx="303">
                  <c:v>40410</c:v>
                </c:pt>
                <c:pt idx="304">
                  <c:v>40413</c:v>
                </c:pt>
                <c:pt idx="305">
                  <c:v>40414</c:v>
                </c:pt>
                <c:pt idx="306">
                  <c:v>40415</c:v>
                </c:pt>
                <c:pt idx="307">
                  <c:v>40416</c:v>
                </c:pt>
                <c:pt idx="308">
                  <c:v>40417</c:v>
                </c:pt>
                <c:pt idx="309">
                  <c:v>40420</c:v>
                </c:pt>
                <c:pt idx="310">
                  <c:v>40421</c:v>
                </c:pt>
                <c:pt idx="311">
                  <c:v>40422</c:v>
                </c:pt>
                <c:pt idx="312">
                  <c:v>40423</c:v>
                </c:pt>
                <c:pt idx="313">
                  <c:v>40424</c:v>
                </c:pt>
                <c:pt idx="314">
                  <c:v>40428</c:v>
                </c:pt>
                <c:pt idx="315">
                  <c:v>40429</c:v>
                </c:pt>
                <c:pt idx="316">
                  <c:v>40430</c:v>
                </c:pt>
                <c:pt idx="317">
                  <c:v>40431</c:v>
                </c:pt>
                <c:pt idx="318">
                  <c:v>40434</c:v>
                </c:pt>
                <c:pt idx="319">
                  <c:v>40435</c:v>
                </c:pt>
                <c:pt idx="320">
                  <c:v>40436</c:v>
                </c:pt>
                <c:pt idx="321">
                  <c:v>40437</c:v>
                </c:pt>
                <c:pt idx="322">
                  <c:v>40438</c:v>
                </c:pt>
                <c:pt idx="323">
                  <c:v>40441</c:v>
                </c:pt>
                <c:pt idx="324">
                  <c:v>40442</c:v>
                </c:pt>
                <c:pt idx="325">
                  <c:v>40443</c:v>
                </c:pt>
                <c:pt idx="326">
                  <c:v>40444</c:v>
                </c:pt>
                <c:pt idx="327">
                  <c:v>40445</c:v>
                </c:pt>
                <c:pt idx="328">
                  <c:v>40448</c:v>
                </c:pt>
                <c:pt idx="329">
                  <c:v>40449</c:v>
                </c:pt>
                <c:pt idx="330">
                  <c:v>40450</c:v>
                </c:pt>
                <c:pt idx="331">
                  <c:v>40451</c:v>
                </c:pt>
                <c:pt idx="332">
                  <c:v>40452</c:v>
                </c:pt>
                <c:pt idx="333">
                  <c:v>40455</c:v>
                </c:pt>
                <c:pt idx="334">
                  <c:v>40456</c:v>
                </c:pt>
                <c:pt idx="335">
                  <c:v>40457</c:v>
                </c:pt>
                <c:pt idx="336">
                  <c:v>40458</c:v>
                </c:pt>
                <c:pt idx="337">
                  <c:v>40459</c:v>
                </c:pt>
                <c:pt idx="338">
                  <c:v>40462</c:v>
                </c:pt>
                <c:pt idx="339">
                  <c:v>40463</c:v>
                </c:pt>
                <c:pt idx="340">
                  <c:v>40464</c:v>
                </c:pt>
                <c:pt idx="341">
                  <c:v>40465</c:v>
                </c:pt>
                <c:pt idx="342">
                  <c:v>40466</c:v>
                </c:pt>
                <c:pt idx="343">
                  <c:v>40469</c:v>
                </c:pt>
                <c:pt idx="344">
                  <c:v>40470</c:v>
                </c:pt>
                <c:pt idx="345">
                  <c:v>40471</c:v>
                </c:pt>
                <c:pt idx="346">
                  <c:v>40472</c:v>
                </c:pt>
                <c:pt idx="347">
                  <c:v>40473</c:v>
                </c:pt>
                <c:pt idx="348">
                  <c:v>40476</c:v>
                </c:pt>
                <c:pt idx="349">
                  <c:v>40477</c:v>
                </c:pt>
                <c:pt idx="350">
                  <c:v>40478</c:v>
                </c:pt>
                <c:pt idx="351">
                  <c:v>40479</c:v>
                </c:pt>
                <c:pt idx="352">
                  <c:v>40480</c:v>
                </c:pt>
                <c:pt idx="353">
                  <c:v>40483</c:v>
                </c:pt>
                <c:pt idx="354">
                  <c:v>40484</c:v>
                </c:pt>
                <c:pt idx="355">
                  <c:v>40485</c:v>
                </c:pt>
                <c:pt idx="356">
                  <c:v>40486</c:v>
                </c:pt>
                <c:pt idx="357">
                  <c:v>40487</c:v>
                </c:pt>
                <c:pt idx="358">
                  <c:v>40490</c:v>
                </c:pt>
                <c:pt idx="359">
                  <c:v>40491</c:v>
                </c:pt>
                <c:pt idx="360">
                  <c:v>40492</c:v>
                </c:pt>
                <c:pt idx="361">
                  <c:v>40493</c:v>
                </c:pt>
                <c:pt idx="362">
                  <c:v>40494</c:v>
                </c:pt>
                <c:pt idx="363">
                  <c:v>40497</c:v>
                </c:pt>
                <c:pt idx="364">
                  <c:v>40498</c:v>
                </c:pt>
                <c:pt idx="365">
                  <c:v>40499</c:v>
                </c:pt>
                <c:pt idx="366">
                  <c:v>40500</c:v>
                </c:pt>
                <c:pt idx="367">
                  <c:v>40501</c:v>
                </c:pt>
                <c:pt idx="368">
                  <c:v>40504</c:v>
                </c:pt>
                <c:pt idx="369">
                  <c:v>40505</c:v>
                </c:pt>
                <c:pt idx="370">
                  <c:v>40506</c:v>
                </c:pt>
                <c:pt idx="371">
                  <c:v>40508</c:v>
                </c:pt>
                <c:pt idx="372">
                  <c:v>40511</c:v>
                </c:pt>
                <c:pt idx="373">
                  <c:v>40512</c:v>
                </c:pt>
                <c:pt idx="374">
                  <c:v>40513</c:v>
                </c:pt>
                <c:pt idx="375">
                  <c:v>40514</c:v>
                </c:pt>
                <c:pt idx="376">
                  <c:v>40515</c:v>
                </c:pt>
                <c:pt idx="377">
                  <c:v>40518</c:v>
                </c:pt>
                <c:pt idx="378">
                  <c:v>40519</c:v>
                </c:pt>
                <c:pt idx="379">
                  <c:v>40520</c:v>
                </c:pt>
                <c:pt idx="380">
                  <c:v>40521</c:v>
                </c:pt>
                <c:pt idx="381">
                  <c:v>40522</c:v>
                </c:pt>
                <c:pt idx="382">
                  <c:v>40525</c:v>
                </c:pt>
                <c:pt idx="383">
                  <c:v>40526</c:v>
                </c:pt>
                <c:pt idx="384">
                  <c:v>40527</c:v>
                </c:pt>
                <c:pt idx="385">
                  <c:v>40528</c:v>
                </c:pt>
                <c:pt idx="386">
                  <c:v>40529</c:v>
                </c:pt>
                <c:pt idx="387">
                  <c:v>40532</c:v>
                </c:pt>
                <c:pt idx="388">
                  <c:v>40533</c:v>
                </c:pt>
                <c:pt idx="389">
                  <c:v>40534</c:v>
                </c:pt>
                <c:pt idx="390">
                  <c:v>40535</c:v>
                </c:pt>
                <c:pt idx="391">
                  <c:v>40539</c:v>
                </c:pt>
                <c:pt idx="392">
                  <c:v>40540</c:v>
                </c:pt>
                <c:pt idx="393">
                  <c:v>40541</c:v>
                </c:pt>
                <c:pt idx="394">
                  <c:v>40542</c:v>
                </c:pt>
                <c:pt idx="395">
                  <c:v>40543</c:v>
                </c:pt>
                <c:pt idx="396">
                  <c:v>40546</c:v>
                </c:pt>
                <c:pt idx="397">
                  <c:v>40547</c:v>
                </c:pt>
                <c:pt idx="398">
                  <c:v>40548</c:v>
                </c:pt>
                <c:pt idx="399">
                  <c:v>40549</c:v>
                </c:pt>
                <c:pt idx="400">
                  <c:v>40550</c:v>
                </c:pt>
                <c:pt idx="401">
                  <c:v>40553</c:v>
                </c:pt>
                <c:pt idx="402">
                  <c:v>40554</c:v>
                </c:pt>
                <c:pt idx="403">
                  <c:v>40555</c:v>
                </c:pt>
                <c:pt idx="404">
                  <c:v>40556</c:v>
                </c:pt>
                <c:pt idx="405">
                  <c:v>40557</c:v>
                </c:pt>
                <c:pt idx="406">
                  <c:v>40561</c:v>
                </c:pt>
                <c:pt idx="407">
                  <c:v>40562</c:v>
                </c:pt>
                <c:pt idx="408">
                  <c:v>40563</c:v>
                </c:pt>
                <c:pt idx="409">
                  <c:v>40564</c:v>
                </c:pt>
                <c:pt idx="410">
                  <c:v>40567</c:v>
                </c:pt>
                <c:pt idx="411">
                  <c:v>40568</c:v>
                </c:pt>
                <c:pt idx="412">
                  <c:v>40569</c:v>
                </c:pt>
                <c:pt idx="413">
                  <c:v>40570</c:v>
                </c:pt>
                <c:pt idx="414">
                  <c:v>40571</c:v>
                </c:pt>
                <c:pt idx="415">
                  <c:v>40574</c:v>
                </c:pt>
                <c:pt idx="416">
                  <c:v>40575</c:v>
                </c:pt>
                <c:pt idx="417">
                  <c:v>40576</c:v>
                </c:pt>
                <c:pt idx="418">
                  <c:v>40577</c:v>
                </c:pt>
                <c:pt idx="419">
                  <c:v>40578</c:v>
                </c:pt>
                <c:pt idx="420">
                  <c:v>40581</c:v>
                </c:pt>
                <c:pt idx="421">
                  <c:v>40582</c:v>
                </c:pt>
                <c:pt idx="422">
                  <c:v>40583</c:v>
                </c:pt>
                <c:pt idx="423">
                  <c:v>40584</c:v>
                </c:pt>
                <c:pt idx="424">
                  <c:v>40585</c:v>
                </c:pt>
                <c:pt idx="425">
                  <c:v>40588</c:v>
                </c:pt>
                <c:pt idx="426">
                  <c:v>40589</c:v>
                </c:pt>
                <c:pt idx="427">
                  <c:v>40590</c:v>
                </c:pt>
                <c:pt idx="428">
                  <c:v>40591</c:v>
                </c:pt>
                <c:pt idx="429">
                  <c:v>40592</c:v>
                </c:pt>
                <c:pt idx="430">
                  <c:v>40596</c:v>
                </c:pt>
                <c:pt idx="431">
                  <c:v>40597</c:v>
                </c:pt>
                <c:pt idx="432">
                  <c:v>40598</c:v>
                </c:pt>
                <c:pt idx="433">
                  <c:v>40599</c:v>
                </c:pt>
                <c:pt idx="434">
                  <c:v>40602</c:v>
                </c:pt>
                <c:pt idx="435">
                  <c:v>40603</c:v>
                </c:pt>
                <c:pt idx="436">
                  <c:v>40604</c:v>
                </c:pt>
                <c:pt idx="437">
                  <c:v>40605</c:v>
                </c:pt>
                <c:pt idx="438">
                  <c:v>40606</c:v>
                </c:pt>
                <c:pt idx="439">
                  <c:v>40609</c:v>
                </c:pt>
                <c:pt idx="440">
                  <c:v>40610</c:v>
                </c:pt>
                <c:pt idx="441">
                  <c:v>40611</c:v>
                </c:pt>
                <c:pt idx="442">
                  <c:v>40612</c:v>
                </c:pt>
                <c:pt idx="443">
                  <c:v>40613</c:v>
                </c:pt>
                <c:pt idx="444">
                  <c:v>40616</c:v>
                </c:pt>
                <c:pt idx="445">
                  <c:v>40617</c:v>
                </c:pt>
                <c:pt idx="446">
                  <c:v>40618</c:v>
                </c:pt>
                <c:pt idx="447">
                  <c:v>40619</c:v>
                </c:pt>
                <c:pt idx="448">
                  <c:v>40620</c:v>
                </c:pt>
                <c:pt idx="449">
                  <c:v>40623</c:v>
                </c:pt>
                <c:pt idx="450">
                  <c:v>40624</c:v>
                </c:pt>
                <c:pt idx="451">
                  <c:v>40625</c:v>
                </c:pt>
                <c:pt idx="452">
                  <c:v>40626</c:v>
                </c:pt>
                <c:pt idx="453">
                  <c:v>40627</c:v>
                </c:pt>
                <c:pt idx="454">
                  <c:v>40630</c:v>
                </c:pt>
                <c:pt idx="455">
                  <c:v>40631</c:v>
                </c:pt>
                <c:pt idx="456">
                  <c:v>40632</c:v>
                </c:pt>
                <c:pt idx="457">
                  <c:v>40633</c:v>
                </c:pt>
                <c:pt idx="458">
                  <c:v>40634</c:v>
                </c:pt>
                <c:pt idx="459">
                  <c:v>40637</c:v>
                </c:pt>
                <c:pt idx="460">
                  <c:v>40638</c:v>
                </c:pt>
                <c:pt idx="461">
                  <c:v>40639</c:v>
                </c:pt>
                <c:pt idx="462">
                  <c:v>40640</c:v>
                </c:pt>
                <c:pt idx="463">
                  <c:v>40641</c:v>
                </c:pt>
                <c:pt idx="464">
                  <c:v>40644</c:v>
                </c:pt>
                <c:pt idx="465">
                  <c:v>40645</c:v>
                </c:pt>
                <c:pt idx="466">
                  <c:v>40646</c:v>
                </c:pt>
                <c:pt idx="467">
                  <c:v>40647</c:v>
                </c:pt>
                <c:pt idx="468">
                  <c:v>40648</c:v>
                </c:pt>
                <c:pt idx="469">
                  <c:v>40651</c:v>
                </c:pt>
                <c:pt idx="470">
                  <c:v>40652</c:v>
                </c:pt>
                <c:pt idx="471">
                  <c:v>40653</c:v>
                </c:pt>
                <c:pt idx="472">
                  <c:v>40654</c:v>
                </c:pt>
                <c:pt idx="473">
                  <c:v>40658</c:v>
                </c:pt>
                <c:pt idx="474">
                  <c:v>40659</c:v>
                </c:pt>
                <c:pt idx="475">
                  <c:v>40660</c:v>
                </c:pt>
                <c:pt idx="476">
                  <c:v>40661</c:v>
                </c:pt>
                <c:pt idx="477">
                  <c:v>40662</c:v>
                </c:pt>
                <c:pt idx="478">
                  <c:v>40665</c:v>
                </c:pt>
                <c:pt idx="479">
                  <c:v>40666</c:v>
                </c:pt>
                <c:pt idx="480">
                  <c:v>40667</c:v>
                </c:pt>
                <c:pt idx="481">
                  <c:v>40668</c:v>
                </c:pt>
                <c:pt idx="482">
                  <c:v>40669</c:v>
                </c:pt>
                <c:pt idx="483">
                  <c:v>40672</c:v>
                </c:pt>
                <c:pt idx="484">
                  <c:v>40673</c:v>
                </c:pt>
                <c:pt idx="485">
                  <c:v>40674</c:v>
                </c:pt>
                <c:pt idx="486">
                  <c:v>40675</c:v>
                </c:pt>
                <c:pt idx="487">
                  <c:v>40676</c:v>
                </c:pt>
                <c:pt idx="488">
                  <c:v>40679</c:v>
                </c:pt>
                <c:pt idx="489">
                  <c:v>40680</c:v>
                </c:pt>
                <c:pt idx="490">
                  <c:v>40681</c:v>
                </c:pt>
                <c:pt idx="491">
                  <c:v>40682</c:v>
                </c:pt>
                <c:pt idx="492">
                  <c:v>40683</c:v>
                </c:pt>
                <c:pt idx="493">
                  <c:v>40686</c:v>
                </c:pt>
                <c:pt idx="494">
                  <c:v>40687</c:v>
                </c:pt>
                <c:pt idx="495">
                  <c:v>40688</c:v>
                </c:pt>
                <c:pt idx="496">
                  <c:v>40689</c:v>
                </c:pt>
                <c:pt idx="497">
                  <c:v>40690</c:v>
                </c:pt>
                <c:pt idx="498">
                  <c:v>40694</c:v>
                </c:pt>
                <c:pt idx="499">
                  <c:v>40695</c:v>
                </c:pt>
                <c:pt idx="500">
                  <c:v>40696</c:v>
                </c:pt>
                <c:pt idx="501">
                  <c:v>40697</c:v>
                </c:pt>
                <c:pt idx="502">
                  <c:v>40700</c:v>
                </c:pt>
                <c:pt idx="503">
                  <c:v>40701</c:v>
                </c:pt>
                <c:pt idx="504">
                  <c:v>40702</c:v>
                </c:pt>
                <c:pt idx="505">
                  <c:v>40703</c:v>
                </c:pt>
                <c:pt idx="506">
                  <c:v>40704</c:v>
                </c:pt>
                <c:pt idx="507">
                  <c:v>40707</c:v>
                </c:pt>
                <c:pt idx="508">
                  <c:v>40708</c:v>
                </c:pt>
                <c:pt idx="509">
                  <c:v>40709</c:v>
                </c:pt>
                <c:pt idx="510">
                  <c:v>40710</c:v>
                </c:pt>
                <c:pt idx="511">
                  <c:v>40711</c:v>
                </c:pt>
                <c:pt idx="512">
                  <c:v>40714</c:v>
                </c:pt>
                <c:pt idx="513">
                  <c:v>40715</c:v>
                </c:pt>
                <c:pt idx="514">
                  <c:v>40716</c:v>
                </c:pt>
                <c:pt idx="515">
                  <c:v>40717</c:v>
                </c:pt>
                <c:pt idx="516">
                  <c:v>40718</c:v>
                </c:pt>
                <c:pt idx="517">
                  <c:v>40721</c:v>
                </c:pt>
                <c:pt idx="518">
                  <c:v>40722</c:v>
                </c:pt>
                <c:pt idx="519">
                  <c:v>40723</c:v>
                </c:pt>
                <c:pt idx="520">
                  <c:v>40724</c:v>
                </c:pt>
                <c:pt idx="521">
                  <c:v>40725</c:v>
                </c:pt>
                <c:pt idx="522">
                  <c:v>40729</c:v>
                </c:pt>
                <c:pt idx="523">
                  <c:v>40730</c:v>
                </c:pt>
                <c:pt idx="524">
                  <c:v>40731</c:v>
                </c:pt>
                <c:pt idx="525">
                  <c:v>40732</c:v>
                </c:pt>
                <c:pt idx="526">
                  <c:v>40735</c:v>
                </c:pt>
                <c:pt idx="527">
                  <c:v>40736</c:v>
                </c:pt>
                <c:pt idx="528">
                  <c:v>40737</c:v>
                </c:pt>
                <c:pt idx="529">
                  <c:v>40738</c:v>
                </c:pt>
                <c:pt idx="530">
                  <c:v>40739</c:v>
                </c:pt>
                <c:pt idx="531">
                  <c:v>40742</c:v>
                </c:pt>
                <c:pt idx="532">
                  <c:v>40743</c:v>
                </c:pt>
                <c:pt idx="533">
                  <c:v>40744</c:v>
                </c:pt>
                <c:pt idx="534">
                  <c:v>40745</c:v>
                </c:pt>
                <c:pt idx="535">
                  <c:v>40746</c:v>
                </c:pt>
                <c:pt idx="536">
                  <c:v>40749</c:v>
                </c:pt>
                <c:pt idx="537">
                  <c:v>40750</c:v>
                </c:pt>
                <c:pt idx="538">
                  <c:v>40751</c:v>
                </c:pt>
                <c:pt idx="539">
                  <c:v>40752</c:v>
                </c:pt>
                <c:pt idx="540">
                  <c:v>40753</c:v>
                </c:pt>
                <c:pt idx="541">
                  <c:v>40756</c:v>
                </c:pt>
                <c:pt idx="542">
                  <c:v>40757</c:v>
                </c:pt>
                <c:pt idx="543">
                  <c:v>40758</c:v>
                </c:pt>
                <c:pt idx="544">
                  <c:v>40759</c:v>
                </c:pt>
                <c:pt idx="545">
                  <c:v>40760</c:v>
                </c:pt>
                <c:pt idx="546">
                  <c:v>40763</c:v>
                </c:pt>
                <c:pt idx="547">
                  <c:v>40764</c:v>
                </c:pt>
                <c:pt idx="548">
                  <c:v>40765</c:v>
                </c:pt>
                <c:pt idx="549">
                  <c:v>40766</c:v>
                </c:pt>
                <c:pt idx="550">
                  <c:v>40767</c:v>
                </c:pt>
                <c:pt idx="551">
                  <c:v>40770</c:v>
                </c:pt>
                <c:pt idx="552">
                  <c:v>40771</c:v>
                </c:pt>
                <c:pt idx="553">
                  <c:v>40772</c:v>
                </c:pt>
                <c:pt idx="554">
                  <c:v>40773</c:v>
                </c:pt>
                <c:pt idx="555">
                  <c:v>40774</c:v>
                </c:pt>
                <c:pt idx="556">
                  <c:v>40777</c:v>
                </c:pt>
                <c:pt idx="557">
                  <c:v>40778</c:v>
                </c:pt>
                <c:pt idx="558">
                  <c:v>40779</c:v>
                </c:pt>
                <c:pt idx="559">
                  <c:v>40780</c:v>
                </c:pt>
                <c:pt idx="560">
                  <c:v>40781</c:v>
                </c:pt>
                <c:pt idx="561">
                  <c:v>40784</c:v>
                </c:pt>
                <c:pt idx="562">
                  <c:v>40785</c:v>
                </c:pt>
                <c:pt idx="563">
                  <c:v>40786</c:v>
                </c:pt>
                <c:pt idx="564">
                  <c:v>40787</c:v>
                </c:pt>
                <c:pt idx="565">
                  <c:v>40788</c:v>
                </c:pt>
                <c:pt idx="566">
                  <c:v>40792</c:v>
                </c:pt>
                <c:pt idx="567">
                  <c:v>40793</c:v>
                </c:pt>
                <c:pt idx="568">
                  <c:v>40794</c:v>
                </c:pt>
                <c:pt idx="569">
                  <c:v>40795</c:v>
                </c:pt>
                <c:pt idx="570">
                  <c:v>40798</c:v>
                </c:pt>
                <c:pt idx="571">
                  <c:v>40799</c:v>
                </c:pt>
                <c:pt idx="572">
                  <c:v>40800</c:v>
                </c:pt>
                <c:pt idx="573">
                  <c:v>40801</c:v>
                </c:pt>
                <c:pt idx="574">
                  <c:v>40802</c:v>
                </c:pt>
                <c:pt idx="575">
                  <c:v>40805</c:v>
                </c:pt>
                <c:pt idx="576">
                  <c:v>40806</c:v>
                </c:pt>
                <c:pt idx="577">
                  <c:v>40807</c:v>
                </c:pt>
                <c:pt idx="578">
                  <c:v>40808</c:v>
                </c:pt>
                <c:pt idx="579">
                  <c:v>40809</c:v>
                </c:pt>
                <c:pt idx="580">
                  <c:v>40812</c:v>
                </c:pt>
                <c:pt idx="581">
                  <c:v>40813</c:v>
                </c:pt>
                <c:pt idx="582">
                  <c:v>40814</c:v>
                </c:pt>
                <c:pt idx="583">
                  <c:v>40815</c:v>
                </c:pt>
                <c:pt idx="584">
                  <c:v>40816</c:v>
                </c:pt>
                <c:pt idx="585">
                  <c:v>40819</c:v>
                </c:pt>
                <c:pt idx="586">
                  <c:v>40820</c:v>
                </c:pt>
                <c:pt idx="587">
                  <c:v>40821</c:v>
                </c:pt>
                <c:pt idx="588">
                  <c:v>40822</c:v>
                </c:pt>
                <c:pt idx="589">
                  <c:v>40823</c:v>
                </c:pt>
                <c:pt idx="590">
                  <c:v>40826</c:v>
                </c:pt>
                <c:pt idx="591">
                  <c:v>40827</c:v>
                </c:pt>
                <c:pt idx="592">
                  <c:v>40828</c:v>
                </c:pt>
                <c:pt idx="593">
                  <c:v>40829</c:v>
                </c:pt>
                <c:pt idx="594">
                  <c:v>40830</c:v>
                </c:pt>
                <c:pt idx="595">
                  <c:v>40833</c:v>
                </c:pt>
                <c:pt idx="596">
                  <c:v>40834</c:v>
                </c:pt>
                <c:pt idx="597">
                  <c:v>40835</c:v>
                </c:pt>
                <c:pt idx="598">
                  <c:v>40836</c:v>
                </c:pt>
                <c:pt idx="599">
                  <c:v>40837</c:v>
                </c:pt>
                <c:pt idx="600">
                  <c:v>40840</c:v>
                </c:pt>
                <c:pt idx="601">
                  <c:v>40841</c:v>
                </c:pt>
                <c:pt idx="602">
                  <c:v>40842</c:v>
                </c:pt>
                <c:pt idx="603">
                  <c:v>40843</c:v>
                </c:pt>
                <c:pt idx="604">
                  <c:v>40844</c:v>
                </c:pt>
                <c:pt idx="605">
                  <c:v>40847</c:v>
                </c:pt>
                <c:pt idx="606">
                  <c:v>40848</c:v>
                </c:pt>
                <c:pt idx="607">
                  <c:v>40849</c:v>
                </c:pt>
                <c:pt idx="608">
                  <c:v>40850</c:v>
                </c:pt>
                <c:pt idx="609">
                  <c:v>40851</c:v>
                </c:pt>
                <c:pt idx="610">
                  <c:v>40854</c:v>
                </c:pt>
                <c:pt idx="611">
                  <c:v>40855</c:v>
                </c:pt>
                <c:pt idx="612">
                  <c:v>40856</c:v>
                </c:pt>
                <c:pt idx="613">
                  <c:v>40857</c:v>
                </c:pt>
                <c:pt idx="614">
                  <c:v>40858</c:v>
                </c:pt>
                <c:pt idx="615">
                  <c:v>40861</c:v>
                </c:pt>
                <c:pt idx="616">
                  <c:v>40862</c:v>
                </c:pt>
                <c:pt idx="617">
                  <c:v>40863</c:v>
                </c:pt>
                <c:pt idx="618">
                  <c:v>40864</c:v>
                </c:pt>
                <c:pt idx="619">
                  <c:v>40865</c:v>
                </c:pt>
                <c:pt idx="620">
                  <c:v>40868</c:v>
                </c:pt>
                <c:pt idx="621">
                  <c:v>40869</c:v>
                </c:pt>
                <c:pt idx="622">
                  <c:v>40870</c:v>
                </c:pt>
                <c:pt idx="623">
                  <c:v>40872</c:v>
                </c:pt>
                <c:pt idx="624">
                  <c:v>40875</c:v>
                </c:pt>
                <c:pt idx="625">
                  <c:v>40876</c:v>
                </c:pt>
                <c:pt idx="626">
                  <c:v>40877</c:v>
                </c:pt>
                <c:pt idx="627">
                  <c:v>40878</c:v>
                </c:pt>
                <c:pt idx="628">
                  <c:v>40879</c:v>
                </c:pt>
                <c:pt idx="629">
                  <c:v>40882</c:v>
                </c:pt>
                <c:pt idx="630">
                  <c:v>40883</c:v>
                </c:pt>
                <c:pt idx="631">
                  <c:v>40884</c:v>
                </c:pt>
                <c:pt idx="632">
                  <c:v>40885</c:v>
                </c:pt>
                <c:pt idx="633">
                  <c:v>40886</c:v>
                </c:pt>
                <c:pt idx="634">
                  <c:v>40889</c:v>
                </c:pt>
                <c:pt idx="635">
                  <c:v>40890</c:v>
                </c:pt>
                <c:pt idx="636">
                  <c:v>40891</c:v>
                </c:pt>
                <c:pt idx="637">
                  <c:v>40892</c:v>
                </c:pt>
                <c:pt idx="638">
                  <c:v>40893</c:v>
                </c:pt>
                <c:pt idx="639">
                  <c:v>40896</c:v>
                </c:pt>
                <c:pt idx="640">
                  <c:v>40897</c:v>
                </c:pt>
                <c:pt idx="641">
                  <c:v>40898</c:v>
                </c:pt>
                <c:pt idx="642">
                  <c:v>40899</c:v>
                </c:pt>
                <c:pt idx="643">
                  <c:v>40900</c:v>
                </c:pt>
                <c:pt idx="644">
                  <c:v>40904</c:v>
                </c:pt>
                <c:pt idx="645">
                  <c:v>40905</c:v>
                </c:pt>
                <c:pt idx="646">
                  <c:v>40906</c:v>
                </c:pt>
                <c:pt idx="647">
                  <c:v>40907</c:v>
                </c:pt>
                <c:pt idx="648">
                  <c:v>40911</c:v>
                </c:pt>
                <c:pt idx="649">
                  <c:v>40912</c:v>
                </c:pt>
                <c:pt idx="650">
                  <c:v>40913</c:v>
                </c:pt>
                <c:pt idx="651">
                  <c:v>40914</c:v>
                </c:pt>
                <c:pt idx="652">
                  <c:v>40917</c:v>
                </c:pt>
                <c:pt idx="653">
                  <c:v>40918</c:v>
                </c:pt>
                <c:pt idx="654">
                  <c:v>40919</c:v>
                </c:pt>
                <c:pt idx="655">
                  <c:v>40920</c:v>
                </c:pt>
                <c:pt idx="656">
                  <c:v>40921</c:v>
                </c:pt>
                <c:pt idx="657">
                  <c:v>40925</c:v>
                </c:pt>
                <c:pt idx="658">
                  <c:v>40926</c:v>
                </c:pt>
                <c:pt idx="659">
                  <c:v>40927</c:v>
                </c:pt>
                <c:pt idx="660">
                  <c:v>40928</c:v>
                </c:pt>
                <c:pt idx="661">
                  <c:v>40931</c:v>
                </c:pt>
                <c:pt idx="662">
                  <c:v>40932</c:v>
                </c:pt>
                <c:pt idx="663">
                  <c:v>40933</c:v>
                </c:pt>
                <c:pt idx="664">
                  <c:v>40934</c:v>
                </c:pt>
                <c:pt idx="665">
                  <c:v>40935</c:v>
                </c:pt>
                <c:pt idx="666">
                  <c:v>40938</c:v>
                </c:pt>
                <c:pt idx="667">
                  <c:v>40939</c:v>
                </c:pt>
                <c:pt idx="668">
                  <c:v>40940</c:v>
                </c:pt>
                <c:pt idx="669">
                  <c:v>40941</c:v>
                </c:pt>
                <c:pt idx="670">
                  <c:v>40942</c:v>
                </c:pt>
                <c:pt idx="671">
                  <c:v>40945</c:v>
                </c:pt>
                <c:pt idx="672">
                  <c:v>40946</c:v>
                </c:pt>
                <c:pt idx="673">
                  <c:v>40947</c:v>
                </c:pt>
                <c:pt idx="674">
                  <c:v>40948</c:v>
                </c:pt>
                <c:pt idx="675">
                  <c:v>40949</c:v>
                </c:pt>
                <c:pt idx="676">
                  <c:v>40952</c:v>
                </c:pt>
                <c:pt idx="677">
                  <c:v>40953</c:v>
                </c:pt>
                <c:pt idx="678">
                  <c:v>40954</c:v>
                </c:pt>
                <c:pt idx="679">
                  <c:v>40955</c:v>
                </c:pt>
                <c:pt idx="680">
                  <c:v>40956</c:v>
                </c:pt>
                <c:pt idx="681">
                  <c:v>40960</c:v>
                </c:pt>
                <c:pt idx="682">
                  <c:v>40961</c:v>
                </c:pt>
                <c:pt idx="683">
                  <c:v>40962</c:v>
                </c:pt>
                <c:pt idx="684">
                  <c:v>40963</c:v>
                </c:pt>
                <c:pt idx="685">
                  <c:v>40966</c:v>
                </c:pt>
                <c:pt idx="686">
                  <c:v>40967</c:v>
                </c:pt>
                <c:pt idx="687">
                  <c:v>40968</c:v>
                </c:pt>
                <c:pt idx="688">
                  <c:v>40969</c:v>
                </c:pt>
                <c:pt idx="689">
                  <c:v>40970</c:v>
                </c:pt>
                <c:pt idx="690">
                  <c:v>40973</c:v>
                </c:pt>
                <c:pt idx="691">
                  <c:v>40974</c:v>
                </c:pt>
                <c:pt idx="692">
                  <c:v>40975</c:v>
                </c:pt>
                <c:pt idx="693">
                  <c:v>40976</c:v>
                </c:pt>
                <c:pt idx="694">
                  <c:v>40977</c:v>
                </c:pt>
                <c:pt idx="695">
                  <c:v>40980</c:v>
                </c:pt>
                <c:pt idx="696">
                  <c:v>40981</c:v>
                </c:pt>
                <c:pt idx="697">
                  <c:v>40982</c:v>
                </c:pt>
                <c:pt idx="698">
                  <c:v>40983</c:v>
                </c:pt>
                <c:pt idx="699">
                  <c:v>40984</c:v>
                </c:pt>
                <c:pt idx="700">
                  <c:v>40987</c:v>
                </c:pt>
                <c:pt idx="701">
                  <c:v>40988</c:v>
                </c:pt>
                <c:pt idx="702">
                  <c:v>40989</c:v>
                </c:pt>
                <c:pt idx="703">
                  <c:v>40990</c:v>
                </c:pt>
                <c:pt idx="704">
                  <c:v>40991</c:v>
                </c:pt>
                <c:pt idx="705">
                  <c:v>40994</c:v>
                </c:pt>
                <c:pt idx="706">
                  <c:v>40995</c:v>
                </c:pt>
                <c:pt idx="707">
                  <c:v>40996</c:v>
                </c:pt>
                <c:pt idx="708">
                  <c:v>40997</c:v>
                </c:pt>
                <c:pt idx="709">
                  <c:v>40998</c:v>
                </c:pt>
                <c:pt idx="710">
                  <c:v>41001</c:v>
                </c:pt>
                <c:pt idx="711">
                  <c:v>41002</c:v>
                </c:pt>
                <c:pt idx="712">
                  <c:v>41003</c:v>
                </c:pt>
                <c:pt idx="713">
                  <c:v>41004</c:v>
                </c:pt>
                <c:pt idx="714">
                  <c:v>41008</c:v>
                </c:pt>
                <c:pt idx="715">
                  <c:v>41009</c:v>
                </c:pt>
                <c:pt idx="716">
                  <c:v>41010</c:v>
                </c:pt>
                <c:pt idx="717">
                  <c:v>41011</c:v>
                </c:pt>
                <c:pt idx="718">
                  <c:v>41012</c:v>
                </c:pt>
                <c:pt idx="719">
                  <c:v>41015</c:v>
                </c:pt>
                <c:pt idx="720">
                  <c:v>41016</c:v>
                </c:pt>
                <c:pt idx="721">
                  <c:v>41017</c:v>
                </c:pt>
                <c:pt idx="722">
                  <c:v>41018</c:v>
                </c:pt>
                <c:pt idx="723">
                  <c:v>41019</c:v>
                </c:pt>
                <c:pt idx="724">
                  <c:v>41022</c:v>
                </c:pt>
                <c:pt idx="725">
                  <c:v>41023</c:v>
                </c:pt>
                <c:pt idx="726">
                  <c:v>41024</c:v>
                </c:pt>
                <c:pt idx="727">
                  <c:v>41025</c:v>
                </c:pt>
                <c:pt idx="728">
                  <c:v>41026</c:v>
                </c:pt>
                <c:pt idx="729">
                  <c:v>41029</c:v>
                </c:pt>
                <c:pt idx="730">
                  <c:v>41030</c:v>
                </c:pt>
                <c:pt idx="731">
                  <c:v>41031</c:v>
                </c:pt>
                <c:pt idx="732">
                  <c:v>41032</c:v>
                </c:pt>
                <c:pt idx="733">
                  <c:v>41033</c:v>
                </c:pt>
                <c:pt idx="734">
                  <c:v>41036</c:v>
                </c:pt>
                <c:pt idx="735">
                  <c:v>41037</c:v>
                </c:pt>
                <c:pt idx="736">
                  <c:v>41038</c:v>
                </c:pt>
                <c:pt idx="737">
                  <c:v>41039</c:v>
                </c:pt>
                <c:pt idx="738">
                  <c:v>41040</c:v>
                </c:pt>
                <c:pt idx="739">
                  <c:v>41043</c:v>
                </c:pt>
                <c:pt idx="740">
                  <c:v>41044</c:v>
                </c:pt>
                <c:pt idx="741">
                  <c:v>41045</c:v>
                </c:pt>
                <c:pt idx="742">
                  <c:v>41046</c:v>
                </c:pt>
                <c:pt idx="743">
                  <c:v>41047</c:v>
                </c:pt>
                <c:pt idx="744">
                  <c:v>41050</c:v>
                </c:pt>
                <c:pt idx="745">
                  <c:v>41051</c:v>
                </c:pt>
                <c:pt idx="746">
                  <c:v>41052</c:v>
                </c:pt>
                <c:pt idx="747">
                  <c:v>41053</c:v>
                </c:pt>
                <c:pt idx="748">
                  <c:v>41054</c:v>
                </c:pt>
                <c:pt idx="749">
                  <c:v>41058</c:v>
                </c:pt>
                <c:pt idx="750">
                  <c:v>41059</c:v>
                </c:pt>
                <c:pt idx="751">
                  <c:v>41060</c:v>
                </c:pt>
                <c:pt idx="752">
                  <c:v>41061</c:v>
                </c:pt>
                <c:pt idx="753">
                  <c:v>41064</c:v>
                </c:pt>
                <c:pt idx="754">
                  <c:v>41065</c:v>
                </c:pt>
                <c:pt idx="755">
                  <c:v>41066</c:v>
                </c:pt>
                <c:pt idx="756">
                  <c:v>41067</c:v>
                </c:pt>
                <c:pt idx="757">
                  <c:v>41068</c:v>
                </c:pt>
                <c:pt idx="758">
                  <c:v>41071</c:v>
                </c:pt>
                <c:pt idx="759">
                  <c:v>41072</c:v>
                </c:pt>
                <c:pt idx="760">
                  <c:v>41073</c:v>
                </c:pt>
                <c:pt idx="761">
                  <c:v>41074</c:v>
                </c:pt>
                <c:pt idx="762">
                  <c:v>41075</c:v>
                </c:pt>
                <c:pt idx="763">
                  <c:v>41078</c:v>
                </c:pt>
                <c:pt idx="764">
                  <c:v>41079</c:v>
                </c:pt>
                <c:pt idx="765">
                  <c:v>41080</c:v>
                </c:pt>
                <c:pt idx="766">
                  <c:v>41081</c:v>
                </c:pt>
                <c:pt idx="767">
                  <c:v>41082</c:v>
                </c:pt>
                <c:pt idx="768">
                  <c:v>41085</c:v>
                </c:pt>
                <c:pt idx="769">
                  <c:v>41086</c:v>
                </c:pt>
                <c:pt idx="770">
                  <c:v>41087</c:v>
                </c:pt>
                <c:pt idx="771">
                  <c:v>41088</c:v>
                </c:pt>
                <c:pt idx="772">
                  <c:v>41089</c:v>
                </c:pt>
                <c:pt idx="773">
                  <c:v>41092</c:v>
                </c:pt>
                <c:pt idx="774">
                  <c:v>41093</c:v>
                </c:pt>
                <c:pt idx="775">
                  <c:v>41095</c:v>
                </c:pt>
                <c:pt idx="776">
                  <c:v>41096</c:v>
                </c:pt>
                <c:pt idx="777">
                  <c:v>41099</c:v>
                </c:pt>
                <c:pt idx="778">
                  <c:v>41100</c:v>
                </c:pt>
                <c:pt idx="779">
                  <c:v>41101</c:v>
                </c:pt>
                <c:pt idx="780">
                  <c:v>41102</c:v>
                </c:pt>
                <c:pt idx="781">
                  <c:v>41103</c:v>
                </c:pt>
                <c:pt idx="782">
                  <c:v>41106</c:v>
                </c:pt>
                <c:pt idx="783">
                  <c:v>41107</c:v>
                </c:pt>
                <c:pt idx="784">
                  <c:v>41108</c:v>
                </c:pt>
                <c:pt idx="785">
                  <c:v>41109</c:v>
                </c:pt>
                <c:pt idx="786">
                  <c:v>41110</c:v>
                </c:pt>
                <c:pt idx="787">
                  <c:v>41113</c:v>
                </c:pt>
                <c:pt idx="788">
                  <c:v>41114</c:v>
                </c:pt>
                <c:pt idx="789">
                  <c:v>41115</c:v>
                </c:pt>
                <c:pt idx="790">
                  <c:v>41116</c:v>
                </c:pt>
                <c:pt idx="791">
                  <c:v>41117</c:v>
                </c:pt>
                <c:pt idx="792">
                  <c:v>41120</c:v>
                </c:pt>
                <c:pt idx="793">
                  <c:v>41121</c:v>
                </c:pt>
                <c:pt idx="794">
                  <c:v>41122</c:v>
                </c:pt>
                <c:pt idx="795">
                  <c:v>41123</c:v>
                </c:pt>
                <c:pt idx="796">
                  <c:v>41124</c:v>
                </c:pt>
                <c:pt idx="797">
                  <c:v>41127</c:v>
                </c:pt>
                <c:pt idx="798">
                  <c:v>41128</c:v>
                </c:pt>
                <c:pt idx="799">
                  <c:v>41129</c:v>
                </c:pt>
                <c:pt idx="800">
                  <c:v>41130</c:v>
                </c:pt>
                <c:pt idx="801">
                  <c:v>41131</c:v>
                </c:pt>
                <c:pt idx="802">
                  <c:v>41134</c:v>
                </c:pt>
                <c:pt idx="803">
                  <c:v>41135</c:v>
                </c:pt>
                <c:pt idx="804">
                  <c:v>41136</c:v>
                </c:pt>
                <c:pt idx="805">
                  <c:v>41137</c:v>
                </c:pt>
                <c:pt idx="806">
                  <c:v>41138</c:v>
                </c:pt>
                <c:pt idx="807">
                  <c:v>41141</c:v>
                </c:pt>
                <c:pt idx="808">
                  <c:v>41142</c:v>
                </c:pt>
                <c:pt idx="809">
                  <c:v>41143</c:v>
                </c:pt>
                <c:pt idx="810">
                  <c:v>41144</c:v>
                </c:pt>
                <c:pt idx="811">
                  <c:v>41145</c:v>
                </c:pt>
                <c:pt idx="812">
                  <c:v>41148</c:v>
                </c:pt>
                <c:pt idx="813">
                  <c:v>41149</c:v>
                </c:pt>
                <c:pt idx="814">
                  <c:v>41150</c:v>
                </c:pt>
                <c:pt idx="815">
                  <c:v>41151</c:v>
                </c:pt>
                <c:pt idx="816">
                  <c:v>41152</c:v>
                </c:pt>
                <c:pt idx="817">
                  <c:v>41156</c:v>
                </c:pt>
                <c:pt idx="818">
                  <c:v>41157</c:v>
                </c:pt>
                <c:pt idx="819">
                  <c:v>41158</c:v>
                </c:pt>
                <c:pt idx="820">
                  <c:v>41159</c:v>
                </c:pt>
                <c:pt idx="821">
                  <c:v>41162</c:v>
                </c:pt>
                <c:pt idx="822">
                  <c:v>41163</c:v>
                </c:pt>
                <c:pt idx="823">
                  <c:v>41164</c:v>
                </c:pt>
                <c:pt idx="824">
                  <c:v>41165</c:v>
                </c:pt>
                <c:pt idx="825">
                  <c:v>41166</c:v>
                </c:pt>
                <c:pt idx="826">
                  <c:v>41169</c:v>
                </c:pt>
                <c:pt idx="827">
                  <c:v>41170</c:v>
                </c:pt>
                <c:pt idx="828">
                  <c:v>41171</c:v>
                </c:pt>
                <c:pt idx="829">
                  <c:v>41172</c:v>
                </c:pt>
                <c:pt idx="830">
                  <c:v>41173</c:v>
                </c:pt>
                <c:pt idx="831">
                  <c:v>41176</c:v>
                </c:pt>
                <c:pt idx="832">
                  <c:v>41177</c:v>
                </c:pt>
                <c:pt idx="833">
                  <c:v>41178</c:v>
                </c:pt>
                <c:pt idx="834">
                  <c:v>41179</c:v>
                </c:pt>
                <c:pt idx="835">
                  <c:v>41180</c:v>
                </c:pt>
                <c:pt idx="836">
                  <c:v>41183</c:v>
                </c:pt>
                <c:pt idx="837">
                  <c:v>41184</c:v>
                </c:pt>
                <c:pt idx="838">
                  <c:v>41185</c:v>
                </c:pt>
                <c:pt idx="839">
                  <c:v>41186</c:v>
                </c:pt>
                <c:pt idx="840">
                  <c:v>41187</c:v>
                </c:pt>
                <c:pt idx="841">
                  <c:v>41190</c:v>
                </c:pt>
                <c:pt idx="842">
                  <c:v>41191</c:v>
                </c:pt>
                <c:pt idx="843">
                  <c:v>41192</c:v>
                </c:pt>
                <c:pt idx="844">
                  <c:v>41193</c:v>
                </c:pt>
                <c:pt idx="845">
                  <c:v>41194</c:v>
                </c:pt>
                <c:pt idx="846">
                  <c:v>41197</c:v>
                </c:pt>
                <c:pt idx="847">
                  <c:v>41198</c:v>
                </c:pt>
                <c:pt idx="848">
                  <c:v>41199</c:v>
                </c:pt>
                <c:pt idx="849">
                  <c:v>41200</c:v>
                </c:pt>
                <c:pt idx="850">
                  <c:v>41201</c:v>
                </c:pt>
                <c:pt idx="851">
                  <c:v>41204</c:v>
                </c:pt>
                <c:pt idx="852">
                  <c:v>41205</c:v>
                </c:pt>
                <c:pt idx="853">
                  <c:v>41206</c:v>
                </c:pt>
                <c:pt idx="854">
                  <c:v>41207</c:v>
                </c:pt>
                <c:pt idx="855">
                  <c:v>41208</c:v>
                </c:pt>
                <c:pt idx="856">
                  <c:v>41213</c:v>
                </c:pt>
                <c:pt idx="857">
                  <c:v>41214</c:v>
                </c:pt>
                <c:pt idx="858">
                  <c:v>41215</c:v>
                </c:pt>
                <c:pt idx="859">
                  <c:v>41218</c:v>
                </c:pt>
                <c:pt idx="860">
                  <c:v>41219</c:v>
                </c:pt>
                <c:pt idx="861">
                  <c:v>41220</c:v>
                </c:pt>
                <c:pt idx="862">
                  <c:v>41221</c:v>
                </c:pt>
                <c:pt idx="863">
                  <c:v>41222</c:v>
                </c:pt>
                <c:pt idx="864">
                  <c:v>41225</c:v>
                </c:pt>
                <c:pt idx="865">
                  <c:v>41226</c:v>
                </c:pt>
                <c:pt idx="866">
                  <c:v>41227</c:v>
                </c:pt>
                <c:pt idx="867">
                  <c:v>41228</c:v>
                </c:pt>
                <c:pt idx="868">
                  <c:v>41229</c:v>
                </c:pt>
                <c:pt idx="869">
                  <c:v>41232</c:v>
                </c:pt>
                <c:pt idx="870">
                  <c:v>41233</c:v>
                </c:pt>
                <c:pt idx="871">
                  <c:v>41234</c:v>
                </c:pt>
                <c:pt idx="872">
                  <c:v>41236</c:v>
                </c:pt>
                <c:pt idx="873">
                  <c:v>41239</c:v>
                </c:pt>
                <c:pt idx="874">
                  <c:v>41240</c:v>
                </c:pt>
                <c:pt idx="875">
                  <c:v>41241</c:v>
                </c:pt>
                <c:pt idx="876">
                  <c:v>41242</c:v>
                </c:pt>
                <c:pt idx="877">
                  <c:v>41243</c:v>
                </c:pt>
                <c:pt idx="878">
                  <c:v>41246</c:v>
                </c:pt>
                <c:pt idx="879">
                  <c:v>41247</c:v>
                </c:pt>
                <c:pt idx="880">
                  <c:v>41248</c:v>
                </c:pt>
                <c:pt idx="881">
                  <c:v>41249</c:v>
                </c:pt>
                <c:pt idx="882">
                  <c:v>41250</c:v>
                </c:pt>
                <c:pt idx="883">
                  <c:v>41253</c:v>
                </c:pt>
                <c:pt idx="884">
                  <c:v>41254</c:v>
                </c:pt>
                <c:pt idx="885">
                  <c:v>41255</c:v>
                </c:pt>
                <c:pt idx="886">
                  <c:v>41256</c:v>
                </c:pt>
                <c:pt idx="887">
                  <c:v>41257</c:v>
                </c:pt>
                <c:pt idx="888">
                  <c:v>41260</c:v>
                </c:pt>
                <c:pt idx="889">
                  <c:v>41261</c:v>
                </c:pt>
                <c:pt idx="890">
                  <c:v>41262</c:v>
                </c:pt>
                <c:pt idx="891">
                  <c:v>41263</c:v>
                </c:pt>
                <c:pt idx="892">
                  <c:v>41264</c:v>
                </c:pt>
                <c:pt idx="893">
                  <c:v>41267</c:v>
                </c:pt>
                <c:pt idx="894">
                  <c:v>41269</c:v>
                </c:pt>
                <c:pt idx="895">
                  <c:v>41270</c:v>
                </c:pt>
                <c:pt idx="896">
                  <c:v>41271</c:v>
                </c:pt>
                <c:pt idx="897">
                  <c:v>41274</c:v>
                </c:pt>
                <c:pt idx="898">
                  <c:v>41276</c:v>
                </c:pt>
                <c:pt idx="899">
                  <c:v>41277</c:v>
                </c:pt>
                <c:pt idx="900">
                  <c:v>41278</c:v>
                </c:pt>
                <c:pt idx="901">
                  <c:v>41281</c:v>
                </c:pt>
                <c:pt idx="902">
                  <c:v>41282</c:v>
                </c:pt>
                <c:pt idx="903">
                  <c:v>41283</c:v>
                </c:pt>
                <c:pt idx="904">
                  <c:v>41284</c:v>
                </c:pt>
                <c:pt idx="905">
                  <c:v>41285</c:v>
                </c:pt>
                <c:pt idx="906">
                  <c:v>41288</c:v>
                </c:pt>
                <c:pt idx="907">
                  <c:v>41289</c:v>
                </c:pt>
                <c:pt idx="908">
                  <c:v>41290</c:v>
                </c:pt>
                <c:pt idx="909">
                  <c:v>41291</c:v>
                </c:pt>
                <c:pt idx="910">
                  <c:v>41292</c:v>
                </c:pt>
                <c:pt idx="911">
                  <c:v>41296</c:v>
                </c:pt>
                <c:pt idx="912">
                  <c:v>41297</c:v>
                </c:pt>
                <c:pt idx="913">
                  <c:v>41298</c:v>
                </c:pt>
                <c:pt idx="914">
                  <c:v>41299</c:v>
                </c:pt>
                <c:pt idx="915">
                  <c:v>41302</c:v>
                </c:pt>
                <c:pt idx="916">
                  <c:v>41303</c:v>
                </c:pt>
                <c:pt idx="917">
                  <c:v>41304</c:v>
                </c:pt>
                <c:pt idx="918">
                  <c:v>41305</c:v>
                </c:pt>
                <c:pt idx="919">
                  <c:v>41306</c:v>
                </c:pt>
                <c:pt idx="920">
                  <c:v>41309</c:v>
                </c:pt>
                <c:pt idx="921">
                  <c:v>41310</c:v>
                </c:pt>
                <c:pt idx="922">
                  <c:v>41311</c:v>
                </c:pt>
                <c:pt idx="923">
                  <c:v>41312</c:v>
                </c:pt>
                <c:pt idx="924">
                  <c:v>41313</c:v>
                </c:pt>
                <c:pt idx="925">
                  <c:v>41316</c:v>
                </c:pt>
                <c:pt idx="926">
                  <c:v>41317</c:v>
                </c:pt>
                <c:pt idx="927">
                  <c:v>41318</c:v>
                </c:pt>
                <c:pt idx="928">
                  <c:v>41319</c:v>
                </c:pt>
                <c:pt idx="929">
                  <c:v>41320</c:v>
                </c:pt>
                <c:pt idx="930">
                  <c:v>41324</c:v>
                </c:pt>
                <c:pt idx="931">
                  <c:v>41325</c:v>
                </c:pt>
                <c:pt idx="932">
                  <c:v>41326</c:v>
                </c:pt>
                <c:pt idx="933">
                  <c:v>41327</c:v>
                </c:pt>
                <c:pt idx="934">
                  <c:v>41330</c:v>
                </c:pt>
                <c:pt idx="935">
                  <c:v>41331</c:v>
                </c:pt>
                <c:pt idx="936">
                  <c:v>41332</c:v>
                </c:pt>
                <c:pt idx="937">
                  <c:v>41333</c:v>
                </c:pt>
                <c:pt idx="938">
                  <c:v>41334</c:v>
                </c:pt>
                <c:pt idx="939">
                  <c:v>41337</c:v>
                </c:pt>
                <c:pt idx="940">
                  <c:v>41338</c:v>
                </c:pt>
                <c:pt idx="941">
                  <c:v>41339</c:v>
                </c:pt>
                <c:pt idx="942">
                  <c:v>41340</c:v>
                </c:pt>
                <c:pt idx="943">
                  <c:v>41341</c:v>
                </c:pt>
                <c:pt idx="944">
                  <c:v>41344</c:v>
                </c:pt>
                <c:pt idx="945">
                  <c:v>41345</c:v>
                </c:pt>
                <c:pt idx="946">
                  <c:v>41346</c:v>
                </c:pt>
                <c:pt idx="947">
                  <c:v>41347</c:v>
                </c:pt>
                <c:pt idx="948">
                  <c:v>41348</c:v>
                </c:pt>
                <c:pt idx="949">
                  <c:v>41351</c:v>
                </c:pt>
                <c:pt idx="950">
                  <c:v>41352</c:v>
                </c:pt>
                <c:pt idx="951">
                  <c:v>41353</c:v>
                </c:pt>
                <c:pt idx="952">
                  <c:v>41354</c:v>
                </c:pt>
                <c:pt idx="953">
                  <c:v>41355</c:v>
                </c:pt>
                <c:pt idx="954">
                  <c:v>41358</c:v>
                </c:pt>
                <c:pt idx="955">
                  <c:v>41359</c:v>
                </c:pt>
                <c:pt idx="956">
                  <c:v>41360</c:v>
                </c:pt>
                <c:pt idx="957">
                  <c:v>41361</c:v>
                </c:pt>
                <c:pt idx="958">
                  <c:v>41365</c:v>
                </c:pt>
                <c:pt idx="959">
                  <c:v>41366</c:v>
                </c:pt>
                <c:pt idx="960">
                  <c:v>41367</c:v>
                </c:pt>
                <c:pt idx="961">
                  <c:v>41368</c:v>
                </c:pt>
                <c:pt idx="962">
                  <c:v>41369</c:v>
                </c:pt>
                <c:pt idx="963">
                  <c:v>41372</c:v>
                </c:pt>
                <c:pt idx="964">
                  <c:v>41373</c:v>
                </c:pt>
                <c:pt idx="965">
                  <c:v>41374</c:v>
                </c:pt>
                <c:pt idx="966">
                  <c:v>41375</c:v>
                </c:pt>
                <c:pt idx="967">
                  <c:v>41376</c:v>
                </c:pt>
                <c:pt idx="968">
                  <c:v>41379</c:v>
                </c:pt>
                <c:pt idx="969">
                  <c:v>41380</c:v>
                </c:pt>
                <c:pt idx="970">
                  <c:v>41381</c:v>
                </c:pt>
                <c:pt idx="971">
                  <c:v>41382</c:v>
                </c:pt>
                <c:pt idx="972">
                  <c:v>41383</c:v>
                </c:pt>
                <c:pt idx="973">
                  <c:v>41386</c:v>
                </c:pt>
                <c:pt idx="974">
                  <c:v>41387</c:v>
                </c:pt>
                <c:pt idx="975">
                  <c:v>41388</c:v>
                </c:pt>
                <c:pt idx="976">
                  <c:v>41389</c:v>
                </c:pt>
                <c:pt idx="977">
                  <c:v>41390</c:v>
                </c:pt>
                <c:pt idx="978">
                  <c:v>41393</c:v>
                </c:pt>
                <c:pt idx="979">
                  <c:v>41394</c:v>
                </c:pt>
                <c:pt idx="980">
                  <c:v>41395</c:v>
                </c:pt>
                <c:pt idx="981">
                  <c:v>41396</c:v>
                </c:pt>
                <c:pt idx="982">
                  <c:v>41397</c:v>
                </c:pt>
                <c:pt idx="983">
                  <c:v>41400</c:v>
                </c:pt>
                <c:pt idx="984">
                  <c:v>41401</c:v>
                </c:pt>
                <c:pt idx="985">
                  <c:v>41402</c:v>
                </c:pt>
                <c:pt idx="986">
                  <c:v>41403</c:v>
                </c:pt>
                <c:pt idx="987">
                  <c:v>41404</c:v>
                </c:pt>
                <c:pt idx="988">
                  <c:v>41407</c:v>
                </c:pt>
                <c:pt idx="989">
                  <c:v>41408</c:v>
                </c:pt>
                <c:pt idx="990">
                  <c:v>41409</c:v>
                </c:pt>
                <c:pt idx="991">
                  <c:v>41410</c:v>
                </c:pt>
                <c:pt idx="992">
                  <c:v>41411</c:v>
                </c:pt>
                <c:pt idx="993">
                  <c:v>41414</c:v>
                </c:pt>
                <c:pt idx="994">
                  <c:v>41415</c:v>
                </c:pt>
                <c:pt idx="995">
                  <c:v>41416</c:v>
                </c:pt>
                <c:pt idx="996">
                  <c:v>41417</c:v>
                </c:pt>
                <c:pt idx="997">
                  <c:v>41418</c:v>
                </c:pt>
                <c:pt idx="998">
                  <c:v>41422</c:v>
                </c:pt>
                <c:pt idx="999">
                  <c:v>41423</c:v>
                </c:pt>
                <c:pt idx="1000">
                  <c:v>41424</c:v>
                </c:pt>
                <c:pt idx="1001">
                  <c:v>41425</c:v>
                </c:pt>
                <c:pt idx="1002">
                  <c:v>41428</c:v>
                </c:pt>
                <c:pt idx="1003">
                  <c:v>41429</c:v>
                </c:pt>
                <c:pt idx="1004">
                  <c:v>41430</c:v>
                </c:pt>
                <c:pt idx="1005">
                  <c:v>41431</c:v>
                </c:pt>
                <c:pt idx="1006">
                  <c:v>41432</c:v>
                </c:pt>
                <c:pt idx="1007">
                  <c:v>41435</c:v>
                </c:pt>
                <c:pt idx="1008">
                  <c:v>41436</c:v>
                </c:pt>
                <c:pt idx="1009">
                  <c:v>41437</c:v>
                </c:pt>
                <c:pt idx="1010">
                  <c:v>41438</c:v>
                </c:pt>
                <c:pt idx="1011">
                  <c:v>41439</c:v>
                </c:pt>
                <c:pt idx="1012">
                  <c:v>41442</c:v>
                </c:pt>
                <c:pt idx="1013">
                  <c:v>41443</c:v>
                </c:pt>
                <c:pt idx="1014">
                  <c:v>41444</c:v>
                </c:pt>
                <c:pt idx="1015">
                  <c:v>41445</c:v>
                </c:pt>
                <c:pt idx="1016">
                  <c:v>41446</c:v>
                </c:pt>
                <c:pt idx="1017">
                  <c:v>41449</c:v>
                </c:pt>
                <c:pt idx="1018">
                  <c:v>41450</c:v>
                </c:pt>
                <c:pt idx="1019">
                  <c:v>41451</c:v>
                </c:pt>
                <c:pt idx="1020">
                  <c:v>41452</c:v>
                </c:pt>
                <c:pt idx="1021">
                  <c:v>41453</c:v>
                </c:pt>
                <c:pt idx="1022">
                  <c:v>41456</c:v>
                </c:pt>
                <c:pt idx="1023">
                  <c:v>41457</c:v>
                </c:pt>
                <c:pt idx="1024">
                  <c:v>41458</c:v>
                </c:pt>
                <c:pt idx="1025">
                  <c:v>41460</c:v>
                </c:pt>
                <c:pt idx="1026">
                  <c:v>41463</c:v>
                </c:pt>
                <c:pt idx="1027">
                  <c:v>41464</c:v>
                </c:pt>
                <c:pt idx="1028">
                  <c:v>41465</c:v>
                </c:pt>
                <c:pt idx="1029">
                  <c:v>41466</c:v>
                </c:pt>
                <c:pt idx="1030">
                  <c:v>41467</c:v>
                </c:pt>
                <c:pt idx="1031">
                  <c:v>41470</c:v>
                </c:pt>
                <c:pt idx="1032">
                  <c:v>41471</c:v>
                </c:pt>
                <c:pt idx="1033">
                  <c:v>41472</c:v>
                </c:pt>
                <c:pt idx="1034">
                  <c:v>41473</c:v>
                </c:pt>
                <c:pt idx="1035">
                  <c:v>41474</c:v>
                </c:pt>
                <c:pt idx="1036">
                  <c:v>41477</c:v>
                </c:pt>
                <c:pt idx="1037">
                  <c:v>41478</c:v>
                </c:pt>
                <c:pt idx="1038">
                  <c:v>41479</c:v>
                </c:pt>
                <c:pt idx="1039">
                  <c:v>41480</c:v>
                </c:pt>
                <c:pt idx="1040">
                  <c:v>41481</c:v>
                </c:pt>
                <c:pt idx="1041">
                  <c:v>41484</c:v>
                </c:pt>
                <c:pt idx="1042">
                  <c:v>41485</c:v>
                </c:pt>
                <c:pt idx="1043">
                  <c:v>41486</c:v>
                </c:pt>
                <c:pt idx="1044">
                  <c:v>41487</c:v>
                </c:pt>
                <c:pt idx="1045">
                  <c:v>41488</c:v>
                </c:pt>
                <c:pt idx="1046">
                  <c:v>41491</c:v>
                </c:pt>
                <c:pt idx="1047">
                  <c:v>41492</c:v>
                </c:pt>
                <c:pt idx="1048">
                  <c:v>41493</c:v>
                </c:pt>
                <c:pt idx="1049">
                  <c:v>41494</c:v>
                </c:pt>
                <c:pt idx="1050">
                  <c:v>41495</c:v>
                </c:pt>
                <c:pt idx="1051">
                  <c:v>41498</c:v>
                </c:pt>
                <c:pt idx="1052">
                  <c:v>41499</c:v>
                </c:pt>
                <c:pt idx="1053">
                  <c:v>41500</c:v>
                </c:pt>
                <c:pt idx="1054">
                  <c:v>41501</c:v>
                </c:pt>
                <c:pt idx="1055">
                  <c:v>41502</c:v>
                </c:pt>
                <c:pt idx="1056">
                  <c:v>41505</c:v>
                </c:pt>
                <c:pt idx="1057">
                  <c:v>41506</c:v>
                </c:pt>
                <c:pt idx="1058">
                  <c:v>41507</c:v>
                </c:pt>
                <c:pt idx="1059">
                  <c:v>41508</c:v>
                </c:pt>
                <c:pt idx="1060">
                  <c:v>41509</c:v>
                </c:pt>
                <c:pt idx="1061">
                  <c:v>41512</c:v>
                </c:pt>
                <c:pt idx="1062">
                  <c:v>41513</c:v>
                </c:pt>
                <c:pt idx="1063">
                  <c:v>41514</c:v>
                </c:pt>
                <c:pt idx="1064">
                  <c:v>41515</c:v>
                </c:pt>
                <c:pt idx="1065">
                  <c:v>41516</c:v>
                </c:pt>
                <c:pt idx="1066">
                  <c:v>41520</c:v>
                </c:pt>
                <c:pt idx="1067">
                  <c:v>41521</c:v>
                </c:pt>
                <c:pt idx="1068">
                  <c:v>41522</c:v>
                </c:pt>
                <c:pt idx="1069">
                  <c:v>41523</c:v>
                </c:pt>
                <c:pt idx="1070">
                  <c:v>41526</c:v>
                </c:pt>
                <c:pt idx="1071">
                  <c:v>41527</c:v>
                </c:pt>
                <c:pt idx="1072">
                  <c:v>41528</c:v>
                </c:pt>
                <c:pt idx="1073">
                  <c:v>41529</c:v>
                </c:pt>
                <c:pt idx="1074">
                  <c:v>41530</c:v>
                </c:pt>
                <c:pt idx="1075">
                  <c:v>41533</c:v>
                </c:pt>
                <c:pt idx="1076">
                  <c:v>41534</c:v>
                </c:pt>
                <c:pt idx="1077">
                  <c:v>41535</c:v>
                </c:pt>
                <c:pt idx="1078">
                  <c:v>41536</c:v>
                </c:pt>
                <c:pt idx="1079">
                  <c:v>41537</c:v>
                </c:pt>
                <c:pt idx="1080">
                  <c:v>41540</c:v>
                </c:pt>
                <c:pt idx="1081">
                  <c:v>41541</c:v>
                </c:pt>
                <c:pt idx="1082">
                  <c:v>41542</c:v>
                </c:pt>
                <c:pt idx="1083">
                  <c:v>41543</c:v>
                </c:pt>
                <c:pt idx="1084">
                  <c:v>41544</c:v>
                </c:pt>
                <c:pt idx="1085">
                  <c:v>41547</c:v>
                </c:pt>
                <c:pt idx="1086">
                  <c:v>41548</c:v>
                </c:pt>
                <c:pt idx="1087">
                  <c:v>41549</c:v>
                </c:pt>
                <c:pt idx="1088">
                  <c:v>41550</c:v>
                </c:pt>
                <c:pt idx="1089">
                  <c:v>41551</c:v>
                </c:pt>
                <c:pt idx="1090">
                  <c:v>41554</c:v>
                </c:pt>
                <c:pt idx="1091">
                  <c:v>41555</c:v>
                </c:pt>
                <c:pt idx="1092">
                  <c:v>41556</c:v>
                </c:pt>
                <c:pt idx="1093">
                  <c:v>41557</c:v>
                </c:pt>
                <c:pt idx="1094">
                  <c:v>41558</c:v>
                </c:pt>
                <c:pt idx="1095">
                  <c:v>41561</c:v>
                </c:pt>
                <c:pt idx="1096">
                  <c:v>41562</c:v>
                </c:pt>
                <c:pt idx="1097">
                  <c:v>41563</c:v>
                </c:pt>
                <c:pt idx="1098">
                  <c:v>41564</c:v>
                </c:pt>
                <c:pt idx="1099">
                  <c:v>41565</c:v>
                </c:pt>
                <c:pt idx="1100">
                  <c:v>41568</c:v>
                </c:pt>
                <c:pt idx="1101">
                  <c:v>41569</c:v>
                </c:pt>
                <c:pt idx="1102">
                  <c:v>41570</c:v>
                </c:pt>
                <c:pt idx="1103">
                  <c:v>41571</c:v>
                </c:pt>
                <c:pt idx="1104">
                  <c:v>41572</c:v>
                </c:pt>
                <c:pt idx="1105">
                  <c:v>41575</c:v>
                </c:pt>
                <c:pt idx="1106">
                  <c:v>41576</c:v>
                </c:pt>
                <c:pt idx="1107">
                  <c:v>41577</c:v>
                </c:pt>
                <c:pt idx="1108">
                  <c:v>41578</c:v>
                </c:pt>
                <c:pt idx="1109">
                  <c:v>41579</c:v>
                </c:pt>
                <c:pt idx="1110">
                  <c:v>41582</c:v>
                </c:pt>
                <c:pt idx="1111">
                  <c:v>41583</c:v>
                </c:pt>
                <c:pt idx="1112">
                  <c:v>41584</c:v>
                </c:pt>
                <c:pt idx="1113">
                  <c:v>41585</c:v>
                </c:pt>
                <c:pt idx="1114">
                  <c:v>41586</c:v>
                </c:pt>
                <c:pt idx="1115">
                  <c:v>41589</c:v>
                </c:pt>
                <c:pt idx="1116">
                  <c:v>41590</c:v>
                </c:pt>
                <c:pt idx="1117">
                  <c:v>41591</c:v>
                </c:pt>
                <c:pt idx="1118">
                  <c:v>41592</c:v>
                </c:pt>
                <c:pt idx="1119">
                  <c:v>41593</c:v>
                </c:pt>
                <c:pt idx="1120">
                  <c:v>41596</c:v>
                </c:pt>
                <c:pt idx="1121">
                  <c:v>41597</c:v>
                </c:pt>
                <c:pt idx="1122">
                  <c:v>41598</c:v>
                </c:pt>
                <c:pt idx="1123">
                  <c:v>41599</c:v>
                </c:pt>
                <c:pt idx="1124">
                  <c:v>41600</c:v>
                </c:pt>
                <c:pt idx="1125">
                  <c:v>41603</c:v>
                </c:pt>
                <c:pt idx="1126">
                  <c:v>41604</c:v>
                </c:pt>
                <c:pt idx="1127">
                  <c:v>41605</c:v>
                </c:pt>
                <c:pt idx="1128">
                  <c:v>41607</c:v>
                </c:pt>
                <c:pt idx="1129">
                  <c:v>41610</c:v>
                </c:pt>
                <c:pt idx="1130">
                  <c:v>41611</c:v>
                </c:pt>
                <c:pt idx="1131">
                  <c:v>41612</c:v>
                </c:pt>
                <c:pt idx="1132">
                  <c:v>41613</c:v>
                </c:pt>
                <c:pt idx="1133">
                  <c:v>41614</c:v>
                </c:pt>
                <c:pt idx="1134">
                  <c:v>41617</c:v>
                </c:pt>
                <c:pt idx="1135">
                  <c:v>41618</c:v>
                </c:pt>
                <c:pt idx="1136">
                  <c:v>41619</c:v>
                </c:pt>
                <c:pt idx="1137">
                  <c:v>41620</c:v>
                </c:pt>
                <c:pt idx="1138">
                  <c:v>41621</c:v>
                </c:pt>
                <c:pt idx="1139">
                  <c:v>41624</c:v>
                </c:pt>
                <c:pt idx="1140">
                  <c:v>41625</c:v>
                </c:pt>
                <c:pt idx="1141">
                  <c:v>41626</c:v>
                </c:pt>
                <c:pt idx="1142">
                  <c:v>41627</c:v>
                </c:pt>
                <c:pt idx="1143">
                  <c:v>41628</c:v>
                </c:pt>
                <c:pt idx="1144">
                  <c:v>41631</c:v>
                </c:pt>
                <c:pt idx="1145">
                  <c:v>41632</c:v>
                </c:pt>
                <c:pt idx="1146">
                  <c:v>41634</c:v>
                </c:pt>
                <c:pt idx="1147">
                  <c:v>41635</c:v>
                </c:pt>
                <c:pt idx="1148">
                  <c:v>41638</c:v>
                </c:pt>
                <c:pt idx="1149">
                  <c:v>41639</c:v>
                </c:pt>
                <c:pt idx="1150">
                  <c:v>41641</c:v>
                </c:pt>
                <c:pt idx="1151">
                  <c:v>41642</c:v>
                </c:pt>
                <c:pt idx="1152">
                  <c:v>41645</c:v>
                </c:pt>
                <c:pt idx="1153">
                  <c:v>41646</c:v>
                </c:pt>
                <c:pt idx="1154">
                  <c:v>41647</c:v>
                </c:pt>
                <c:pt idx="1155">
                  <c:v>41648</c:v>
                </c:pt>
                <c:pt idx="1156">
                  <c:v>41649</c:v>
                </c:pt>
                <c:pt idx="1157">
                  <c:v>41652</c:v>
                </c:pt>
                <c:pt idx="1158">
                  <c:v>41653</c:v>
                </c:pt>
                <c:pt idx="1159">
                  <c:v>41654</c:v>
                </c:pt>
                <c:pt idx="1160">
                  <c:v>41655</c:v>
                </c:pt>
                <c:pt idx="1161">
                  <c:v>41656</c:v>
                </c:pt>
                <c:pt idx="1162">
                  <c:v>41660</c:v>
                </c:pt>
                <c:pt idx="1163">
                  <c:v>41661</c:v>
                </c:pt>
                <c:pt idx="1164">
                  <c:v>41662</c:v>
                </c:pt>
                <c:pt idx="1165">
                  <c:v>41663</c:v>
                </c:pt>
                <c:pt idx="1166">
                  <c:v>41666</c:v>
                </c:pt>
                <c:pt idx="1167">
                  <c:v>41667</c:v>
                </c:pt>
                <c:pt idx="1168">
                  <c:v>41668</c:v>
                </c:pt>
                <c:pt idx="1169">
                  <c:v>41669</c:v>
                </c:pt>
                <c:pt idx="1170">
                  <c:v>41670</c:v>
                </c:pt>
                <c:pt idx="1171">
                  <c:v>41673</c:v>
                </c:pt>
                <c:pt idx="1172">
                  <c:v>41674</c:v>
                </c:pt>
                <c:pt idx="1173">
                  <c:v>41675</c:v>
                </c:pt>
                <c:pt idx="1174">
                  <c:v>41676</c:v>
                </c:pt>
                <c:pt idx="1175">
                  <c:v>41677</c:v>
                </c:pt>
                <c:pt idx="1176">
                  <c:v>41680</c:v>
                </c:pt>
                <c:pt idx="1177">
                  <c:v>41681</c:v>
                </c:pt>
                <c:pt idx="1178">
                  <c:v>41682</c:v>
                </c:pt>
                <c:pt idx="1179">
                  <c:v>41683</c:v>
                </c:pt>
                <c:pt idx="1180">
                  <c:v>41684</c:v>
                </c:pt>
                <c:pt idx="1181">
                  <c:v>41688</c:v>
                </c:pt>
                <c:pt idx="1182">
                  <c:v>41689</c:v>
                </c:pt>
                <c:pt idx="1183">
                  <c:v>41690</c:v>
                </c:pt>
                <c:pt idx="1184">
                  <c:v>41691</c:v>
                </c:pt>
                <c:pt idx="1185">
                  <c:v>41694</c:v>
                </c:pt>
                <c:pt idx="1186">
                  <c:v>41695</c:v>
                </c:pt>
                <c:pt idx="1187">
                  <c:v>41696</c:v>
                </c:pt>
                <c:pt idx="1188">
                  <c:v>41697</c:v>
                </c:pt>
                <c:pt idx="1189">
                  <c:v>41698</c:v>
                </c:pt>
                <c:pt idx="1190">
                  <c:v>41701</c:v>
                </c:pt>
                <c:pt idx="1191">
                  <c:v>41702</c:v>
                </c:pt>
                <c:pt idx="1192">
                  <c:v>41703</c:v>
                </c:pt>
                <c:pt idx="1193">
                  <c:v>41704</c:v>
                </c:pt>
                <c:pt idx="1194">
                  <c:v>41705</c:v>
                </c:pt>
                <c:pt idx="1195">
                  <c:v>41708</c:v>
                </c:pt>
                <c:pt idx="1196">
                  <c:v>41709</c:v>
                </c:pt>
                <c:pt idx="1197">
                  <c:v>41710</c:v>
                </c:pt>
                <c:pt idx="1198">
                  <c:v>41711</c:v>
                </c:pt>
                <c:pt idx="1199">
                  <c:v>41712</c:v>
                </c:pt>
                <c:pt idx="1200">
                  <c:v>41715</c:v>
                </c:pt>
                <c:pt idx="1201">
                  <c:v>41716</c:v>
                </c:pt>
                <c:pt idx="1202">
                  <c:v>41717</c:v>
                </c:pt>
                <c:pt idx="1203">
                  <c:v>41718</c:v>
                </c:pt>
                <c:pt idx="1204">
                  <c:v>41719</c:v>
                </c:pt>
                <c:pt idx="1205">
                  <c:v>41722</c:v>
                </c:pt>
                <c:pt idx="1206">
                  <c:v>41723</c:v>
                </c:pt>
                <c:pt idx="1207">
                  <c:v>41724</c:v>
                </c:pt>
                <c:pt idx="1208">
                  <c:v>41725</c:v>
                </c:pt>
                <c:pt idx="1209">
                  <c:v>41726</c:v>
                </c:pt>
                <c:pt idx="1210">
                  <c:v>41729</c:v>
                </c:pt>
                <c:pt idx="1211">
                  <c:v>41730</c:v>
                </c:pt>
                <c:pt idx="1212">
                  <c:v>41731</c:v>
                </c:pt>
                <c:pt idx="1213">
                  <c:v>41732</c:v>
                </c:pt>
                <c:pt idx="1214">
                  <c:v>41733</c:v>
                </c:pt>
                <c:pt idx="1215">
                  <c:v>41736</c:v>
                </c:pt>
                <c:pt idx="1216">
                  <c:v>41737</c:v>
                </c:pt>
                <c:pt idx="1217">
                  <c:v>41738</c:v>
                </c:pt>
                <c:pt idx="1218">
                  <c:v>41739</c:v>
                </c:pt>
                <c:pt idx="1219">
                  <c:v>41740</c:v>
                </c:pt>
                <c:pt idx="1220">
                  <c:v>41743</c:v>
                </c:pt>
                <c:pt idx="1221">
                  <c:v>41744</c:v>
                </c:pt>
                <c:pt idx="1222">
                  <c:v>41745</c:v>
                </c:pt>
                <c:pt idx="1223">
                  <c:v>41746</c:v>
                </c:pt>
                <c:pt idx="1224">
                  <c:v>41750</c:v>
                </c:pt>
                <c:pt idx="1225">
                  <c:v>41751</c:v>
                </c:pt>
                <c:pt idx="1226">
                  <c:v>41752</c:v>
                </c:pt>
                <c:pt idx="1227">
                  <c:v>41753</c:v>
                </c:pt>
                <c:pt idx="1228">
                  <c:v>41754</c:v>
                </c:pt>
                <c:pt idx="1229">
                  <c:v>41757</c:v>
                </c:pt>
                <c:pt idx="1230">
                  <c:v>41758</c:v>
                </c:pt>
                <c:pt idx="1231">
                  <c:v>41759</c:v>
                </c:pt>
                <c:pt idx="1232">
                  <c:v>41760</c:v>
                </c:pt>
                <c:pt idx="1233">
                  <c:v>41761</c:v>
                </c:pt>
                <c:pt idx="1234">
                  <c:v>41764</c:v>
                </c:pt>
                <c:pt idx="1235">
                  <c:v>41765</c:v>
                </c:pt>
                <c:pt idx="1236">
                  <c:v>41766</c:v>
                </c:pt>
                <c:pt idx="1237">
                  <c:v>41767</c:v>
                </c:pt>
                <c:pt idx="1238">
                  <c:v>41768</c:v>
                </c:pt>
                <c:pt idx="1239">
                  <c:v>41771</c:v>
                </c:pt>
                <c:pt idx="1240">
                  <c:v>41772</c:v>
                </c:pt>
                <c:pt idx="1241">
                  <c:v>41773</c:v>
                </c:pt>
                <c:pt idx="1242">
                  <c:v>41774</c:v>
                </c:pt>
                <c:pt idx="1243">
                  <c:v>41775</c:v>
                </c:pt>
                <c:pt idx="1244">
                  <c:v>41778</c:v>
                </c:pt>
                <c:pt idx="1245">
                  <c:v>41779</c:v>
                </c:pt>
                <c:pt idx="1246">
                  <c:v>41780</c:v>
                </c:pt>
                <c:pt idx="1247">
                  <c:v>41781</c:v>
                </c:pt>
                <c:pt idx="1248">
                  <c:v>41782</c:v>
                </c:pt>
                <c:pt idx="1249">
                  <c:v>41786</c:v>
                </c:pt>
                <c:pt idx="1250">
                  <c:v>41787</c:v>
                </c:pt>
                <c:pt idx="1251">
                  <c:v>41788</c:v>
                </c:pt>
                <c:pt idx="1252">
                  <c:v>41789</c:v>
                </c:pt>
                <c:pt idx="1253">
                  <c:v>41792</c:v>
                </c:pt>
                <c:pt idx="1254">
                  <c:v>41793</c:v>
                </c:pt>
                <c:pt idx="1255">
                  <c:v>41794</c:v>
                </c:pt>
                <c:pt idx="1256">
                  <c:v>41795</c:v>
                </c:pt>
                <c:pt idx="1257">
                  <c:v>41796</c:v>
                </c:pt>
                <c:pt idx="1258">
                  <c:v>41799</c:v>
                </c:pt>
                <c:pt idx="1259">
                  <c:v>41800</c:v>
                </c:pt>
                <c:pt idx="1260">
                  <c:v>41801</c:v>
                </c:pt>
                <c:pt idx="1261">
                  <c:v>41802</c:v>
                </c:pt>
                <c:pt idx="1262">
                  <c:v>41803</c:v>
                </c:pt>
                <c:pt idx="1263">
                  <c:v>41806</c:v>
                </c:pt>
                <c:pt idx="1264">
                  <c:v>41807</c:v>
                </c:pt>
                <c:pt idx="1265">
                  <c:v>41808</c:v>
                </c:pt>
                <c:pt idx="1266">
                  <c:v>41809</c:v>
                </c:pt>
                <c:pt idx="1267">
                  <c:v>41810</c:v>
                </c:pt>
                <c:pt idx="1268">
                  <c:v>41813</c:v>
                </c:pt>
                <c:pt idx="1269">
                  <c:v>41814</c:v>
                </c:pt>
                <c:pt idx="1270">
                  <c:v>41815</c:v>
                </c:pt>
                <c:pt idx="1271">
                  <c:v>41816</c:v>
                </c:pt>
                <c:pt idx="1272">
                  <c:v>41817</c:v>
                </c:pt>
                <c:pt idx="1273">
                  <c:v>41820</c:v>
                </c:pt>
                <c:pt idx="1274">
                  <c:v>41821</c:v>
                </c:pt>
                <c:pt idx="1275">
                  <c:v>41822</c:v>
                </c:pt>
                <c:pt idx="1276">
                  <c:v>41823</c:v>
                </c:pt>
                <c:pt idx="1277">
                  <c:v>41827</c:v>
                </c:pt>
                <c:pt idx="1278">
                  <c:v>41828</c:v>
                </c:pt>
                <c:pt idx="1279">
                  <c:v>41829</c:v>
                </c:pt>
                <c:pt idx="1280">
                  <c:v>41830</c:v>
                </c:pt>
                <c:pt idx="1281">
                  <c:v>41831</c:v>
                </c:pt>
                <c:pt idx="1282">
                  <c:v>41834</c:v>
                </c:pt>
                <c:pt idx="1283">
                  <c:v>41835</c:v>
                </c:pt>
                <c:pt idx="1284">
                  <c:v>41836</c:v>
                </c:pt>
                <c:pt idx="1285">
                  <c:v>41837</c:v>
                </c:pt>
                <c:pt idx="1286">
                  <c:v>41838</c:v>
                </c:pt>
                <c:pt idx="1287">
                  <c:v>41841</c:v>
                </c:pt>
                <c:pt idx="1288">
                  <c:v>41842</c:v>
                </c:pt>
                <c:pt idx="1289">
                  <c:v>41843</c:v>
                </c:pt>
                <c:pt idx="1290">
                  <c:v>41844</c:v>
                </c:pt>
                <c:pt idx="1291">
                  <c:v>41845</c:v>
                </c:pt>
                <c:pt idx="1292">
                  <c:v>41848</c:v>
                </c:pt>
                <c:pt idx="1293">
                  <c:v>41849</c:v>
                </c:pt>
                <c:pt idx="1294">
                  <c:v>41850</c:v>
                </c:pt>
                <c:pt idx="1295">
                  <c:v>41851</c:v>
                </c:pt>
                <c:pt idx="1296">
                  <c:v>41852</c:v>
                </c:pt>
                <c:pt idx="1297">
                  <c:v>41855</c:v>
                </c:pt>
                <c:pt idx="1298">
                  <c:v>41856</c:v>
                </c:pt>
                <c:pt idx="1299">
                  <c:v>41857</c:v>
                </c:pt>
                <c:pt idx="1300">
                  <c:v>41858</c:v>
                </c:pt>
                <c:pt idx="1301">
                  <c:v>41859</c:v>
                </c:pt>
                <c:pt idx="1302">
                  <c:v>41862</c:v>
                </c:pt>
                <c:pt idx="1303">
                  <c:v>41863</c:v>
                </c:pt>
                <c:pt idx="1304">
                  <c:v>41864</c:v>
                </c:pt>
                <c:pt idx="1305">
                  <c:v>41865</c:v>
                </c:pt>
                <c:pt idx="1306">
                  <c:v>41866</c:v>
                </c:pt>
                <c:pt idx="1307">
                  <c:v>41869</c:v>
                </c:pt>
                <c:pt idx="1308">
                  <c:v>41870</c:v>
                </c:pt>
                <c:pt idx="1309">
                  <c:v>41871</c:v>
                </c:pt>
                <c:pt idx="1310">
                  <c:v>41872</c:v>
                </c:pt>
                <c:pt idx="1311">
                  <c:v>41873</c:v>
                </c:pt>
                <c:pt idx="1312">
                  <c:v>41876</c:v>
                </c:pt>
                <c:pt idx="1313">
                  <c:v>41877</c:v>
                </c:pt>
                <c:pt idx="1314">
                  <c:v>41878</c:v>
                </c:pt>
                <c:pt idx="1315">
                  <c:v>41879</c:v>
                </c:pt>
                <c:pt idx="1316">
                  <c:v>41880</c:v>
                </c:pt>
                <c:pt idx="1317">
                  <c:v>41884</c:v>
                </c:pt>
                <c:pt idx="1318">
                  <c:v>41885</c:v>
                </c:pt>
                <c:pt idx="1319">
                  <c:v>41886</c:v>
                </c:pt>
                <c:pt idx="1320">
                  <c:v>41887</c:v>
                </c:pt>
                <c:pt idx="1321">
                  <c:v>41890</c:v>
                </c:pt>
                <c:pt idx="1322">
                  <c:v>41891</c:v>
                </c:pt>
                <c:pt idx="1323">
                  <c:v>41892</c:v>
                </c:pt>
                <c:pt idx="1324">
                  <c:v>41893</c:v>
                </c:pt>
                <c:pt idx="1325">
                  <c:v>41894</c:v>
                </c:pt>
                <c:pt idx="1326">
                  <c:v>41897</c:v>
                </c:pt>
                <c:pt idx="1327">
                  <c:v>41898</c:v>
                </c:pt>
                <c:pt idx="1328">
                  <c:v>41899</c:v>
                </c:pt>
                <c:pt idx="1329">
                  <c:v>41900</c:v>
                </c:pt>
                <c:pt idx="1330">
                  <c:v>41901</c:v>
                </c:pt>
                <c:pt idx="1331">
                  <c:v>41904</c:v>
                </c:pt>
                <c:pt idx="1332">
                  <c:v>41905</c:v>
                </c:pt>
                <c:pt idx="1333">
                  <c:v>41906</c:v>
                </c:pt>
                <c:pt idx="1334">
                  <c:v>41907</c:v>
                </c:pt>
                <c:pt idx="1335">
                  <c:v>41908</c:v>
                </c:pt>
                <c:pt idx="1336">
                  <c:v>41911</c:v>
                </c:pt>
                <c:pt idx="1337">
                  <c:v>41912</c:v>
                </c:pt>
                <c:pt idx="1338">
                  <c:v>41913</c:v>
                </c:pt>
                <c:pt idx="1339">
                  <c:v>41914</c:v>
                </c:pt>
                <c:pt idx="1340">
                  <c:v>41915</c:v>
                </c:pt>
                <c:pt idx="1341">
                  <c:v>41918</c:v>
                </c:pt>
                <c:pt idx="1342">
                  <c:v>41919</c:v>
                </c:pt>
                <c:pt idx="1343">
                  <c:v>41920</c:v>
                </c:pt>
                <c:pt idx="1344">
                  <c:v>41921</c:v>
                </c:pt>
                <c:pt idx="1345">
                  <c:v>41922</c:v>
                </c:pt>
                <c:pt idx="1346">
                  <c:v>41925</c:v>
                </c:pt>
                <c:pt idx="1347">
                  <c:v>41926</c:v>
                </c:pt>
                <c:pt idx="1348">
                  <c:v>41927</c:v>
                </c:pt>
                <c:pt idx="1349">
                  <c:v>41928</c:v>
                </c:pt>
                <c:pt idx="1350">
                  <c:v>41929</c:v>
                </c:pt>
                <c:pt idx="1351">
                  <c:v>41932</c:v>
                </c:pt>
                <c:pt idx="1352">
                  <c:v>41933</c:v>
                </c:pt>
                <c:pt idx="1353">
                  <c:v>41934</c:v>
                </c:pt>
                <c:pt idx="1354">
                  <c:v>41935</c:v>
                </c:pt>
                <c:pt idx="1355">
                  <c:v>41936</c:v>
                </c:pt>
                <c:pt idx="1356">
                  <c:v>41939</c:v>
                </c:pt>
                <c:pt idx="1357">
                  <c:v>41940</c:v>
                </c:pt>
                <c:pt idx="1358">
                  <c:v>41941</c:v>
                </c:pt>
                <c:pt idx="1359">
                  <c:v>41942</c:v>
                </c:pt>
                <c:pt idx="1360">
                  <c:v>41943</c:v>
                </c:pt>
                <c:pt idx="1361">
                  <c:v>41946</c:v>
                </c:pt>
                <c:pt idx="1362">
                  <c:v>41947</c:v>
                </c:pt>
                <c:pt idx="1363">
                  <c:v>41948</c:v>
                </c:pt>
                <c:pt idx="1364">
                  <c:v>41949</c:v>
                </c:pt>
                <c:pt idx="1365">
                  <c:v>41950</c:v>
                </c:pt>
                <c:pt idx="1366">
                  <c:v>41953</c:v>
                </c:pt>
                <c:pt idx="1367">
                  <c:v>41954</c:v>
                </c:pt>
                <c:pt idx="1368">
                  <c:v>41955</c:v>
                </c:pt>
                <c:pt idx="1369">
                  <c:v>41956</c:v>
                </c:pt>
                <c:pt idx="1370">
                  <c:v>41957</c:v>
                </c:pt>
                <c:pt idx="1371">
                  <c:v>41960</c:v>
                </c:pt>
                <c:pt idx="1372">
                  <c:v>41961</c:v>
                </c:pt>
                <c:pt idx="1373">
                  <c:v>41962</c:v>
                </c:pt>
                <c:pt idx="1374">
                  <c:v>41963</c:v>
                </c:pt>
                <c:pt idx="1375">
                  <c:v>41964</c:v>
                </c:pt>
                <c:pt idx="1376">
                  <c:v>41967</c:v>
                </c:pt>
                <c:pt idx="1377">
                  <c:v>41968</c:v>
                </c:pt>
                <c:pt idx="1378">
                  <c:v>41969</c:v>
                </c:pt>
                <c:pt idx="1379">
                  <c:v>41971</c:v>
                </c:pt>
                <c:pt idx="1380">
                  <c:v>41974</c:v>
                </c:pt>
                <c:pt idx="1381">
                  <c:v>41975</c:v>
                </c:pt>
                <c:pt idx="1382">
                  <c:v>41976</c:v>
                </c:pt>
                <c:pt idx="1383">
                  <c:v>41977</c:v>
                </c:pt>
                <c:pt idx="1384">
                  <c:v>41978</c:v>
                </c:pt>
                <c:pt idx="1385">
                  <c:v>41981</c:v>
                </c:pt>
                <c:pt idx="1386">
                  <c:v>41982</c:v>
                </c:pt>
                <c:pt idx="1387">
                  <c:v>41983</c:v>
                </c:pt>
                <c:pt idx="1388">
                  <c:v>41984</c:v>
                </c:pt>
                <c:pt idx="1389">
                  <c:v>41985</c:v>
                </c:pt>
                <c:pt idx="1390">
                  <c:v>41988</c:v>
                </c:pt>
                <c:pt idx="1391">
                  <c:v>41989</c:v>
                </c:pt>
                <c:pt idx="1392">
                  <c:v>41990</c:v>
                </c:pt>
                <c:pt idx="1393">
                  <c:v>41991</c:v>
                </c:pt>
                <c:pt idx="1394">
                  <c:v>41992</c:v>
                </c:pt>
                <c:pt idx="1395">
                  <c:v>41995</c:v>
                </c:pt>
                <c:pt idx="1396">
                  <c:v>41996</c:v>
                </c:pt>
                <c:pt idx="1397">
                  <c:v>41997</c:v>
                </c:pt>
                <c:pt idx="1398">
                  <c:v>41999</c:v>
                </c:pt>
                <c:pt idx="1399">
                  <c:v>42002</c:v>
                </c:pt>
                <c:pt idx="1400">
                  <c:v>42003</c:v>
                </c:pt>
                <c:pt idx="1401">
                  <c:v>42004</c:v>
                </c:pt>
                <c:pt idx="1402">
                  <c:v>42006</c:v>
                </c:pt>
                <c:pt idx="1403">
                  <c:v>42009</c:v>
                </c:pt>
                <c:pt idx="1404">
                  <c:v>42010</c:v>
                </c:pt>
                <c:pt idx="1405">
                  <c:v>42011</c:v>
                </c:pt>
                <c:pt idx="1406">
                  <c:v>42012</c:v>
                </c:pt>
                <c:pt idx="1407">
                  <c:v>42013</c:v>
                </c:pt>
                <c:pt idx="1408">
                  <c:v>42016</c:v>
                </c:pt>
                <c:pt idx="1409">
                  <c:v>42017</c:v>
                </c:pt>
                <c:pt idx="1410">
                  <c:v>42018</c:v>
                </c:pt>
                <c:pt idx="1411">
                  <c:v>42019</c:v>
                </c:pt>
                <c:pt idx="1412">
                  <c:v>42020</c:v>
                </c:pt>
                <c:pt idx="1413">
                  <c:v>42024</c:v>
                </c:pt>
                <c:pt idx="1414">
                  <c:v>42025</c:v>
                </c:pt>
                <c:pt idx="1415">
                  <c:v>42026</c:v>
                </c:pt>
                <c:pt idx="1416">
                  <c:v>42027</c:v>
                </c:pt>
                <c:pt idx="1417">
                  <c:v>42030</c:v>
                </c:pt>
                <c:pt idx="1418">
                  <c:v>42031</c:v>
                </c:pt>
                <c:pt idx="1419">
                  <c:v>42032</c:v>
                </c:pt>
                <c:pt idx="1420">
                  <c:v>42033</c:v>
                </c:pt>
                <c:pt idx="1421">
                  <c:v>42034</c:v>
                </c:pt>
                <c:pt idx="1422">
                  <c:v>42037</c:v>
                </c:pt>
                <c:pt idx="1423">
                  <c:v>42038</c:v>
                </c:pt>
                <c:pt idx="1424">
                  <c:v>42039</c:v>
                </c:pt>
                <c:pt idx="1425">
                  <c:v>42040</c:v>
                </c:pt>
                <c:pt idx="1426">
                  <c:v>42041</c:v>
                </c:pt>
                <c:pt idx="1427">
                  <c:v>42044</c:v>
                </c:pt>
                <c:pt idx="1428">
                  <c:v>42045</c:v>
                </c:pt>
                <c:pt idx="1429">
                  <c:v>42046</c:v>
                </c:pt>
                <c:pt idx="1430">
                  <c:v>42047</c:v>
                </c:pt>
                <c:pt idx="1431">
                  <c:v>42048</c:v>
                </c:pt>
                <c:pt idx="1432">
                  <c:v>42052</c:v>
                </c:pt>
                <c:pt idx="1433">
                  <c:v>42053</c:v>
                </c:pt>
                <c:pt idx="1434">
                  <c:v>42054</c:v>
                </c:pt>
                <c:pt idx="1435">
                  <c:v>42055</c:v>
                </c:pt>
                <c:pt idx="1436">
                  <c:v>42058</c:v>
                </c:pt>
                <c:pt idx="1437">
                  <c:v>42059</c:v>
                </c:pt>
                <c:pt idx="1438">
                  <c:v>42060</c:v>
                </c:pt>
                <c:pt idx="1439">
                  <c:v>42061</c:v>
                </c:pt>
                <c:pt idx="1440">
                  <c:v>42062</c:v>
                </c:pt>
                <c:pt idx="1441">
                  <c:v>42065</c:v>
                </c:pt>
                <c:pt idx="1442">
                  <c:v>42066</c:v>
                </c:pt>
                <c:pt idx="1443">
                  <c:v>42067</c:v>
                </c:pt>
                <c:pt idx="1444">
                  <c:v>42068</c:v>
                </c:pt>
                <c:pt idx="1445">
                  <c:v>42069</c:v>
                </c:pt>
                <c:pt idx="1446">
                  <c:v>42072</c:v>
                </c:pt>
                <c:pt idx="1447">
                  <c:v>42073</c:v>
                </c:pt>
                <c:pt idx="1448">
                  <c:v>42074</c:v>
                </c:pt>
                <c:pt idx="1449">
                  <c:v>42075</c:v>
                </c:pt>
                <c:pt idx="1450">
                  <c:v>42076</c:v>
                </c:pt>
                <c:pt idx="1451">
                  <c:v>42079</c:v>
                </c:pt>
                <c:pt idx="1452">
                  <c:v>42080</c:v>
                </c:pt>
                <c:pt idx="1453">
                  <c:v>42081</c:v>
                </c:pt>
                <c:pt idx="1454">
                  <c:v>42082</c:v>
                </c:pt>
                <c:pt idx="1455">
                  <c:v>42083</c:v>
                </c:pt>
                <c:pt idx="1456">
                  <c:v>42086</c:v>
                </c:pt>
                <c:pt idx="1457">
                  <c:v>42087</c:v>
                </c:pt>
                <c:pt idx="1458">
                  <c:v>42088</c:v>
                </c:pt>
                <c:pt idx="1459">
                  <c:v>42089</c:v>
                </c:pt>
                <c:pt idx="1460">
                  <c:v>42090</c:v>
                </c:pt>
                <c:pt idx="1461">
                  <c:v>42093</c:v>
                </c:pt>
                <c:pt idx="1462">
                  <c:v>42094</c:v>
                </c:pt>
                <c:pt idx="1463">
                  <c:v>42095</c:v>
                </c:pt>
                <c:pt idx="1464">
                  <c:v>42096</c:v>
                </c:pt>
                <c:pt idx="1465">
                  <c:v>42100</c:v>
                </c:pt>
                <c:pt idx="1466">
                  <c:v>42101</c:v>
                </c:pt>
                <c:pt idx="1467">
                  <c:v>42102</c:v>
                </c:pt>
                <c:pt idx="1468">
                  <c:v>42103</c:v>
                </c:pt>
                <c:pt idx="1469">
                  <c:v>42104</c:v>
                </c:pt>
                <c:pt idx="1470">
                  <c:v>42107</c:v>
                </c:pt>
                <c:pt idx="1471">
                  <c:v>42108</c:v>
                </c:pt>
                <c:pt idx="1472">
                  <c:v>42109</c:v>
                </c:pt>
                <c:pt idx="1473">
                  <c:v>42110</c:v>
                </c:pt>
                <c:pt idx="1474">
                  <c:v>42111</c:v>
                </c:pt>
                <c:pt idx="1475">
                  <c:v>42114</c:v>
                </c:pt>
                <c:pt idx="1476">
                  <c:v>42115</c:v>
                </c:pt>
                <c:pt idx="1477">
                  <c:v>42116</c:v>
                </c:pt>
                <c:pt idx="1478">
                  <c:v>42117</c:v>
                </c:pt>
                <c:pt idx="1479">
                  <c:v>42118</c:v>
                </c:pt>
                <c:pt idx="1480">
                  <c:v>42121</c:v>
                </c:pt>
                <c:pt idx="1481">
                  <c:v>42122</c:v>
                </c:pt>
                <c:pt idx="1482">
                  <c:v>42123</c:v>
                </c:pt>
                <c:pt idx="1483">
                  <c:v>42124</c:v>
                </c:pt>
                <c:pt idx="1484">
                  <c:v>42125</c:v>
                </c:pt>
                <c:pt idx="1485">
                  <c:v>42128</c:v>
                </c:pt>
                <c:pt idx="1486">
                  <c:v>42129</c:v>
                </c:pt>
                <c:pt idx="1487">
                  <c:v>42130</c:v>
                </c:pt>
                <c:pt idx="1488">
                  <c:v>42131</c:v>
                </c:pt>
                <c:pt idx="1489">
                  <c:v>42132</c:v>
                </c:pt>
                <c:pt idx="1490">
                  <c:v>42135</c:v>
                </c:pt>
                <c:pt idx="1491">
                  <c:v>42136</c:v>
                </c:pt>
                <c:pt idx="1492">
                  <c:v>42137</c:v>
                </c:pt>
                <c:pt idx="1493">
                  <c:v>42138</c:v>
                </c:pt>
                <c:pt idx="1494">
                  <c:v>42139</c:v>
                </c:pt>
                <c:pt idx="1495">
                  <c:v>42142</c:v>
                </c:pt>
                <c:pt idx="1496">
                  <c:v>42143</c:v>
                </c:pt>
                <c:pt idx="1497">
                  <c:v>42144</c:v>
                </c:pt>
                <c:pt idx="1498">
                  <c:v>42145</c:v>
                </c:pt>
                <c:pt idx="1499">
                  <c:v>42146</c:v>
                </c:pt>
                <c:pt idx="1500">
                  <c:v>42150</c:v>
                </c:pt>
                <c:pt idx="1501">
                  <c:v>42151</c:v>
                </c:pt>
                <c:pt idx="1502">
                  <c:v>42152</c:v>
                </c:pt>
                <c:pt idx="1503">
                  <c:v>42153</c:v>
                </c:pt>
                <c:pt idx="1504">
                  <c:v>42156</c:v>
                </c:pt>
                <c:pt idx="1505">
                  <c:v>42157</c:v>
                </c:pt>
                <c:pt idx="1506">
                  <c:v>42158</c:v>
                </c:pt>
                <c:pt idx="1507">
                  <c:v>42159</c:v>
                </c:pt>
                <c:pt idx="1508">
                  <c:v>42160</c:v>
                </c:pt>
                <c:pt idx="1509">
                  <c:v>42163</c:v>
                </c:pt>
                <c:pt idx="1510">
                  <c:v>42164</c:v>
                </c:pt>
                <c:pt idx="1511">
                  <c:v>42165</c:v>
                </c:pt>
                <c:pt idx="1512">
                  <c:v>42166</c:v>
                </c:pt>
                <c:pt idx="1513">
                  <c:v>42167</c:v>
                </c:pt>
                <c:pt idx="1514">
                  <c:v>42170</c:v>
                </c:pt>
                <c:pt idx="1515">
                  <c:v>42171</c:v>
                </c:pt>
                <c:pt idx="1516">
                  <c:v>42172</c:v>
                </c:pt>
                <c:pt idx="1517">
                  <c:v>42173</c:v>
                </c:pt>
                <c:pt idx="1518">
                  <c:v>42174</c:v>
                </c:pt>
                <c:pt idx="1519">
                  <c:v>42177</c:v>
                </c:pt>
                <c:pt idx="1520">
                  <c:v>42178</c:v>
                </c:pt>
                <c:pt idx="1521">
                  <c:v>42179</c:v>
                </c:pt>
                <c:pt idx="1522">
                  <c:v>42180</c:v>
                </c:pt>
                <c:pt idx="1523">
                  <c:v>42181</c:v>
                </c:pt>
                <c:pt idx="1524">
                  <c:v>42184</c:v>
                </c:pt>
                <c:pt idx="1525">
                  <c:v>42185</c:v>
                </c:pt>
                <c:pt idx="1526">
                  <c:v>42186</c:v>
                </c:pt>
                <c:pt idx="1527">
                  <c:v>42187</c:v>
                </c:pt>
                <c:pt idx="1528">
                  <c:v>42191</c:v>
                </c:pt>
                <c:pt idx="1529">
                  <c:v>42192</c:v>
                </c:pt>
                <c:pt idx="1530">
                  <c:v>42193</c:v>
                </c:pt>
                <c:pt idx="1531">
                  <c:v>42194</c:v>
                </c:pt>
                <c:pt idx="1532">
                  <c:v>42195</c:v>
                </c:pt>
                <c:pt idx="1533">
                  <c:v>42198</c:v>
                </c:pt>
                <c:pt idx="1534">
                  <c:v>42199</c:v>
                </c:pt>
                <c:pt idx="1535">
                  <c:v>42200</c:v>
                </c:pt>
                <c:pt idx="1536">
                  <c:v>42201</c:v>
                </c:pt>
                <c:pt idx="1537">
                  <c:v>42202</c:v>
                </c:pt>
                <c:pt idx="1538">
                  <c:v>42205</c:v>
                </c:pt>
                <c:pt idx="1539">
                  <c:v>42206</c:v>
                </c:pt>
                <c:pt idx="1540">
                  <c:v>42207</c:v>
                </c:pt>
                <c:pt idx="1541">
                  <c:v>42208</c:v>
                </c:pt>
                <c:pt idx="1542">
                  <c:v>42209</c:v>
                </c:pt>
                <c:pt idx="1543">
                  <c:v>42212</c:v>
                </c:pt>
                <c:pt idx="1544">
                  <c:v>42213</c:v>
                </c:pt>
                <c:pt idx="1545">
                  <c:v>42214</c:v>
                </c:pt>
                <c:pt idx="1546">
                  <c:v>42215</c:v>
                </c:pt>
                <c:pt idx="1547">
                  <c:v>42216</c:v>
                </c:pt>
                <c:pt idx="1548">
                  <c:v>42219</c:v>
                </c:pt>
                <c:pt idx="1549">
                  <c:v>42220</c:v>
                </c:pt>
                <c:pt idx="1550">
                  <c:v>42221</c:v>
                </c:pt>
                <c:pt idx="1551">
                  <c:v>42222</c:v>
                </c:pt>
                <c:pt idx="1552">
                  <c:v>42223</c:v>
                </c:pt>
                <c:pt idx="1553">
                  <c:v>42226</c:v>
                </c:pt>
                <c:pt idx="1554">
                  <c:v>42227</c:v>
                </c:pt>
                <c:pt idx="1555">
                  <c:v>42228</c:v>
                </c:pt>
                <c:pt idx="1556">
                  <c:v>42229</c:v>
                </c:pt>
                <c:pt idx="1557">
                  <c:v>42230</c:v>
                </c:pt>
                <c:pt idx="1558">
                  <c:v>42233</c:v>
                </c:pt>
                <c:pt idx="1559">
                  <c:v>42234</c:v>
                </c:pt>
                <c:pt idx="1560">
                  <c:v>42235</c:v>
                </c:pt>
                <c:pt idx="1561">
                  <c:v>42236</c:v>
                </c:pt>
                <c:pt idx="1562">
                  <c:v>42237</c:v>
                </c:pt>
                <c:pt idx="1563">
                  <c:v>42240</c:v>
                </c:pt>
                <c:pt idx="1564">
                  <c:v>42241</c:v>
                </c:pt>
                <c:pt idx="1565">
                  <c:v>42242</c:v>
                </c:pt>
                <c:pt idx="1566">
                  <c:v>42243</c:v>
                </c:pt>
                <c:pt idx="1567">
                  <c:v>42244</c:v>
                </c:pt>
                <c:pt idx="1568">
                  <c:v>42247</c:v>
                </c:pt>
                <c:pt idx="1569">
                  <c:v>42248</c:v>
                </c:pt>
                <c:pt idx="1570">
                  <c:v>42249</c:v>
                </c:pt>
                <c:pt idx="1571">
                  <c:v>42250</c:v>
                </c:pt>
                <c:pt idx="1572">
                  <c:v>42251</c:v>
                </c:pt>
                <c:pt idx="1573">
                  <c:v>42255</c:v>
                </c:pt>
                <c:pt idx="1574">
                  <c:v>42256</c:v>
                </c:pt>
                <c:pt idx="1575">
                  <c:v>42257</c:v>
                </c:pt>
                <c:pt idx="1576">
                  <c:v>42258</c:v>
                </c:pt>
                <c:pt idx="1577">
                  <c:v>42261</c:v>
                </c:pt>
                <c:pt idx="1578">
                  <c:v>42262</c:v>
                </c:pt>
                <c:pt idx="1579">
                  <c:v>42263</c:v>
                </c:pt>
                <c:pt idx="1580">
                  <c:v>42264</c:v>
                </c:pt>
                <c:pt idx="1581">
                  <c:v>42265</c:v>
                </c:pt>
                <c:pt idx="1582">
                  <c:v>42268</c:v>
                </c:pt>
                <c:pt idx="1583">
                  <c:v>42269</c:v>
                </c:pt>
                <c:pt idx="1584">
                  <c:v>42270</c:v>
                </c:pt>
                <c:pt idx="1585">
                  <c:v>42271</c:v>
                </c:pt>
                <c:pt idx="1586">
                  <c:v>42272</c:v>
                </c:pt>
                <c:pt idx="1587">
                  <c:v>42275</c:v>
                </c:pt>
                <c:pt idx="1588">
                  <c:v>42276</c:v>
                </c:pt>
                <c:pt idx="1589">
                  <c:v>42277</c:v>
                </c:pt>
                <c:pt idx="1590">
                  <c:v>42278</c:v>
                </c:pt>
                <c:pt idx="1591">
                  <c:v>42279</c:v>
                </c:pt>
                <c:pt idx="1592">
                  <c:v>42282</c:v>
                </c:pt>
                <c:pt idx="1593">
                  <c:v>42283</c:v>
                </c:pt>
                <c:pt idx="1594">
                  <c:v>42284</c:v>
                </c:pt>
                <c:pt idx="1595">
                  <c:v>42285</c:v>
                </c:pt>
                <c:pt idx="1596">
                  <c:v>42286</c:v>
                </c:pt>
                <c:pt idx="1597">
                  <c:v>42289</c:v>
                </c:pt>
                <c:pt idx="1598">
                  <c:v>42290</c:v>
                </c:pt>
                <c:pt idx="1599">
                  <c:v>42291</c:v>
                </c:pt>
                <c:pt idx="1600">
                  <c:v>42292</c:v>
                </c:pt>
                <c:pt idx="1601">
                  <c:v>42293</c:v>
                </c:pt>
                <c:pt idx="1602">
                  <c:v>42296</c:v>
                </c:pt>
                <c:pt idx="1603">
                  <c:v>42297</c:v>
                </c:pt>
                <c:pt idx="1604">
                  <c:v>42298</c:v>
                </c:pt>
                <c:pt idx="1605">
                  <c:v>42299</c:v>
                </c:pt>
                <c:pt idx="1606">
                  <c:v>42300</c:v>
                </c:pt>
                <c:pt idx="1607">
                  <c:v>42303</c:v>
                </c:pt>
                <c:pt idx="1608">
                  <c:v>42304</c:v>
                </c:pt>
                <c:pt idx="1609">
                  <c:v>42305</c:v>
                </c:pt>
                <c:pt idx="1610">
                  <c:v>42306</c:v>
                </c:pt>
                <c:pt idx="1611">
                  <c:v>42307</c:v>
                </c:pt>
                <c:pt idx="1612">
                  <c:v>42310</c:v>
                </c:pt>
                <c:pt idx="1613">
                  <c:v>42311</c:v>
                </c:pt>
                <c:pt idx="1614">
                  <c:v>42312</c:v>
                </c:pt>
                <c:pt idx="1615">
                  <c:v>42313</c:v>
                </c:pt>
                <c:pt idx="1616">
                  <c:v>42314</c:v>
                </c:pt>
                <c:pt idx="1617">
                  <c:v>42317</c:v>
                </c:pt>
                <c:pt idx="1618">
                  <c:v>42318</c:v>
                </c:pt>
                <c:pt idx="1619">
                  <c:v>42319</c:v>
                </c:pt>
                <c:pt idx="1620">
                  <c:v>42320</c:v>
                </c:pt>
                <c:pt idx="1621">
                  <c:v>42321</c:v>
                </c:pt>
                <c:pt idx="1622">
                  <c:v>42324</c:v>
                </c:pt>
                <c:pt idx="1623">
                  <c:v>42325</c:v>
                </c:pt>
                <c:pt idx="1624">
                  <c:v>42326</c:v>
                </c:pt>
                <c:pt idx="1625">
                  <c:v>42327</c:v>
                </c:pt>
                <c:pt idx="1626">
                  <c:v>42328</c:v>
                </c:pt>
                <c:pt idx="1627">
                  <c:v>42331</c:v>
                </c:pt>
                <c:pt idx="1628">
                  <c:v>42332</c:v>
                </c:pt>
                <c:pt idx="1629">
                  <c:v>42333</c:v>
                </c:pt>
                <c:pt idx="1630">
                  <c:v>42335</c:v>
                </c:pt>
                <c:pt idx="1631">
                  <c:v>42338</c:v>
                </c:pt>
                <c:pt idx="1632">
                  <c:v>42339</c:v>
                </c:pt>
                <c:pt idx="1633">
                  <c:v>42340</c:v>
                </c:pt>
                <c:pt idx="1634">
                  <c:v>42341</c:v>
                </c:pt>
                <c:pt idx="1635">
                  <c:v>42342</c:v>
                </c:pt>
                <c:pt idx="1636">
                  <c:v>42345</c:v>
                </c:pt>
                <c:pt idx="1637">
                  <c:v>42346</c:v>
                </c:pt>
                <c:pt idx="1638">
                  <c:v>42347</c:v>
                </c:pt>
                <c:pt idx="1639">
                  <c:v>42348</c:v>
                </c:pt>
                <c:pt idx="1640">
                  <c:v>42349</c:v>
                </c:pt>
                <c:pt idx="1641">
                  <c:v>42352</c:v>
                </c:pt>
                <c:pt idx="1642">
                  <c:v>42353</c:v>
                </c:pt>
                <c:pt idx="1643">
                  <c:v>42354</c:v>
                </c:pt>
                <c:pt idx="1644">
                  <c:v>42355</c:v>
                </c:pt>
                <c:pt idx="1645">
                  <c:v>42356</c:v>
                </c:pt>
                <c:pt idx="1646">
                  <c:v>42359</c:v>
                </c:pt>
                <c:pt idx="1647">
                  <c:v>42360</c:v>
                </c:pt>
                <c:pt idx="1648">
                  <c:v>42361</c:v>
                </c:pt>
                <c:pt idx="1649">
                  <c:v>42362</c:v>
                </c:pt>
                <c:pt idx="1650">
                  <c:v>42366</c:v>
                </c:pt>
                <c:pt idx="1651">
                  <c:v>42367</c:v>
                </c:pt>
                <c:pt idx="1652">
                  <c:v>42368</c:v>
                </c:pt>
                <c:pt idx="1653">
                  <c:v>42369</c:v>
                </c:pt>
                <c:pt idx="1654">
                  <c:v>42373</c:v>
                </c:pt>
                <c:pt idx="1655">
                  <c:v>42374</c:v>
                </c:pt>
                <c:pt idx="1656">
                  <c:v>42375</c:v>
                </c:pt>
                <c:pt idx="1657">
                  <c:v>42376</c:v>
                </c:pt>
                <c:pt idx="1658">
                  <c:v>42377</c:v>
                </c:pt>
                <c:pt idx="1659">
                  <c:v>42380</c:v>
                </c:pt>
                <c:pt idx="1660">
                  <c:v>42381</c:v>
                </c:pt>
                <c:pt idx="1661">
                  <c:v>42382</c:v>
                </c:pt>
                <c:pt idx="1662">
                  <c:v>42383</c:v>
                </c:pt>
                <c:pt idx="1663">
                  <c:v>42384</c:v>
                </c:pt>
                <c:pt idx="1664">
                  <c:v>42388</c:v>
                </c:pt>
                <c:pt idx="1665">
                  <c:v>42389</c:v>
                </c:pt>
                <c:pt idx="1666">
                  <c:v>42390</c:v>
                </c:pt>
                <c:pt idx="1667">
                  <c:v>42391</c:v>
                </c:pt>
                <c:pt idx="1668">
                  <c:v>42394</c:v>
                </c:pt>
                <c:pt idx="1669">
                  <c:v>42395</c:v>
                </c:pt>
                <c:pt idx="1670">
                  <c:v>42396</c:v>
                </c:pt>
                <c:pt idx="1671">
                  <c:v>42397</c:v>
                </c:pt>
                <c:pt idx="1672">
                  <c:v>42398</c:v>
                </c:pt>
                <c:pt idx="1673">
                  <c:v>42401</c:v>
                </c:pt>
                <c:pt idx="1674">
                  <c:v>42402</c:v>
                </c:pt>
                <c:pt idx="1675">
                  <c:v>42403</c:v>
                </c:pt>
                <c:pt idx="1676">
                  <c:v>42404</c:v>
                </c:pt>
                <c:pt idx="1677">
                  <c:v>42405</c:v>
                </c:pt>
                <c:pt idx="1678">
                  <c:v>42408</c:v>
                </c:pt>
                <c:pt idx="1679">
                  <c:v>42409</c:v>
                </c:pt>
                <c:pt idx="1680">
                  <c:v>42410</c:v>
                </c:pt>
                <c:pt idx="1681">
                  <c:v>42411</c:v>
                </c:pt>
                <c:pt idx="1682">
                  <c:v>42412</c:v>
                </c:pt>
                <c:pt idx="1683">
                  <c:v>42416</c:v>
                </c:pt>
                <c:pt idx="1684">
                  <c:v>42417</c:v>
                </c:pt>
                <c:pt idx="1685">
                  <c:v>42418</c:v>
                </c:pt>
                <c:pt idx="1686">
                  <c:v>42419</c:v>
                </c:pt>
                <c:pt idx="1687">
                  <c:v>42422</c:v>
                </c:pt>
                <c:pt idx="1688">
                  <c:v>42423</c:v>
                </c:pt>
                <c:pt idx="1689">
                  <c:v>42424</c:v>
                </c:pt>
                <c:pt idx="1690">
                  <c:v>42425</c:v>
                </c:pt>
                <c:pt idx="1691">
                  <c:v>42426</c:v>
                </c:pt>
                <c:pt idx="1692">
                  <c:v>42429</c:v>
                </c:pt>
                <c:pt idx="1693">
                  <c:v>42430</c:v>
                </c:pt>
                <c:pt idx="1694">
                  <c:v>42431</c:v>
                </c:pt>
                <c:pt idx="1695">
                  <c:v>42432</c:v>
                </c:pt>
                <c:pt idx="1696">
                  <c:v>42433</c:v>
                </c:pt>
                <c:pt idx="1697">
                  <c:v>42436</c:v>
                </c:pt>
                <c:pt idx="1698">
                  <c:v>42437</c:v>
                </c:pt>
                <c:pt idx="1699">
                  <c:v>42438</c:v>
                </c:pt>
                <c:pt idx="1700">
                  <c:v>42439</c:v>
                </c:pt>
                <c:pt idx="1701">
                  <c:v>42440</c:v>
                </c:pt>
                <c:pt idx="1702">
                  <c:v>42443</c:v>
                </c:pt>
                <c:pt idx="1703">
                  <c:v>42444</c:v>
                </c:pt>
                <c:pt idx="1704">
                  <c:v>42445</c:v>
                </c:pt>
                <c:pt idx="1705">
                  <c:v>42446</c:v>
                </c:pt>
                <c:pt idx="1706">
                  <c:v>42447</c:v>
                </c:pt>
                <c:pt idx="1707">
                  <c:v>42450</c:v>
                </c:pt>
                <c:pt idx="1708">
                  <c:v>42451</c:v>
                </c:pt>
                <c:pt idx="1709">
                  <c:v>42452</c:v>
                </c:pt>
                <c:pt idx="1710">
                  <c:v>42453</c:v>
                </c:pt>
                <c:pt idx="1711">
                  <c:v>42457</c:v>
                </c:pt>
                <c:pt idx="1712">
                  <c:v>42458</c:v>
                </c:pt>
                <c:pt idx="1713">
                  <c:v>42459</c:v>
                </c:pt>
                <c:pt idx="1714">
                  <c:v>42460</c:v>
                </c:pt>
                <c:pt idx="1715">
                  <c:v>42461</c:v>
                </c:pt>
                <c:pt idx="1716">
                  <c:v>42464</c:v>
                </c:pt>
                <c:pt idx="1717">
                  <c:v>42465</c:v>
                </c:pt>
                <c:pt idx="1718">
                  <c:v>42466</c:v>
                </c:pt>
                <c:pt idx="1719">
                  <c:v>42467</c:v>
                </c:pt>
                <c:pt idx="1720">
                  <c:v>42468</c:v>
                </c:pt>
                <c:pt idx="1721">
                  <c:v>42471</c:v>
                </c:pt>
                <c:pt idx="1722">
                  <c:v>42472</c:v>
                </c:pt>
                <c:pt idx="1723">
                  <c:v>42473</c:v>
                </c:pt>
                <c:pt idx="1724">
                  <c:v>42474</c:v>
                </c:pt>
                <c:pt idx="1725">
                  <c:v>42475</c:v>
                </c:pt>
                <c:pt idx="1726">
                  <c:v>42478</c:v>
                </c:pt>
                <c:pt idx="1727">
                  <c:v>42479</c:v>
                </c:pt>
                <c:pt idx="1728">
                  <c:v>42480</c:v>
                </c:pt>
                <c:pt idx="1729">
                  <c:v>42481</c:v>
                </c:pt>
                <c:pt idx="1730">
                  <c:v>42482</c:v>
                </c:pt>
                <c:pt idx="1731">
                  <c:v>42485</c:v>
                </c:pt>
                <c:pt idx="1732">
                  <c:v>42486</c:v>
                </c:pt>
                <c:pt idx="1733">
                  <c:v>42487</c:v>
                </c:pt>
                <c:pt idx="1734">
                  <c:v>42488</c:v>
                </c:pt>
                <c:pt idx="1735">
                  <c:v>42489</c:v>
                </c:pt>
                <c:pt idx="1736">
                  <c:v>42492</c:v>
                </c:pt>
                <c:pt idx="1737">
                  <c:v>42493</c:v>
                </c:pt>
                <c:pt idx="1738">
                  <c:v>42494</c:v>
                </c:pt>
                <c:pt idx="1739">
                  <c:v>42495</c:v>
                </c:pt>
                <c:pt idx="1740">
                  <c:v>42496</c:v>
                </c:pt>
                <c:pt idx="1741">
                  <c:v>42499</c:v>
                </c:pt>
                <c:pt idx="1742">
                  <c:v>42500</c:v>
                </c:pt>
                <c:pt idx="1743">
                  <c:v>42501</c:v>
                </c:pt>
                <c:pt idx="1744">
                  <c:v>42502</c:v>
                </c:pt>
                <c:pt idx="1745">
                  <c:v>42503</c:v>
                </c:pt>
                <c:pt idx="1746">
                  <c:v>42506</c:v>
                </c:pt>
                <c:pt idx="1747">
                  <c:v>42507</c:v>
                </c:pt>
                <c:pt idx="1748">
                  <c:v>42508</c:v>
                </c:pt>
                <c:pt idx="1749">
                  <c:v>42509</c:v>
                </c:pt>
                <c:pt idx="1750">
                  <c:v>42510</c:v>
                </c:pt>
                <c:pt idx="1751">
                  <c:v>42513</c:v>
                </c:pt>
                <c:pt idx="1752">
                  <c:v>42514</c:v>
                </c:pt>
                <c:pt idx="1753">
                  <c:v>42515</c:v>
                </c:pt>
                <c:pt idx="1754">
                  <c:v>42516</c:v>
                </c:pt>
                <c:pt idx="1755">
                  <c:v>42517</c:v>
                </c:pt>
                <c:pt idx="1756">
                  <c:v>42521</c:v>
                </c:pt>
                <c:pt idx="1757">
                  <c:v>42522</c:v>
                </c:pt>
                <c:pt idx="1758">
                  <c:v>42523</c:v>
                </c:pt>
                <c:pt idx="1759">
                  <c:v>42524</c:v>
                </c:pt>
                <c:pt idx="1760">
                  <c:v>42527</c:v>
                </c:pt>
                <c:pt idx="1761">
                  <c:v>42528</c:v>
                </c:pt>
                <c:pt idx="1762">
                  <c:v>42529</c:v>
                </c:pt>
                <c:pt idx="1763">
                  <c:v>42530</c:v>
                </c:pt>
                <c:pt idx="1764">
                  <c:v>42531</c:v>
                </c:pt>
                <c:pt idx="1765">
                  <c:v>42534</c:v>
                </c:pt>
                <c:pt idx="1766">
                  <c:v>42535</c:v>
                </c:pt>
                <c:pt idx="1767">
                  <c:v>42536</c:v>
                </c:pt>
                <c:pt idx="1768">
                  <c:v>42537</c:v>
                </c:pt>
                <c:pt idx="1769">
                  <c:v>42538</c:v>
                </c:pt>
                <c:pt idx="1770">
                  <c:v>42541</c:v>
                </c:pt>
                <c:pt idx="1771">
                  <c:v>42542</c:v>
                </c:pt>
                <c:pt idx="1772">
                  <c:v>42543</c:v>
                </c:pt>
                <c:pt idx="1773">
                  <c:v>42544</c:v>
                </c:pt>
                <c:pt idx="1774">
                  <c:v>42545</c:v>
                </c:pt>
                <c:pt idx="1775">
                  <c:v>42548</c:v>
                </c:pt>
                <c:pt idx="1776">
                  <c:v>42549</c:v>
                </c:pt>
                <c:pt idx="1777">
                  <c:v>42550</c:v>
                </c:pt>
                <c:pt idx="1778">
                  <c:v>42551</c:v>
                </c:pt>
                <c:pt idx="1779">
                  <c:v>42552</c:v>
                </c:pt>
                <c:pt idx="1780">
                  <c:v>42556</c:v>
                </c:pt>
                <c:pt idx="1781">
                  <c:v>42557</c:v>
                </c:pt>
                <c:pt idx="1782">
                  <c:v>42558</c:v>
                </c:pt>
                <c:pt idx="1783">
                  <c:v>42559</c:v>
                </c:pt>
                <c:pt idx="1784">
                  <c:v>42562</c:v>
                </c:pt>
                <c:pt idx="1785">
                  <c:v>42563</c:v>
                </c:pt>
                <c:pt idx="1786">
                  <c:v>42564</c:v>
                </c:pt>
                <c:pt idx="1787">
                  <c:v>42565</c:v>
                </c:pt>
                <c:pt idx="1788">
                  <c:v>42566</c:v>
                </c:pt>
                <c:pt idx="1789">
                  <c:v>42569</c:v>
                </c:pt>
                <c:pt idx="1790">
                  <c:v>42570</c:v>
                </c:pt>
                <c:pt idx="1791">
                  <c:v>42571</c:v>
                </c:pt>
                <c:pt idx="1792">
                  <c:v>42572</c:v>
                </c:pt>
                <c:pt idx="1793">
                  <c:v>42573</c:v>
                </c:pt>
                <c:pt idx="1794">
                  <c:v>42576</c:v>
                </c:pt>
                <c:pt idx="1795">
                  <c:v>42577</c:v>
                </c:pt>
                <c:pt idx="1796">
                  <c:v>42578</c:v>
                </c:pt>
                <c:pt idx="1797">
                  <c:v>42579</c:v>
                </c:pt>
                <c:pt idx="1798">
                  <c:v>42580</c:v>
                </c:pt>
                <c:pt idx="1799">
                  <c:v>42583</c:v>
                </c:pt>
                <c:pt idx="1800">
                  <c:v>42584</c:v>
                </c:pt>
                <c:pt idx="1801">
                  <c:v>42585</c:v>
                </c:pt>
                <c:pt idx="1802">
                  <c:v>42586</c:v>
                </c:pt>
                <c:pt idx="1803">
                  <c:v>42587</c:v>
                </c:pt>
                <c:pt idx="1804">
                  <c:v>42590</c:v>
                </c:pt>
                <c:pt idx="1805">
                  <c:v>42591</c:v>
                </c:pt>
                <c:pt idx="1806">
                  <c:v>42592</c:v>
                </c:pt>
                <c:pt idx="1807">
                  <c:v>42593</c:v>
                </c:pt>
                <c:pt idx="1808">
                  <c:v>42594</c:v>
                </c:pt>
                <c:pt idx="1809">
                  <c:v>42597</c:v>
                </c:pt>
                <c:pt idx="1810">
                  <c:v>42598</c:v>
                </c:pt>
                <c:pt idx="1811">
                  <c:v>42599</c:v>
                </c:pt>
                <c:pt idx="1812">
                  <c:v>42600</c:v>
                </c:pt>
                <c:pt idx="1813">
                  <c:v>42601</c:v>
                </c:pt>
                <c:pt idx="1814">
                  <c:v>42604</c:v>
                </c:pt>
                <c:pt idx="1815">
                  <c:v>42605</c:v>
                </c:pt>
                <c:pt idx="1816">
                  <c:v>42606</c:v>
                </c:pt>
                <c:pt idx="1817">
                  <c:v>42607</c:v>
                </c:pt>
                <c:pt idx="1818">
                  <c:v>42608</c:v>
                </c:pt>
                <c:pt idx="1819">
                  <c:v>42611</c:v>
                </c:pt>
                <c:pt idx="1820">
                  <c:v>42612</c:v>
                </c:pt>
                <c:pt idx="1821">
                  <c:v>42613</c:v>
                </c:pt>
                <c:pt idx="1822">
                  <c:v>42614</c:v>
                </c:pt>
                <c:pt idx="1823">
                  <c:v>42615</c:v>
                </c:pt>
                <c:pt idx="1824">
                  <c:v>42619</c:v>
                </c:pt>
                <c:pt idx="1825">
                  <c:v>42620</c:v>
                </c:pt>
                <c:pt idx="1826">
                  <c:v>42621</c:v>
                </c:pt>
                <c:pt idx="1827">
                  <c:v>42622</c:v>
                </c:pt>
                <c:pt idx="1828">
                  <c:v>42625</c:v>
                </c:pt>
                <c:pt idx="1829">
                  <c:v>42626</c:v>
                </c:pt>
                <c:pt idx="1830">
                  <c:v>42627</c:v>
                </c:pt>
                <c:pt idx="1831">
                  <c:v>42628</c:v>
                </c:pt>
                <c:pt idx="1832">
                  <c:v>42629</c:v>
                </c:pt>
                <c:pt idx="1833">
                  <c:v>42632</c:v>
                </c:pt>
                <c:pt idx="1834">
                  <c:v>42633</c:v>
                </c:pt>
                <c:pt idx="1835">
                  <c:v>42634</c:v>
                </c:pt>
                <c:pt idx="1836">
                  <c:v>42635</c:v>
                </c:pt>
                <c:pt idx="1837">
                  <c:v>42636</c:v>
                </c:pt>
                <c:pt idx="1838">
                  <c:v>42639</c:v>
                </c:pt>
                <c:pt idx="1839">
                  <c:v>42640</c:v>
                </c:pt>
                <c:pt idx="1840">
                  <c:v>42641</c:v>
                </c:pt>
                <c:pt idx="1841">
                  <c:v>42642</c:v>
                </c:pt>
                <c:pt idx="1842">
                  <c:v>42643</c:v>
                </c:pt>
                <c:pt idx="1843">
                  <c:v>42646</c:v>
                </c:pt>
                <c:pt idx="1844">
                  <c:v>42647</c:v>
                </c:pt>
                <c:pt idx="1845">
                  <c:v>42648</c:v>
                </c:pt>
                <c:pt idx="1846">
                  <c:v>42649</c:v>
                </c:pt>
                <c:pt idx="1847">
                  <c:v>42650</c:v>
                </c:pt>
                <c:pt idx="1848">
                  <c:v>42653</c:v>
                </c:pt>
                <c:pt idx="1849">
                  <c:v>42654</c:v>
                </c:pt>
                <c:pt idx="1850">
                  <c:v>42655</c:v>
                </c:pt>
                <c:pt idx="1851">
                  <c:v>42656</c:v>
                </c:pt>
                <c:pt idx="1852">
                  <c:v>42657</c:v>
                </c:pt>
                <c:pt idx="1853">
                  <c:v>42660</c:v>
                </c:pt>
                <c:pt idx="1854">
                  <c:v>42661</c:v>
                </c:pt>
                <c:pt idx="1855">
                  <c:v>42662</c:v>
                </c:pt>
                <c:pt idx="1856">
                  <c:v>42663</c:v>
                </c:pt>
                <c:pt idx="1857">
                  <c:v>42664</c:v>
                </c:pt>
                <c:pt idx="1858">
                  <c:v>42667</c:v>
                </c:pt>
                <c:pt idx="1859">
                  <c:v>42668</c:v>
                </c:pt>
                <c:pt idx="1860">
                  <c:v>42669</c:v>
                </c:pt>
                <c:pt idx="1861">
                  <c:v>42670</c:v>
                </c:pt>
                <c:pt idx="1862">
                  <c:v>42671</c:v>
                </c:pt>
                <c:pt idx="1863">
                  <c:v>42674</c:v>
                </c:pt>
                <c:pt idx="1864">
                  <c:v>42675</c:v>
                </c:pt>
                <c:pt idx="1865">
                  <c:v>42676</c:v>
                </c:pt>
                <c:pt idx="1866">
                  <c:v>42677</c:v>
                </c:pt>
                <c:pt idx="1867">
                  <c:v>42678</c:v>
                </c:pt>
                <c:pt idx="1868">
                  <c:v>42681</c:v>
                </c:pt>
                <c:pt idx="1869">
                  <c:v>42682</c:v>
                </c:pt>
                <c:pt idx="1870">
                  <c:v>42683</c:v>
                </c:pt>
                <c:pt idx="1871">
                  <c:v>42684</c:v>
                </c:pt>
                <c:pt idx="1872">
                  <c:v>42685</c:v>
                </c:pt>
                <c:pt idx="1873">
                  <c:v>42688</c:v>
                </c:pt>
                <c:pt idx="1874">
                  <c:v>42689</c:v>
                </c:pt>
                <c:pt idx="1875">
                  <c:v>42690</c:v>
                </c:pt>
                <c:pt idx="1876">
                  <c:v>42691</c:v>
                </c:pt>
                <c:pt idx="1877">
                  <c:v>42692</c:v>
                </c:pt>
                <c:pt idx="1878">
                  <c:v>42695</c:v>
                </c:pt>
                <c:pt idx="1879">
                  <c:v>42696</c:v>
                </c:pt>
                <c:pt idx="1880">
                  <c:v>42697</c:v>
                </c:pt>
                <c:pt idx="1881">
                  <c:v>42699</c:v>
                </c:pt>
                <c:pt idx="1882">
                  <c:v>42702</c:v>
                </c:pt>
                <c:pt idx="1883">
                  <c:v>42703</c:v>
                </c:pt>
                <c:pt idx="1884">
                  <c:v>42704</c:v>
                </c:pt>
                <c:pt idx="1885">
                  <c:v>42705</c:v>
                </c:pt>
                <c:pt idx="1886">
                  <c:v>42706</c:v>
                </c:pt>
                <c:pt idx="1887">
                  <c:v>42709</c:v>
                </c:pt>
                <c:pt idx="1888">
                  <c:v>42710</c:v>
                </c:pt>
                <c:pt idx="1889">
                  <c:v>42711</c:v>
                </c:pt>
                <c:pt idx="1890">
                  <c:v>42712</c:v>
                </c:pt>
                <c:pt idx="1891">
                  <c:v>42713</c:v>
                </c:pt>
                <c:pt idx="1892">
                  <c:v>42716</c:v>
                </c:pt>
                <c:pt idx="1893">
                  <c:v>42717</c:v>
                </c:pt>
                <c:pt idx="1894">
                  <c:v>42718</c:v>
                </c:pt>
                <c:pt idx="1895">
                  <c:v>42719</c:v>
                </c:pt>
                <c:pt idx="1896">
                  <c:v>42720</c:v>
                </c:pt>
                <c:pt idx="1897">
                  <c:v>42723</c:v>
                </c:pt>
                <c:pt idx="1898">
                  <c:v>42724</c:v>
                </c:pt>
                <c:pt idx="1899">
                  <c:v>42725</c:v>
                </c:pt>
                <c:pt idx="1900">
                  <c:v>42726</c:v>
                </c:pt>
                <c:pt idx="1901">
                  <c:v>42727</c:v>
                </c:pt>
                <c:pt idx="1902">
                  <c:v>42731</c:v>
                </c:pt>
                <c:pt idx="1903">
                  <c:v>42732</c:v>
                </c:pt>
                <c:pt idx="1904">
                  <c:v>42733</c:v>
                </c:pt>
                <c:pt idx="1905">
                  <c:v>42734</c:v>
                </c:pt>
                <c:pt idx="1906">
                  <c:v>42738</c:v>
                </c:pt>
                <c:pt idx="1907">
                  <c:v>42739</c:v>
                </c:pt>
                <c:pt idx="1908">
                  <c:v>42740</c:v>
                </c:pt>
                <c:pt idx="1909">
                  <c:v>42741</c:v>
                </c:pt>
                <c:pt idx="1910">
                  <c:v>42744</c:v>
                </c:pt>
                <c:pt idx="1911">
                  <c:v>42745</c:v>
                </c:pt>
                <c:pt idx="1912">
                  <c:v>42746</c:v>
                </c:pt>
                <c:pt idx="1913">
                  <c:v>42747</c:v>
                </c:pt>
                <c:pt idx="1914">
                  <c:v>42748</c:v>
                </c:pt>
                <c:pt idx="1915">
                  <c:v>42752</c:v>
                </c:pt>
                <c:pt idx="1916">
                  <c:v>42753</c:v>
                </c:pt>
                <c:pt idx="1917">
                  <c:v>42754</c:v>
                </c:pt>
                <c:pt idx="1918">
                  <c:v>42755</c:v>
                </c:pt>
                <c:pt idx="1919">
                  <c:v>42758</c:v>
                </c:pt>
                <c:pt idx="1920">
                  <c:v>42759</c:v>
                </c:pt>
                <c:pt idx="1921">
                  <c:v>42760</c:v>
                </c:pt>
                <c:pt idx="1922">
                  <c:v>42761</c:v>
                </c:pt>
                <c:pt idx="1923">
                  <c:v>42762</c:v>
                </c:pt>
                <c:pt idx="1924">
                  <c:v>42765</c:v>
                </c:pt>
                <c:pt idx="1925">
                  <c:v>42766</c:v>
                </c:pt>
                <c:pt idx="1926">
                  <c:v>42767</c:v>
                </c:pt>
                <c:pt idx="1927">
                  <c:v>42768</c:v>
                </c:pt>
                <c:pt idx="1928">
                  <c:v>42769</c:v>
                </c:pt>
                <c:pt idx="1929">
                  <c:v>42772</c:v>
                </c:pt>
                <c:pt idx="1930">
                  <c:v>42773</c:v>
                </c:pt>
                <c:pt idx="1931">
                  <c:v>42774</c:v>
                </c:pt>
                <c:pt idx="1932">
                  <c:v>42775</c:v>
                </c:pt>
                <c:pt idx="1933">
                  <c:v>42776</c:v>
                </c:pt>
                <c:pt idx="1934">
                  <c:v>42779</c:v>
                </c:pt>
                <c:pt idx="1935">
                  <c:v>42780</c:v>
                </c:pt>
                <c:pt idx="1936">
                  <c:v>42781</c:v>
                </c:pt>
                <c:pt idx="1937">
                  <c:v>42782</c:v>
                </c:pt>
                <c:pt idx="1938">
                  <c:v>42783</c:v>
                </c:pt>
                <c:pt idx="1939">
                  <c:v>42787</c:v>
                </c:pt>
                <c:pt idx="1940">
                  <c:v>42788</c:v>
                </c:pt>
                <c:pt idx="1941">
                  <c:v>42789</c:v>
                </c:pt>
                <c:pt idx="1942">
                  <c:v>42790</c:v>
                </c:pt>
                <c:pt idx="1943">
                  <c:v>42793</c:v>
                </c:pt>
                <c:pt idx="1944">
                  <c:v>42794</c:v>
                </c:pt>
                <c:pt idx="1945">
                  <c:v>42795</c:v>
                </c:pt>
                <c:pt idx="1946">
                  <c:v>42796</c:v>
                </c:pt>
                <c:pt idx="1947">
                  <c:v>42797</c:v>
                </c:pt>
                <c:pt idx="1948">
                  <c:v>42800</c:v>
                </c:pt>
                <c:pt idx="1949">
                  <c:v>42801</c:v>
                </c:pt>
                <c:pt idx="1950">
                  <c:v>42802</c:v>
                </c:pt>
                <c:pt idx="1951">
                  <c:v>42803</c:v>
                </c:pt>
                <c:pt idx="1952">
                  <c:v>42804</c:v>
                </c:pt>
                <c:pt idx="1953">
                  <c:v>42807</c:v>
                </c:pt>
                <c:pt idx="1954">
                  <c:v>42808</c:v>
                </c:pt>
                <c:pt idx="1955">
                  <c:v>42809</c:v>
                </c:pt>
                <c:pt idx="1956">
                  <c:v>42810</c:v>
                </c:pt>
                <c:pt idx="1957">
                  <c:v>42811</c:v>
                </c:pt>
                <c:pt idx="1958">
                  <c:v>42814</c:v>
                </c:pt>
                <c:pt idx="1959">
                  <c:v>42815</c:v>
                </c:pt>
                <c:pt idx="1960">
                  <c:v>42816</c:v>
                </c:pt>
                <c:pt idx="1961">
                  <c:v>42817</c:v>
                </c:pt>
                <c:pt idx="1962">
                  <c:v>42818</c:v>
                </c:pt>
                <c:pt idx="1963">
                  <c:v>42821</c:v>
                </c:pt>
                <c:pt idx="1964">
                  <c:v>42822</c:v>
                </c:pt>
                <c:pt idx="1965">
                  <c:v>42823</c:v>
                </c:pt>
                <c:pt idx="1966">
                  <c:v>42824</c:v>
                </c:pt>
                <c:pt idx="1967">
                  <c:v>42825</c:v>
                </c:pt>
                <c:pt idx="1968">
                  <c:v>42828</c:v>
                </c:pt>
                <c:pt idx="1969">
                  <c:v>42829</c:v>
                </c:pt>
                <c:pt idx="1970">
                  <c:v>42830</c:v>
                </c:pt>
                <c:pt idx="1971">
                  <c:v>42831</c:v>
                </c:pt>
                <c:pt idx="1972">
                  <c:v>42832</c:v>
                </c:pt>
                <c:pt idx="1973">
                  <c:v>42835</c:v>
                </c:pt>
                <c:pt idx="1974">
                  <c:v>42836</c:v>
                </c:pt>
                <c:pt idx="1975">
                  <c:v>42837</c:v>
                </c:pt>
                <c:pt idx="1976">
                  <c:v>42838</c:v>
                </c:pt>
                <c:pt idx="1977">
                  <c:v>42842</c:v>
                </c:pt>
                <c:pt idx="1978">
                  <c:v>42843</c:v>
                </c:pt>
                <c:pt idx="1979">
                  <c:v>42844</c:v>
                </c:pt>
                <c:pt idx="1980">
                  <c:v>42845</c:v>
                </c:pt>
                <c:pt idx="1981">
                  <c:v>42846</c:v>
                </c:pt>
                <c:pt idx="1982">
                  <c:v>42849</c:v>
                </c:pt>
                <c:pt idx="1983">
                  <c:v>42850</c:v>
                </c:pt>
                <c:pt idx="1984">
                  <c:v>42851</c:v>
                </c:pt>
                <c:pt idx="1985">
                  <c:v>42852</c:v>
                </c:pt>
                <c:pt idx="1986">
                  <c:v>42853</c:v>
                </c:pt>
                <c:pt idx="1987">
                  <c:v>42856</c:v>
                </c:pt>
                <c:pt idx="1988">
                  <c:v>42857</c:v>
                </c:pt>
                <c:pt idx="1989">
                  <c:v>42858</c:v>
                </c:pt>
                <c:pt idx="1990">
                  <c:v>42859</c:v>
                </c:pt>
                <c:pt idx="1991">
                  <c:v>42860</c:v>
                </c:pt>
                <c:pt idx="1992">
                  <c:v>42863</c:v>
                </c:pt>
                <c:pt idx="1993">
                  <c:v>42864</c:v>
                </c:pt>
                <c:pt idx="1994">
                  <c:v>42865</c:v>
                </c:pt>
                <c:pt idx="1995">
                  <c:v>42866</c:v>
                </c:pt>
                <c:pt idx="1996">
                  <c:v>42867</c:v>
                </c:pt>
                <c:pt idx="1997">
                  <c:v>42870</c:v>
                </c:pt>
                <c:pt idx="1998">
                  <c:v>42871</c:v>
                </c:pt>
                <c:pt idx="1999">
                  <c:v>42872</c:v>
                </c:pt>
                <c:pt idx="2000">
                  <c:v>42873</c:v>
                </c:pt>
                <c:pt idx="2001">
                  <c:v>42874</c:v>
                </c:pt>
                <c:pt idx="2002">
                  <c:v>42877</c:v>
                </c:pt>
                <c:pt idx="2003">
                  <c:v>42878</c:v>
                </c:pt>
                <c:pt idx="2004">
                  <c:v>42879</c:v>
                </c:pt>
                <c:pt idx="2005">
                  <c:v>42880</c:v>
                </c:pt>
                <c:pt idx="2006">
                  <c:v>42881</c:v>
                </c:pt>
                <c:pt idx="2007">
                  <c:v>42885</c:v>
                </c:pt>
                <c:pt idx="2008">
                  <c:v>42886</c:v>
                </c:pt>
                <c:pt idx="2009">
                  <c:v>42887</c:v>
                </c:pt>
                <c:pt idx="2010">
                  <c:v>42888</c:v>
                </c:pt>
                <c:pt idx="2011">
                  <c:v>42891</c:v>
                </c:pt>
                <c:pt idx="2012">
                  <c:v>42892</c:v>
                </c:pt>
                <c:pt idx="2013">
                  <c:v>42893</c:v>
                </c:pt>
                <c:pt idx="2014">
                  <c:v>42894</c:v>
                </c:pt>
                <c:pt idx="2015">
                  <c:v>42895</c:v>
                </c:pt>
                <c:pt idx="2016">
                  <c:v>42898</c:v>
                </c:pt>
                <c:pt idx="2017">
                  <c:v>42899</c:v>
                </c:pt>
                <c:pt idx="2018">
                  <c:v>42900</c:v>
                </c:pt>
                <c:pt idx="2019">
                  <c:v>42901</c:v>
                </c:pt>
                <c:pt idx="2020">
                  <c:v>42902</c:v>
                </c:pt>
                <c:pt idx="2021">
                  <c:v>42905</c:v>
                </c:pt>
                <c:pt idx="2022">
                  <c:v>42906</c:v>
                </c:pt>
                <c:pt idx="2023">
                  <c:v>42907</c:v>
                </c:pt>
                <c:pt idx="2024">
                  <c:v>42908</c:v>
                </c:pt>
                <c:pt idx="2025">
                  <c:v>42909</c:v>
                </c:pt>
                <c:pt idx="2026">
                  <c:v>42912</c:v>
                </c:pt>
                <c:pt idx="2027">
                  <c:v>42913</c:v>
                </c:pt>
                <c:pt idx="2028">
                  <c:v>42914</c:v>
                </c:pt>
                <c:pt idx="2029">
                  <c:v>42915</c:v>
                </c:pt>
                <c:pt idx="2030">
                  <c:v>42916</c:v>
                </c:pt>
                <c:pt idx="2031">
                  <c:v>42919</c:v>
                </c:pt>
                <c:pt idx="2032">
                  <c:v>42921</c:v>
                </c:pt>
                <c:pt idx="2033">
                  <c:v>42922</c:v>
                </c:pt>
                <c:pt idx="2034">
                  <c:v>42923</c:v>
                </c:pt>
                <c:pt idx="2035">
                  <c:v>42926</c:v>
                </c:pt>
                <c:pt idx="2036">
                  <c:v>42927</c:v>
                </c:pt>
                <c:pt idx="2037">
                  <c:v>42928</c:v>
                </c:pt>
                <c:pt idx="2038">
                  <c:v>42929</c:v>
                </c:pt>
                <c:pt idx="2039">
                  <c:v>42930</c:v>
                </c:pt>
                <c:pt idx="2040">
                  <c:v>42933</c:v>
                </c:pt>
                <c:pt idx="2041">
                  <c:v>42934</c:v>
                </c:pt>
                <c:pt idx="2042">
                  <c:v>42935</c:v>
                </c:pt>
                <c:pt idx="2043">
                  <c:v>42936</c:v>
                </c:pt>
                <c:pt idx="2044">
                  <c:v>42937</c:v>
                </c:pt>
                <c:pt idx="2045">
                  <c:v>42940</c:v>
                </c:pt>
                <c:pt idx="2046">
                  <c:v>42941</c:v>
                </c:pt>
                <c:pt idx="2047">
                  <c:v>42942</c:v>
                </c:pt>
                <c:pt idx="2048">
                  <c:v>42943</c:v>
                </c:pt>
                <c:pt idx="2049">
                  <c:v>42944</c:v>
                </c:pt>
                <c:pt idx="2050">
                  <c:v>42947</c:v>
                </c:pt>
                <c:pt idx="2051">
                  <c:v>42948</c:v>
                </c:pt>
                <c:pt idx="2052">
                  <c:v>42949</c:v>
                </c:pt>
                <c:pt idx="2053">
                  <c:v>42950</c:v>
                </c:pt>
                <c:pt idx="2054">
                  <c:v>42951</c:v>
                </c:pt>
                <c:pt idx="2055">
                  <c:v>42954</c:v>
                </c:pt>
                <c:pt idx="2056">
                  <c:v>42955</c:v>
                </c:pt>
                <c:pt idx="2057">
                  <c:v>42956</c:v>
                </c:pt>
                <c:pt idx="2058">
                  <c:v>42957</c:v>
                </c:pt>
                <c:pt idx="2059">
                  <c:v>42958</c:v>
                </c:pt>
                <c:pt idx="2060">
                  <c:v>42961</c:v>
                </c:pt>
                <c:pt idx="2061">
                  <c:v>42962</c:v>
                </c:pt>
                <c:pt idx="2062">
                  <c:v>42963</c:v>
                </c:pt>
                <c:pt idx="2063">
                  <c:v>42964</c:v>
                </c:pt>
                <c:pt idx="2064">
                  <c:v>42965</c:v>
                </c:pt>
                <c:pt idx="2065">
                  <c:v>42968</c:v>
                </c:pt>
                <c:pt idx="2066">
                  <c:v>42969</c:v>
                </c:pt>
                <c:pt idx="2067">
                  <c:v>42970</c:v>
                </c:pt>
                <c:pt idx="2068">
                  <c:v>42971</c:v>
                </c:pt>
                <c:pt idx="2069">
                  <c:v>42972</c:v>
                </c:pt>
                <c:pt idx="2070">
                  <c:v>42975</c:v>
                </c:pt>
                <c:pt idx="2071">
                  <c:v>42976</c:v>
                </c:pt>
                <c:pt idx="2072">
                  <c:v>42977</c:v>
                </c:pt>
                <c:pt idx="2073">
                  <c:v>42978</c:v>
                </c:pt>
                <c:pt idx="2074">
                  <c:v>42979</c:v>
                </c:pt>
                <c:pt idx="2075">
                  <c:v>42983</c:v>
                </c:pt>
                <c:pt idx="2076">
                  <c:v>42984</c:v>
                </c:pt>
                <c:pt idx="2077">
                  <c:v>42985</c:v>
                </c:pt>
                <c:pt idx="2078">
                  <c:v>42986</c:v>
                </c:pt>
                <c:pt idx="2079">
                  <c:v>42989</c:v>
                </c:pt>
                <c:pt idx="2080">
                  <c:v>42990</c:v>
                </c:pt>
                <c:pt idx="2081">
                  <c:v>42991</c:v>
                </c:pt>
                <c:pt idx="2082">
                  <c:v>42992</c:v>
                </c:pt>
                <c:pt idx="2083">
                  <c:v>42993</c:v>
                </c:pt>
                <c:pt idx="2084">
                  <c:v>42996</c:v>
                </c:pt>
                <c:pt idx="2085">
                  <c:v>42997</c:v>
                </c:pt>
                <c:pt idx="2086">
                  <c:v>42998</c:v>
                </c:pt>
                <c:pt idx="2087">
                  <c:v>42999</c:v>
                </c:pt>
                <c:pt idx="2088">
                  <c:v>43000</c:v>
                </c:pt>
                <c:pt idx="2089">
                  <c:v>43003</c:v>
                </c:pt>
                <c:pt idx="2090">
                  <c:v>43004</c:v>
                </c:pt>
                <c:pt idx="2091">
                  <c:v>43005</c:v>
                </c:pt>
                <c:pt idx="2092">
                  <c:v>43006</c:v>
                </c:pt>
                <c:pt idx="2093">
                  <c:v>43007</c:v>
                </c:pt>
                <c:pt idx="2094">
                  <c:v>43010</c:v>
                </c:pt>
                <c:pt idx="2095">
                  <c:v>43011</c:v>
                </c:pt>
                <c:pt idx="2096">
                  <c:v>43012</c:v>
                </c:pt>
                <c:pt idx="2097">
                  <c:v>43013</c:v>
                </c:pt>
                <c:pt idx="2098">
                  <c:v>43014</c:v>
                </c:pt>
                <c:pt idx="2099">
                  <c:v>43017</c:v>
                </c:pt>
                <c:pt idx="2100">
                  <c:v>43018</c:v>
                </c:pt>
                <c:pt idx="2101">
                  <c:v>43019</c:v>
                </c:pt>
                <c:pt idx="2102">
                  <c:v>43020</c:v>
                </c:pt>
                <c:pt idx="2103">
                  <c:v>43021</c:v>
                </c:pt>
                <c:pt idx="2104">
                  <c:v>43024</c:v>
                </c:pt>
                <c:pt idx="2105">
                  <c:v>43025</c:v>
                </c:pt>
                <c:pt idx="2106">
                  <c:v>43026</c:v>
                </c:pt>
                <c:pt idx="2107">
                  <c:v>43027</c:v>
                </c:pt>
                <c:pt idx="2108">
                  <c:v>43028</c:v>
                </c:pt>
                <c:pt idx="2109">
                  <c:v>43031</c:v>
                </c:pt>
                <c:pt idx="2110">
                  <c:v>43032</c:v>
                </c:pt>
                <c:pt idx="2111">
                  <c:v>43033</c:v>
                </c:pt>
                <c:pt idx="2112">
                  <c:v>43034</c:v>
                </c:pt>
                <c:pt idx="2113">
                  <c:v>43035</c:v>
                </c:pt>
                <c:pt idx="2114">
                  <c:v>43038</c:v>
                </c:pt>
                <c:pt idx="2115">
                  <c:v>43039</c:v>
                </c:pt>
                <c:pt idx="2116">
                  <c:v>43040</c:v>
                </c:pt>
                <c:pt idx="2117">
                  <c:v>43041</c:v>
                </c:pt>
                <c:pt idx="2118">
                  <c:v>43042</c:v>
                </c:pt>
                <c:pt idx="2119">
                  <c:v>43045</c:v>
                </c:pt>
                <c:pt idx="2120">
                  <c:v>43046</c:v>
                </c:pt>
                <c:pt idx="2121">
                  <c:v>43047</c:v>
                </c:pt>
                <c:pt idx="2122">
                  <c:v>43048</c:v>
                </c:pt>
                <c:pt idx="2123">
                  <c:v>43049</c:v>
                </c:pt>
                <c:pt idx="2124">
                  <c:v>43052</c:v>
                </c:pt>
                <c:pt idx="2125">
                  <c:v>43053</c:v>
                </c:pt>
                <c:pt idx="2126">
                  <c:v>43054</c:v>
                </c:pt>
                <c:pt idx="2127">
                  <c:v>43055</c:v>
                </c:pt>
                <c:pt idx="2128">
                  <c:v>43056</c:v>
                </c:pt>
                <c:pt idx="2129">
                  <c:v>43059</c:v>
                </c:pt>
                <c:pt idx="2130">
                  <c:v>43060</c:v>
                </c:pt>
                <c:pt idx="2131">
                  <c:v>43061</c:v>
                </c:pt>
                <c:pt idx="2132">
                  <c:v>43063</c:v>
                </c:pt>
                <c:pt idx="2133">
                  <c:v>43066</c:v>
                </c:pt>
                <c:pt idx="2134">
                  <c:v>43067</c:v>
                </c:pt>
                <c:pt idx="2135">
                  <c:v>43068</c:v>
                </c:pt>
                <c:pt idx="2136">
                  <c:v>43069</c:v>
                </c:pt>
                <c:pt idx="2137">
                  <c:v>43070</c:v>
                </c:pt>
                <c:pt idx="2138">
                  <c:v>43073</c:v>
                </c:pt>
                <c:pt idx="2139">
                  <c:v>43074</c:v>
                </c:pt>
                <c:pt idx="2140">
                  <c:v>43075</c:v>
                </c:pt>
                <c:pt idx="2141">
                  <c:v>43076</c:v>
                </c:pt>
                <c:pt idx="2142">
                  <c:v>43077</c:v>
                </c:pt>
                <c:pt idx="2143">
                  <c:v>43080</c:v>
                </c:pt>
                <c:pt idx="2144">
                  <c:v>43081</c:v>
                </c:pt>
                <c:pt idx="2145">
                  <c:v>43082</c:v>
                </c:pt>
                <c:pt idx="2146">
                  <c:v>43083</c:v>
                </c:pt>
                <c:pt idx="2147">
                  <c:v>43084</c:v>
                </c:pt>
                <c:pt idx="2148">
                  <c:v>43087</c:v>
                </c:pt>
                <c:pt idx="2149">
                  <c:v>43088</c:v>
                </c:pt>
                <c:pt idx="2150">
                  <c:v>43089</c:v>
                </c:pt>
                <c:pt idx="2151">
                  <c:v>43090</c:v>
                </c:pt>
                <c:pt idx="2152">
                  <c:v>43091</c:v>
                </c:pt>
                <c:pt idx="2153">
                  <c:v>43095</c:v>
                </c:pt>
                <c:pt idx="2154">
                  <c:v>43096</c:v>
                </c:pt>
                <c:pt idx="2155">
                  <c:v>43097</c:v>
                </c:pt>
                <c:pt idx="2156">
                  <c:v>43098</c:v>
                </c:pt>
                <c:pt idx="2157">
                  <c:v>43102</c:v>
                </c:pt>
                <c:pt idx="2158">
                  <c:v>43103</c:v>
                </c:pt>
                <c:pt idx="2159">
                  <c:v>43104</c:v>
                </c:pt>
                <c:pt idx="2160">
                  <c:v>43105</c:v>
                </c:pt>
                <c:pt idx="2161">
                  <c:v>43108</c:v>
                </c:pt>
                <c:pt idx="2162">
                  <c:v>43109</c:v>
                </c:pt>
                <c:pt idx="2163">
                  <c:v>43110</c:v>
                </c:pt>
                <c:pt idx="2164">
                  <c:v>43111</c:v>
                </c:pt>
                <c:pt idx="2165">
                  <c:v>43112</c:v>
                </c:pt>
                <c:pt idx="2166">
                  <c:v>43116</c:v>
                </c:pt>
                <c:pt idx="2167">
                  <c:v>43117</c:v>
                </c:pt>
                <c:pt idx="2168">
                  <c:v>43118</c:v>
                </c:pt>
                <c:pt idx="2169">
                  <c:v>43119</c:v>
                </c:pt>
                <c:pt idx="2170">
                  <c:v>43122</c:v>
                </c:pt>
                <c:pt idx="2171">
                  <c:v>43123</c:v>
                </c:pt>
                <c:pt idx="2172">
                  <c:v>43124</c:v>
                </c:pt>
                <c:pt idx="2173">
                  <c:v>43125</c:v>
                </c:pt>
                <c:pt idx="2174">
                  <c:v>43126</c:v>
                </c:pt>
                <c:pt idx="2175">
                  <c:v>43129</c:v>
                </c:pt>
                <c:pt idx="2176">
                  <c:v>43130</c:v>
                </c:pt>
                <c:pt idx="2177">
                  <c:v>43131</c:v>
                </c:pt>
                <c:pt idx="2178">
                  <c:v>43132</c:v>
                </c:pt>
                <c:pt idx="2179">
                  <c:v>43133</c:v>
                </c:pt>
                <c:pt idx="2180">
                  <c:v>43136</c:v>
                </c:pt>
                <c:pt idx="2181">
                  <c:v>43137</c:v>
                </c:pt>
                <c:pt idx="2182">
                  <c:v>43138</c:v>
                </c:pt>
                <c:pt idx="2183">
                  <c:v>43139</c:v>
                </c:pt>
                <c:pt idx="2184">
                  <c:v>43140</c:v>
                </c:pt>
                <c:pt idx="2185">
                  <c:v>43143</c:v>
                </c:pt>
                <c:pt idx="2186">
                  <c:v>43144</c:v>
                </c:pt>
                <c:pt idx="2187">
                  <c:v>43145</c:v>
                </c:pt>
                <c:pt idx="2188">
                  <c:v>43146</c:v>
                </c:pt>
                <c:pt idx="2189">
                  <c:v>43147</c:v>
                </c:pt>
                <c:pt idx="2190">
                  <c:v>43151</c:v>
                </c:pt>
                <c:pt idx="2191">
                  <c:v>43152</c:v>
                </c:pt>
                <c:pt idx="2192">
                  <c:v>43153</c:v>
                </c:pt>
                <c:pt idx="2193">
                  <c:v>43154</c:v>
                </c:pt>
                <c:pt idx="2194">
                  <c:v>43157</c:v>
                </c:pt>
                <c:pt idx="2195">
                  <c:v>43158</c:v>
                </c:pt>
                <c:pt idx="2196">
                  <c:v>43159</c:v>
                </c:pt>
                <c:pt idx="2197">
                  <c:v>43160</c:v>
                </c:pt>
                <c:pt idx="2198">
                  <c:v>43161</c:v>
                </c:pt>
                <c:pt idx="2199">
                  <c:v>43164</c:v>
                </c:pt>
                <c:pt idx="2200">
                  <c:v>43165</c:v>
                </c:pt>
                <c:pt idx="2201">
                  <c:v>43166</c:v>
                </c:pt>
                <c:pt idx="2202">
                  <c:v>43167</c:v>
                </c:pt>
                <c:pt idx="2203">
                  <c:v>43168</c:v>
                </c:pt>
                <c:pt idx="2204">
                  <c:v>43171</c:v>
                </c:pt>
                <c:pt idx="2205">
                  <c:v>43172</c:v>
                </c:pt>
                <c:pt idx="2206">
                  <c:v>43173</c:v>
                </c:pt>
                <c:pt idx="2207">
                  <c:v>43174</c:v>
                </c:pt>
                <c:pt idx="2208">
                  <c:v>43175</c:v>
                </c:pt>
                <c:pt idx="2209">
                  <c:v>43178</c:v>
                </c:pt>
                <c:pt idx="2210">
                  <c:v>43179</c:v>
                </c:pt>
                <c:pt idx="2211">
                  <c:v>43180</c:v>
                </c:pt>
                <c:pt idx="2212">
                  <c:v>43181</c:v>
                </c:pt>
                <c:pt idx="2213">
                  <c:v>43182</c:v>
                </c:pt>
                <c:pt idx="2214">
                  <c:v>43185</c:v>
                </c:pt>
                <c:pt idx="2215">
                  <c:v>43186</c:v>
                </c:pt>
                <c:pt idx="2216">
                  <c:v>43187</c:v>
                </c:pt>
                <c:pt idx="2217">
                  <c:v>43188</c:v>
                </c:pt>
                <c:pt idx="2218">
                  <c:v>43192</c:v>
                </c:pt>
                <c:pt idx="2219">
                  <c:v>43193</c:v>
                </c:pt>
                <c:pt idx="2220">
                  <c:v>43194</c:v>
                </c:pt>
                <c:pt idx="2221">
                  <c:v>43195</c:v>
                </c:pt>
                <c:pt idx="2222">
                  <c:v>43196</c:v>
                </c:pt>
                <c:pt idx="2223">
                  <c:v>43199</c:v>
                </c:pt>
                <c:pt idx="2224">
                  <c:v>43200</c:v>
                </c:pt>
                <c:pt idx="2225">
                  <c:v>43201</c:v>
                </c:pt>
                <c:pt idx="2226">
                  <c:v>43202</c:v>
                </c:pt>
                <c:pt idx="2227">
                  <c:v>43203</c:v>
                </c:pt>
                <c:pt idx="2228">
                  <c:v>43206</c:v>
                </c:pt>
                <c:pt idx="2229">
                  <c:v>43207</c:v>
                </c:pt>
                <c:pt idx="2230">
                  <c:v>43208</c:v>
                </c:pt>
                <c:pt idx="2231">
                  <c:v>43209</c:v>
                </c:pt>
                <c:pt idx="2232">
                  <c:v>43210</c:v>
                </c:pt>
                <c:pt idx="2233">
                  <c:v>43213</c:v>
                </c:pt>
                <c:pt idx="2234">
                  <c:v>43214</c:v>
                </c:pt>
                <c:pt idx="2235">
                  <c:v>43215</c:v>
                </c:pt>
                <c:pt idx="2236">
                  <c:v>43216</c:v>
                </c:pt>
                <c:pt idx="2237">
                  <c:v>43217</c:v>
                </c:pt>
                <c:pt idx="2238">
                  <c:v>43220</c:v>
                </c:pt>
                <c:pt idx="2239">
                  <c:v>43221</c:v>
                </c:pt>
                <c:pt idx="2240">
                  <c:v>43222</c:v>
                </c:pt>
                <c:pt idx="2241">
                  <c:v>43223</c:v>
                </c:pt>
                <c:pt idx="2242">
                  <c:v>43224</c:v>
                </c:pt>
                <c:pt idx="2243">
                  <c:v>43227</c:v>
                </c:pt>
                <c:pt idx="2244">
                  <c:v>43228</c:v>
                </c:pt>
                <c:pt idx="2245">
                  <c:v>43229</c:v>
                </c:pt>
                <c:pt idx="2246">
                  <c:v>43230</c:v>
                </c:pt>
                <c:pt idx="2247">
                  <c:v>43231</c:v>
                </c:pt>
                <c:pt idx="2248">
                  <c:v>43234</c:v>
                </c:pt>
                <c:pt idx="2249">
                  <c:v>43235</c:v>
                </c:pt>
                <c:pt idx="2250">
                  <c:v>43236</c:v>
                </c:pt>
                <c:pt idx="2251">
                  <c:v>43237</c:v>
                </c:pt>
                <c:pt idx="2252">
                  <c:v>43238</c:v>
                </c:pt>
                <c:pt idx="2253">
                  <c:v>43241</c:v>
                </c:pt>
                <c:pt idx="2254">
                  <c:v>43242</c:v>
                </c:pt>
                <c:pt idx="2255">
                  <c:v>43243</c:v>
                </c:pt>
                <c:pt idx="2256">
                  <c:v>43244</c:v>
                </c:pt>
                <c:pt idx="2257">
                  <c:v>43245</c:v>
                </c:pt>
                <c:pt idx="2258">
                  <c:v>43249</c:v>
                </c:pt>
                <c:pt idx="2259">
                  <c:v>43250</c:v>
                </c:pt>
                <c:pt idx="2260">
                  <c:v>43251</c:v>
                </c:pt>
                <c:pt idx="2261">
                  <c:v>43252</c:v>
                </c:pt>
                <c:pt idx="2262">
                  <c:v>43255</c:v>
                </c:pt>
                <c:pt idx="2263">
                  <c:v>43256</c:v>
                </c:pt>
                <c:pt idx="2264">
                  <c:v>43257</c:v>
                </c:pt>
                <c:pt idx="2265">
                  <c:v>43258</c:v>
                </c:pt>
                <c:pt idx="2266">
                  <c:v>43259</c:v>
                </c:pt>
                <c:pt idx="2267">
                  <c:v>43262</c:v>
                </c:pt>
                <c:pt idx="2268">
                  <c:v>43263</c:v>
                </c:pt>
                <c:pt idx="2269">
                  <c:v>43264</c:v>
                </c:pt>
                <c:pt idx="2270">
                  <c:v>43265</c:v>
                </c:pt>
                <c:pt idx="2271">
                  <c:v>43266</c:v>
                </c:pt>
                <c:pt idx="2272">
                  <c:v>43269</c:v>
                </c:pt>
                <c:pt idx="2273">
                  <c:v>43270</c:v>
                </c:pt>
                <c:pt idx="2274">
                  <c:v>43271</c:v>
                </c:pt>
                <c:pt idx="2275">
                  <c:v>43272</c:v>
                </c:pt>
                <c:pt idx="2276">
                  <c:v>43273</c:v>
                </c:pt>
                <c:pt idx="2277">
                  <c:v>43276</c:v>
                </c:pt>
                <c:pt idx="2278">
                  <c:v>43277</c:v>
                </c:pt>
                <c:pt idx="2279">
                  <c:v>43278</c:v>
                </c:pt>
                <c:pt idx="2280">
                  <c:v>43279</c:v>
                </c:pt>
                <c:pt idx="2281">
                  <c:v>43280</c:v>
                </c:pt>
                <c:pt idx="2282">
                  <c:v>43283</c:v>
                </c:pt>
                <c:pt idx="2283">
                  <c:v>43284</c:v>
                </c:pt>
                <c:pt idx="2284">
                  <c:v>43286</c:v>
                </c:pt>
                <c:pt idx="2285">
                  <c:v>43287</c:v>
                </c:pt>
                <c:pt idx="2286">
                  <c:v>43290</c:v>
                </c:pt>
                <c:pt idx="2287">
                  <c:v>43291</c:v>
                </c:pt>
                <c:pt idx="2288">
                  <c:v>43292</c:v>
                </c:pt>
                <c:pt idx="2289">
                  <c:v>43293</c:v>
                </c:pt>
                <c:pt idx="2290">
                  <c:v>43294</c:v>
                </c:pt>
                <c:pt idx="2291">
                  <c:v>43297</c:v>
                </c:pt>
                <c:pt idx="2292">
                  <c:v>43298</c:v>
                </c:pt>
                <c:pt idx="2293">
                  <c:v>43299</c:v>
                </c:pt>
                <c:pt idx="2294">
                  <c:v>43300</c:v>
                </c:pt>
                <c:pt idx="2295">
                  <c:v>43301</c:v>
                </c:pt>
                <c:pt idx="2296">
                  <c:v>43304</c:v>
                </c:pt>
                <c:pt idx="2297">
                  <c:v>43305</c:v>
                </c:pt>
                <c:pt idx="2298">
                  <c:v>43306</c:v>
                </c:pt>
                <c:pt idx="2299">
                  <c:v>43307</c:v>
                </c:pt>
                <c:pt idx="2300">
                  <c:v>43308</c:v>
                </c:pt>
                <c:pt idx="2301">
                  <c:v>43311</c:v>
                </c:pt>
                <c:pt idx="2302">
                  <c:v>43312</c:v>
                </c:pt>
                <c:pt idx="2303">
                  <c:v>43313</c:v>
                </c:pt>
                <c:pt idx="2304">
                  <c:v>43314</c:v>
                </c:pt>
                <c:pt idx="2305">
                  <c:v>43315</c:v>
                </c:pt>
                <c:pt idx="2306">
                  <c:v>43318</c:v>
                </c:pt>
                <c:pt idx="2307">
                  <c:v>43319</c:v>
                </c:pt>
                <c:pt idx="2308">
                  <c:v>43320</c:v>
                </c:pt>
                <c:pt idx="2309">
                  <c:v>43321</c:v>
                </c:pt>
                <c:pt idx="2310">
                  <c:v>43322</c:v>
                </c:pt>
                <c:pt idx="2311">
                  <c:v>43325</c:v>
                </c:pt>
                <c:pt idx="2312">
                  <c:v>43326</c:v>
                </c:pt>
                <c:pt idx="2313">
                  <c:v>43327</c:v>
                </c:pt>
                <c:pt idx="2314">
                  <c:v>43328</c:v>
                </c:pt>
                <c:pt idx="2315">
                  <c:v>43329</c:v>
                </c:pt>
                <c:pt idx="2316">
                  <c:v>43332</c:v>
                </c:pt>
                <c:pt idx="2317">
                  <c:v>43333</c:v>
                </c:pt>
                <c:pt idx="2318">
                  <c:v>43334</c:v>
                </c:pt>
                <c:pt idx="2319">
                  <c:v>43335</c:v>
                </c:pt>
                <c:pt idx="2320">
                  <c:v>43336</c:v>
                </c:pt>
                <c:pt idx="2321">
                  <c:v>43339</c:v>
                </c:pt>
                <c:pt idx="2322">
                  <c:v>43340</c:v>
                </c:pt>
                <c:pt idx="2323">
                  <c:v>43341</c:v>
                </c:pt>
                <c:pt idx="2324">
                  <c:v>43342</c:v>
                </c:pt>
                <c:pt idx="2325">
                  <c:v>43343</c:v>
                </c:pt>
                <c:pt idx="2326">
                  <c:v>43347</c:v>
                </c:pt>
                <c:pt idx="2327">
                  <c:v>43348</c:v>
                </c:pt>
                <c:pt idx="2328">
                  <c:v>43349</c:v>
                </c:pt>
                <c:pt idx="2329">
                  <c:v>43350</c:v>
                </c:pt>
                <c:pt idx="2330">
                  <c:v>43353</c:v>
                </c:pt>
                <c:pt idx="2331">
                  <c:v>43354</c:v>
                </c:pt>
                <c:pt idx="2332">
                  <c:v>43355</c:v>
                </c:pt>
                <c:pt idx="2333">
                  <c:v>43356</c:v>
                </c:pt>
                <c:pt idx="2334">
                  <c:v>43357</c:v>
                </c:pt>
                <c:pt idx="2335">
                  <c:v>43360</c:v>
                </c:pt>
                <c:pt idx="2336">
                  <c:v>43361</c:v>
                </c:pt>
                <c:pt idx="2337">
                  <c:v>43362</c:v>
                </c:pt>
                <c:pt idx="2338">
                  <c:v>43363</c:v>
                </c:pt>
                <c:pt idx="2339">
                  <c:v>43364</c:v>
                </c:pt>
                <c:pt idx="2340">
                  <c:v>43367</c:v>
                </c:pt>
                <c:pt idx="2341">
                  <c:v>43368</c:v>
                </c:pt>
                <c:pt idx="2342">
                  <c:v>43369</c:v>
                </c:pt>
                <c:pt idx="2343">
                  <c:v>43370</c:v>
                </c:pt>
                <c:pt idx="2344">
                  <c:v>43371</c:v>
                </c:pt>
                <c:pt idx="2345">
                  <c:v>43374</c:v>
                </c:pt>
                <c:pt idx="2346">
                  <c:v>43375</c:v>
                </c:pt>
                <c:pt idx="2347">
                  <c:v>43376</c:v>
                </c:pt>
                <c:pt idx="2348">
                  <c:v>43377</c:v>
                </c:pt>
                <c:pt idx="2349">
                  <c:v>43378</c:v>
                </c:pt>
                <c:pt idx="2350">
                  <c:v>43381</c:v>
                </c:pt>
                <c:pt idx="2351">
                  <c:v>43382</c:v>
                </c:pt>
                <c:pt idx="2352">
                  <c:v>43383</c:v>
                </c:pt>
                <c:pt idx="2353">
                  <c:v>43384</c:v>
                </c:pt>
                <c:pt idx="2354">
                  <c:v>43385</c:v>
                </c:pt>
                <c:pt idx="2355">
                  <c:v>43388</c:v>
                </c:pt>
                <c:pt idx="2356">
                  <c:v>43389</c:v>
                </c:pt>
                <c:pt idx="2357">
                  <c:v>43390</c:v>
                </c:pt>
                <c:pt idx="2358">
                  <c:v>43391</c:v>
                </c:pt>
                <c:pt idx="2359">
                  <c:v>43392</c:v>
                </c:pt>
                <c:pt idx="2360">
                  <c:v>43395</c:v>
                </c:pt>
                <c:pt idx="2361">
                  <c:v>43396</c:v>
                </c:pt>
                <c:pt idx="2362">
                  <c:v>43397</c:v>
                </c:pt>
                <c:pt idx="2363">
                  <c:v>43398</c:v>
                </c:pt>
                <c:pt idx="2364">
                  <c:v>43399</c:v>
                </c:pt>
                <c:pt idx="2365">
                  <c:v>43402</c:v>
                </c:pt>
                <c:pt idx="2366">
                  <c:v>43403</c:v>
                </c:pt>
                <c:pt idx="2367">
                  <c:v>43404</c:v>
                </c:pt>
                <c:pt idx="2368">
                  <c:v>43405</c:v>
                </c:pt>
                <c:pt idx="2369">
                  <c:v>43406</c:v>
                </c:pt>
                <c:pt idx="2370">
                  <c:v>43409</c:v>
                </c:pt>
                <c:pt idx="2371">
                  <c:v>43410</c:v>
                </c:pt>
                <c:pt idx="2372">
                  <c:v>43411</c:v>
                </c:pt>
                <c:pt idx="2373">
                  <c:v>43412</c:v>
                </c:pt>
                <c:pt idx="2374">
                  <c:v>43413</c:v>
                </c:pt>
                <c:pt idx="2375">
                  <c:v>43416</c:v>
                </c:pt>
                <c:pt idx="2376">
                  <c:v>43417</c:v>
                </c:pt>
                <c:pt idx="2377">
                  <c:v>43418</c:v>
                </c:pt>
                <c:pt idx="2378">
                  <c:v>43419</c:v>
                </c:pt>
                <c:pt idx="2379">
                  <c:v>43420</c:v>
                </c:pt>
                <c:pt idx="2380">
                  <c:v>43423</c:v>
                </c:pt>
                <c:pt idx="2381">
                  <c:v>43424</c:v>
                </c:pt>
                <c:pt idx="2382">
                  <c:v>43425</c:v>
                </c:pt>
                <c:pt idx="2383">
                  <c:v>43427</c:v>
                </c:pt>
                <c:pt idx="2384">
                  <c:v>43430</c:v>
                </c:pt>
                <c:pt idx="2385">
                  <c:v>43431</c:v>
                </c:pt>
                <c:pt idx="2386">
                  <c:v>43432</c:v>
                </c:pt>
                <c:pt idx="2387">
                  <c:v>43433</c:v>
                </c:pt>
                <c:pt idx="2388">
                  <c:v>43434</c:v>
                </c:pt>
                <c:pt idx="2389">
                  <c:v>43437</c:v>
                </c:pt>
                <c:pt idx="2390">
                  <c:v>43438</c:v>
                </c:pt>
                <c:pt idx="2391">
                  <c:v>43440</c:v>
                </c:pt>
                <c:pt idx="2392">
                  <c:v>43441</c:v>
                </c:pt>
                <c:pt idx="2393">
                  <c:v>43444</c:v>
                </c:pt>
                <c:pt idx="2394">
                  <c:v>43445</c:v>
                </c:pt>
                <c:pt idx="2395">
                  <c:v>43446</c:v>
                </c:pt>
                <c:pt idx="2396">
                  <c:v>43447</c:v>
                </c:pt>
                <c:pt idx="2397">
                  <c:v>43448</c:v>
                </c:pt>
                <c:pt idx="2398">
                  <c:v>43451</c:v>
                </c:pt>
                <c:pt idx="2399">
                  <c:v>43452</c:v>
                </c:pt>
                <c:pt idx="2400">
                  <c:v>43453</c:v>
                </c:pt>
                <c:pt idx="2401">
                  <c:v>43454</c:v>
                </c:pt>
                <c:pt idx="2402">
                  <c:v>43455</c:v>
                </c:pt>
                <c:pt idx="2403">
                  <c:v>43458</c:v>
                </c:pt>
                <c:pt idx="2404">
                  <c:v>43460</c:v>
                </c:pt>
                <c:pt idx="2405">
                  <c:v>43461</c:v>
                </c:pt>
                <c:pt idx="2406">
                  <c:v>43462</c:v>
                </c:pt>
                <c:pt idx="2407">
                  <c:v>43465</c:v>
                </c:pt>
                <c:pt idx="2408">
                  <c:v>43467</c:v>
                </c:pt>
                <c:pt idx="2409">
                  <c:v>43468</c:v>
                </c:pt>
                <c:pt idx="2410">
                  <c:v>43469</c:v>
                </c:pt>
                <c:pt idx="2411">
                  <c:v>43472</c:v>
                </c:pt>
                <c:pt idx="2412">
                  <c:v>43473</c:v>
                </c:pt>
                <c:pt idx="2413">
                  <c:v>43474</c:v>
                </c:pt>
                <c:pt idx="2414">
                  <c:v>43475</c:v>
                </c:pt>
                <c:pt idx="2415">
                  <c:v>43476</c:v>
                </c:pt>
                <c:pt idx="2416">
                  <c:v>43479</c:v>
                </c:pt>
                <c:pt idx="2417">
                  <c:v>43480</c:v>
                </c:pt>
                <c:pt idx="2418">
                  <c:v>43481</c:v>
                </c:pt>
                <c:pt idx="2419">
                  <c:v>43482</c:v>
                </c:pt>
                <c:pt idx="2420">
                  <c:v>43483</c:v>
                </c:pt>
                <c:pt idx="2421">
                  <c:v>43487</c:v>
                </c:pt>
                <c:pt idx="2422">
                  <c:v>43488</c:v>
                </c:pt>
                <c:pt idx="2423">
                  <c:v>43489</c:v>
                </c:pt>
                <c:pt idx="2424">
                  <c:v>43490</c:v>
                </c:pt>
                <c:pt idx="2425">
                  <c:v>43493</c:v>
                </c:pt>
                <c:pt idx="2426">
                  <c:v>43494</c:v>
                </c:pt>
                <c:pt idx="2427">
                  <c:v>43495</c:v>
                </c:pt>
                <c:pt idx="2428">
                  <c:v>43496</c:v>
                </c:pt>
                <c:pt idx="2429">
                  <c:v>43497</c:v>
                </c:pt>
                <c:pt idx="2430">
                  <c:v>43500</c:v>
                </c:pt>
                <c:pt idx="2431">
                  <c:v>43501</c:v>
                </c:pt>
                <c:pt idx="2432">
                  <c:v>43502</c:v>
                </c:pt>
                <c:pt idx="2433">
                  <c:v>43503</c:v>
                </c:pt>
                <c:pt idx="2434">
                  <c:v>43504</c:v>
                </c:pt>
                <c:pt idx="2435">
                  <c:v>43507</c:v>
                </c:pt>
                <c:pt idx="2436">
                  <c:v>43508</c:v>
                </c:pt>
                <c:pt idx="2437">
                  <c:v>43509</c:v>
                </c:pt>
                <c:pt idx="2438">
                  <c:v>43510</c:v>
                </c:pt>
                <c:pt idx="2439">
                  <c:v>43511</c:v>
                </c:pt>
                <c:pt idx="2440">
                  <c:v>43515</c:v>
                </c:pt>
                <c:pt idx="2441">
                  <c:v>43516</c:v>
                </c:pt>
                <c:pt idx="2442">
                  <c:v>43517</c:v>
                </c:pt>
                <c:pt idx="2443">
                  <c:v>43518</c:v>
                </c:pt>
                <c:pt idx="2444">
                  <c:v>43521</c:v>
                </c:pt>
                <c:pt idx="2445">
                  <c:v>43522</c:v>
                </c:pt>
                <c:pt idx="2446">
                  <c:v>43523</c:v>
                </c:pt>
                <c:pt idx="2447">
                  <c:v>43524</c:v>
                </c:pt>
                <c:pt idx="2448">
                  <c:v>43525</c:v>
                </c:pt>
                <c:pt idx="2449">
                  <c:v>43528</c:v>
                </c:pt>
                <c:pt idx="2450">
                  <c:v>43529</c:v>
                </c:pt>
                <c:pt idx="2451">
                  <c:v>43530</c:v>
                </c:pt>
                <c:pt idx="2452">
                  <c:v>43531</c:v>
                </c:pt>
                <c:pt idx="2453">
                  <c:v>43532</c:v>
                </c:pt>
                <c:pt idx="2454">
                  <c:v>43535</c:v>
                </c:pt>
                <c:pt idx="2455">
                  <c:v>43536</c:v>
                </c:pt>
                <c:pt idx="2456">
                  <c:v>43537</c:v>
                </c:pt>
                <c:pt idx="2457">
                  <c:v>43538</c:v>
                </c:pt>
                <c:pt idx="2458">
                  <c:v>43539</c:v>
                </c:pt>
                <c:pt idx="2459">
                  <c:v>43542</c:v>
                </c:pt>
                <c:pt idx="2460">
                  <c:v>43543</c:v>
                </c:pt>
                <c:pt idx="2461">
                  <c:v>43544</c:v>
                </c:pt>
                <c:pt idx="2462">
                  <c:v>43545</c:v>
                </c:pt>
                <c:pt idx="2463">
                  <c:v>43546</c:v>
                </c:pt>
                <c:pt idx="2464">
                  <c:v>43549</c:v>
                </c:pt>
                <c:pt idx="2465">
                  <c:v>43550</c:v>
                </c:pt>
                <c:pt idx="2466">
                  <c:v>43551</c:v>
                </c:pt>
                <c:pt idx="2467">
                  <c:v>43552</c:v>
                </c:pt>
                <c:pt idx="2468">
                  <c:v>43553</c:v>
                </c:pt>
                <c:pt idx="2469">
                  <c:v>43556</c:v>
                </c:pt>
                <c:pt idx="2470">
                  <c:v>43557</c:v>
                </c:pt>
                <c:pt idx="2471">
                  <c:v>43558</c:v>
                </c:pt>
                <c:pt idx="2472">
                  <c:v>43559</c:v>
                </c:pt>
                <c:pt idx="2473">
                  <c:v>43560</c:v>
                </c:pt>
                <c:pt idx="2474">
                  <c:v>43563</c:v>
                </c:pt>
                <c:pt idx="2475">
                  <c:v>43564</c:v>
                </c:pt>
                <c:pt idx="2476">
                  <c:v>43565</c:v>
                </c:pt>
                <c:pt idx="2477">
                  <c:v>43566</c:v>
                </c:pt>
                <c:pt idx="2478">
                  <c:v>43567</c:v>
                </c:pt>
                <c:pt idx="2479">
                  <c:v>43570</c:v>
                </c:pt>
                <c:pt idx="2480">
                  <c:v>43571</c:v>
                </c:pt>
                <c:pt idx="2481">
                  <c:v>43572</c:v>
                </c:pt>
                <c:pt idx="2482">
                  <c:v>43573</c:v>
                </c:pt>
                <c:pt idx="2483">
                  <c:v>43577</c:v>
                </c:pt>
                <c:pt idx="2484">
                  <c:v>43578</c:v>
                </c:pt>
                <c:pt idx="2485">
                  <c:v>43579</c:v>
                </c:pt>
                <c:pt idx="2486">
                  <c:v>43580</c:v>
                </c:pt>
                <c:pt idx="2487">
                  <c:v>43581</c:v>
                </c:pt>
                <c:pt idx="2488">
                  <c:v>43584</c:v>
                </c:pt>
                <c:pt idx="2489">
                  <c:v>43585</c:v>
                </c:pt>
                <c:pt idx="2490">
                  <c:v>43586</c:v>
                </c:pt>
                <c:pt idx="2491">
                  <c:v>43587</c:v>
                </c:pt>
                <c:pt idx="2492">
                  <c:v>43588</c:v>
                </c:pt>
                <c:pt idx="2493">
                  <c:v>43591</c:v>
                </c:pt>
                <c:pt idx="2494">
                  <c:v>43592</c:v>
                </c:pt>
                <c:pt idx="2495">
                  <c:v>43593</c:v>
                </c:pt>
                <c:pt idx="2496">
                  <c:v>43594</c:v>
                </c:pt>
                <c:pt idx="2497">
                  <c:v>43595</c:v>
                </c:pt>
                <c:pt idx="2498">
                  <c:v>43598</c:v>
                </c:pt>
                <c:pt idx="2499">
                  <c:v>43599</c:v>
                </c:pt>
                <c:pt idx="2500">
                  <c:v>43600</c:v>
                </c:pt>
                <c:pt idx="2501">
                  <c:v>43601</c:v>
                </c:pt>
                <c:pt idx="2502">
                  <c:v>43602</c:v>
                </c:pt>
                <c:pt idx="2503">
                  <c:v>43605</c:v>
                </c:pt>
                <c:pt idx="2504">
                  <c:v>43606</c:v>
                </c:pt>
                <c:pt idx="2505">
                  <c:v>43607</c:v>
                </c:pt>
                <c:pt idx="2506">
                  <c:v>43608</c:v>
                </c:pt>
                <c:pt idx="2507">
                  <c:v>43609</c:v>
                </c:pt>
                <c:pt idx="2508">
                  <c:v>43613</c:v>
                </c:pt>
                <c:pt idx="2509">
                  <c:v>43614</c:v>
                </c:pt>
                <c:pt idx="2510">
                  <c:v>43615</c:v>
                </c:pt>
                <c:pt idx="2511">
                  <c:v>43616</c:v>
                </c:pt>
                <c:pt idx="2512">
                  <c:v>43619</c:v>
                </c:pt>
                <c:pt idx="2513">
                  <c:v>43620</c:v>
                </c:pt>
                <c:pt idx="2514">
                  <c:v>43621</c:v>
                </c:pt>
                <c:pt idx="2515">
                  <c:v>43622</c:v>
                </c:pt>
                <c:pt idx="2516">
                  <c:v>43623</c:v>
                </c:pt>
              </c:numCache>
            </c:numRef>
          </c:cat>
          <c:val>
            <c:numRef>
              <c:f>'Stock Price Data'!$G$3:$G$2519</c:f>
              <c:numCache>
                <c:formatCode>#,##0</c:formatCode>
                <c:ptCount val="2517"/>
                <c:pt idx="0">
                  <c:v>181000</c:v>
                </c:pt>
                <c:pt idx="1">
                  <c:v>261800</c:v>
                </c:pt>
                <c:pt idx="2">
                  <c:v>266600</c:v>
                </c:pt>
                <c:pt idx="3">
                  <c:v>207700</c:v>
                </c:pt>
                <c:pt idx="4">
                  <c:v>217600</c:v>
                </c:pt>
                <c:pt idx="5">
                  <c:v>344000</c:v>
                </c:pt>
                <c:pt idx="6">
                  <c:v>266400</c:v>
                </c:pt>
                <c:pt idx="7">
                  <c:v>557800</c:v>
                </c:pt>
                <c:pt idx="8">
                  <c:v>347200</c:v>
                </c:pt>
                <c:pt idx="9">
                  <c:v>277300</c:v>
                </c:pt>
                <c:pt idx="10">
                  <c:v>241400</c:v>
                </c:pt>
                <c:pt idx="11">
                  <c:v>174800</c:v>
                </c:pt>
                <c:pt idx="12">
                  <c:v>283100</c:v>
                </c:pt>
                <c:pt idx="13">
                  <c:v>174800</c:v>
                </c:pt>
                <c:pt idx="14">
                  <c:v>495200</c:v>
                </c:pt>
                <c:pt idx="15">
                  <c:v>660100</c:v>
                </c:pt>
                <c:pt idx="16">
                  <c:v>437500</c:v>
                </c:pt>
                <c:pt idx="17">
                  <c:v>414800</c:v>
                </c:pt>
                <c:pt idx="18">
                  <c:v>219800</c:v>
                </c:pt>
                <c:pt idx="19">
                  <c:v>385800</c:v>
                </c:pt>
                <c:pt idx="20">
                  <c:v>209900</c:v>
                </c:pt>
                <c:pt idx="21">
                  <c:v>281500</c:v>
                </c:pt>
                <c:pt idx="22">
                  <c:v>205500</c:v>
                </c:pt>
                <c:pt idx="23">
                  <c:v>359200</c:v>
                </c:pt>
                <c:pt idx="24">
                  <c:v>182400</c:v>
                </c:pt>
                <c:pt idx="25">
                  <c:v>268600</c:v>
                </c:pt>
                <c:pt idx="26">
                  <c:v>138900</c:v>
                </c:pt>
                <c:pt idx="27">
                  <c:v>169100</c:v>
                </c:pt>
                <c:pt idx="28">
                  <c:v>171400</c:v>
                </c:pt>
                <c:pt idx="29">
                  <c:v>186300</c:v>
                </c:pt>
                <c:pt idx="30">
                  <c:v>206800</c:v>
                </c:pt>
                <c:pt idx="31">
                  <c:v>253100</c:v>
                </c:pt>
                <c:pt idx="32">
                  <c:v>156900</c:v>
                </c:pt>
                <c:pt idx="33">
                  <c:v>221100</c:v>
                </c:pt>
                <c:pt idx="34">
                  <c:v>207100</c:v>
                </c:pt>
                <c:pt idx="35">
                  <c:v>136500</c:v>
                </c:pt>
                <c:pt idx="36">
                  <c:v>203800</c:v>
                </c:pt>
                <c:pt idx="37">
                  <c:v>254800</c:v>
                </c:pt>
                <c:pt idx="38">
                  <c:v>397400</c:v>
                </c:pt>
                <c:pt idx="39">
                  <c:v>308600</c:v>
                </c:pt>
                <c:pt idx="40">
                  <c:v>163100</c:v>
                </c:pt>
                <c:pt idx="41">
                  <c:v>133500</c:v>
                </c:pt>
                <c:pt idx="42">
                  <c:v>200900</c:v>
                </c:pt>
                <c:pt idx="43">
                  <c:v>205000</c:v>
                </c:pt>
                <c:pt idx="44">
                  <c:v>150800</c:v>
                </c:pt>
                <c:pt idx="45">
                  <c:v>197300</c:v>
                </c:pt>
                <c:pt idx="46">
                  <c:v>210000</c:v>
                </c:pt>
                <c:pt idx="47">
                  <c:v>198100</c:v>
                </c:pt>
                <c:pt idx="48">
                  <c:v>141400</c:v>
                </c:pt>
                <c:pt idx="49">
                  <c:v>90100</c:v>
                </c:pt>
                <c:pt idx="50">
                  <c:v>107300</c:v>
                </c:pt>
                <c:pt idx="51">
                  <c:v>150600</c:v>
                </c:pt>
                <c:pt idx="52">
                  <c:v>99900</c:v>
                </c:pt>
                <c:pt idx="53">
                  <c:v>98100</c:v>
                </c:pt>
                <c:pt idx="54">
                  <c:v>95400</c:v>
                </c:pt>
                <c:pt idx="55">
                  <c:v>124800</c:v>
                </c:pt>
                <c:pt idx="56">
                  <c:v>105100</c:v>
                </c:pt>
                <c:pt idx="57">
                  <c:v>228900</c:v>
                </c:pt>
                <c:pt idx="58">
                  <c:v>247500</c:v>
                </c:pt>
                <c:pt idx="59">
                  <c:v>173600</c:v>
                </c:pt>
                <c:pt idx="60">
                  <c:v>410900</c:v>
                </c:pt>
                <c:pt idx="61">
                  <c:v>128500</c:v>
                </c:pt>
                <c:pt idx="62">
                  <c:v>71000</c:v>
                </c:pt>
                <c:pt idx="63">
                  <c:v>162300</c:v>
                </c:pt>
                <c:pt idx="64">
                  <c:v>108400</c:v>
                </c:pt>
                <c:pt idx="65">
                  <c:v>237400</c:v>
                </c:pt>
                <c:pt idx="66">
                  <c:v>108800</c:v>
                </c:pt>
                <c:pt idx="67">
                  <c:v>239700</c:v>
                </c:pt>
                <c:pt idx="68">
                  <c:v>251100</c:v>
                </c:pt>
                <c:pt idx="69">
                  <c:v>79200</c:v>
                </c:pt>
                <c:pt idx="70">
                  <c:v>111200</c:v>
                </c:pt>
                <c:pt idx="71">
                  <c:v>451200</c:v>
                </c:pt>
                <c:pt idx="72">
                  <c:v>148800</c:v>
                </c:pt>
                <c:pt idx="73">
                  <c:v>151000</c:v>
                </c:pt>
                <c:pt idx="74">
                  <c:v>41500</c:v>
                </c:pt>
                <c:pt idx="75">
                  <c:v>92700</c:v>
                </c:pt>
                <c:pt idx="76">
                  <c:v>67000</c:v>
                </c:pt>
                <c:pt idx="77">
                  <c:v>57700</c:v>
                </c:pt>
                <c:pt idx="78">
                  <c:v>148700</c:v>
                </c:pt>
                <c:pt idx="79">
                  <c:v>343500</c:v>
                </c:pt>
                <c:pt idx="80">
                  <c:v>190900</c:v>
                </c:pt>
                <c:pt idx="81">
                  <c:v>208100</c:v>
                </c:pt>
                <c:pt idx="82">
                  <c:v>180000</c:v>
                </c:pt>
                <c:pt idx="83">
                  <c:v>253800</c:v>
                </c:pt>
                <c:pt idx="84">
                  <c:v>192800</c:v>
                </c:pt>
                <c:pt idx="85">
                  <c:v>212000</c:v>
                </c:pt>
                <c:pt idx="86">
                  <c:v>211600</c:v>
                </c:pt>
                <c:pt idx="87">
                  <c:v>200600</c:v>
                </c:pt>
                <c:pt idx="88">
                  <c:v>128400</c:v>
                </c:pt>
                <c:pt idx="89">
                  <c:v>150800</c:v>
                </c:pt>
                <c:pt idx="90">
                  <c:v>98300</c:v>
                </c:pt>
                <c:pt idx="91">
                  <c:v>108200</c:v>
                </c:pt>
                <c:pt idx="92">
                  <c:v>165400</c:v>
                </c:pt>
                <c:pt idx="93">
                  <c:v>168200</c:v>
                </c:pt>
                <c:pt idx="94">
                  <c:v>52600</c:v>
                </c:pt>
                <c:pt idx="95">
                  <c:v>399900</c:v>
                </c:pt>
                <c:pt idx="96">
                  <c:v>154300</c:v>
                </c:pt>
                <c:pt idx="97">
                  <c:v>119300</c:v>
                </c:pt>
                <c:pt idx="98">
                  <c:v>90100</c:v>
                </c:pt>
                <c:pt idx="99">
                  <c:v>152600</c:v>
                </c:pt>
                <c:pt idx="100">
                  <c:v>167000</c:v>
                </c:pt>
                <c:pt idx="101">
                  <c:v>157600</c:v>
                </c:pt>
                <c:pt idx="102">
                  <c:v>137400</c:v>
                </c:pt>
                <c:pt idx="103">
                  <c:v>87900</c:v>
                </c:pt>
                <c:pt idx="104">
                  <c:v>93400</c:v>
                </c:pt>
                <c:pt idx="105">
                  <c:v>352600</c:v>
                </c:pt>
                <c:pt idx="106">
                  <c:v>82800</c:v>
                </c:pt>
                <c:pt idx="107">
                  <c:v>70800</c:v>
                </c:pt>
                <c:pt idx="108">
                  <c:v>90100</c:v>
                </c:pt>
                <c:pt idx="109">
                  <c:v>115000</c:v>
                </c:pt>
                <c:pt idx="110">
                  <c:v>102100</c:v>
                </c:pt>
                <c:pt idx="111">
                  <c:v>191200</c:v>
                </c:pt>
                <c:pt idx="112">
                  <c:v>155900</c:v>
                </c:pt>
                <c:pt idx="113">
                  <c:v>55600</c:v>
                </c:pt>
                <c:pt idx="114">
                  <c:v>121200</c:v>
                </c:pt>
                <c:pt idx="115">
                  <c:v>291800</c:v>
                </c:pt>
                <c:pt idx="116">
                  <c:v>287800</c:v>
                </c:pt>
                <c:pt idx="117">
                  <c:v>110100</c:v>
                </c:pt>
                <c:pt idx="118">
                  <c:v>80300</c:v>
                </c:pt>
                <c:pt idx="119">
                  <c:v>103800</c:v>
                </c:pt>
                <c:pt idx="120">
                  <c:v>81700</c:v>
                </c:pt>
                <c:pt idx="121">
                  <c:v>106700</c:v>
                </c:pt>
                <c:pt idx="122">
                  <c:v>117500</c:v>
                </c:pt>
                <c:pt idx="123">
                  <c:v>70100</c:v>
                </c:pt>
                <c:pt idx="124">
                  <c:v>62000</c:v>
                </c:pt>
                <c:pt idx="125">
                  <c:v>84100</c:v>
                </c:pt>
                <c:pt idx="126">
                  <c:v>70600</c:v>
                </c:pt>
                <c:pt idx="127">
                  <c:v>55900</c:v>
                </c:pt>
                <c:pt idx="128">
                  <c:v>106500</c:v>
                </c:pt>
                <c:pt idx="129">
                  <c:v>70800</c:v>
                </c:pt>
                <c:pt idx="130">
                  <c:v>63700</c:v>
                </c:pt>
                <c:pt idx="131">
                  <c:v>63600</c:v>
                </c:pt>
                <c:pt idx="132">
                  <c:v>87500</c:v>
                </c:pt>
                <c:pt idx="133">
                  <c:v>94000</c:v>
                </c:pt>
                <c:pt idx="134">
                  <c:v>39600</c:v>
                </c:pt>
                <c:pt idx="135">
                  <c:v>37700</c:v>
                </c:pt>
                <c:pt idx="136">
                  <c:v>77900</c:v>
                </c:pt>
                <c:pt idx="137">
                  <c:v>103000</c:v>
                </c:pt>
                <c:pt idx="138">
                  <c:v>85600</c:v>
                </c:pt>
                <c:pt idx="139">
                  <c:v>23400</c:v>
                </c:pt>
                <c:pt idx="140">
                  <c:v>60000</c:v>
                </c:pt>
                <c:pt idx="141">
                  <c:v>148500</c:v>
                </c:pt>
                <c:pt idx="142">
                  <c:v>110500</c:v>
                </c:pt>
                <c:pt idx="143">
                  <c:v>29600</c:v>
                </c:pt>
                <c:pt idx="144">
                  <c:v>142900</c:v>
                </c:pt>
                <c:pt idx="145">
                  <c:v>232000</c:v>
                </c:pt>
                <c:pt idx="146">
                  <c:v>84800</c:v>
                </c:pt>
                <c:pt idx="147">
                  <c:v>147900</c:v>
                </c:pt>
                <c:pt idx="148">
                  <c:v>100300</c:v>
                </c:pt>
                <c:pt idx="149">
                  <c:v>118900</c:v>
                </c:pt>
                <c:pt idx="150">
                  <c:v>94200</c:v>
                </c:pt>
                <c:pt idx="151">
                  <c:v>154000</c:v>
                </c:pt>
                <c:pt idx="152">
                  <c:v>70300</c:v>
                </c:pt>
                <c:pt idx="153">
                  <c:v>70800</c:v>
                </c:pt>
                <c:pt idx="154">
                  <c:v>232900</c:v>
                </c:pt>
                <c:pt idx="155">
                  <c:v>100500</c:v>
                </c:pt>
                <c:pt idx="156">
                  <c:v>59900</c:v>
                </c:pt>
                <c:pt idx="157">
                  <c:v>69600</c:v>
                </c:pt>
                <c:pt idx="158">
                  <c:v>89000</c:v>
                </c:pt>
                <c:pt idx="159">
                  <c:v>49200</c:v>
                </c:pt>
                <c:pt idx="160">
                  <c:v>76300</c:v>
                </c:pt>
                <c:pt idx="161">
                  <c:v>72600</c:v>
                </c:pt>
                <c:pt idx="162">
                  <c:v>267200</c:v>
                </c:pt>
                <c:pt idx="163">
                  <c:v>100800</c:v>
                </c:pt>
                <c:pt idx="164">
                  <c:v>71800</c:v>
                </c:pt>
                <c:pt idx="165">
                  <c:v>83300</c:v>
                </c:pt>
                <c:pt idx="166">
                  <c:v>146900</c:v>
                </c:pt>
                <c:pt idx="167">
                  <c:v>151300</c:v>
                </c:pt>
                <c:pt idx="168">
                  <c:v>97000</c:v>
                </c:pt>
                <c:pt idx="169">
                  <c:v>129200</c:v>
                </c:pt>
                <c:pt idx="170">
                  <c:v>72100</c:v>
                </c:pt>
                <c:pt idx="171">
                  <c:v>52100</c:v>
                </c:pt>
                <c:pt idx="172">
                  <c:v>140100</c:v>
                </c:pt>
                <c:pt idx="173">
                  <c:v>401900</c:v>
                </c:pt>
                <c:pt idx="174">
                  <c:v>426400</c:v>
                </c:pt>
                <c:pt idx="175">
                  <c:v>18900</c:v>
                </c:pt>
                <c:pt idx="176">
                  <c:v>47100</c:v>
                </c:pt>
                <c:pt idx="177">
                  <c:v>68500</c:v>
                </c:pt>
                <c:pt idx="178">
                  <c:v>211100</c:v>
                </c:pt>
                <c:pt idx="179">
                  <c:v>198400</c:v>
                </c:pt>
                <c:pt idx="180">
                  <c:v>153200</c:v>
                </c:pt>
                <c:pt idx="181">
                  <c:v>151500</c:v>
                </c:pt>
                <c:pt idx="182">
                  <c:v>119900</c:v>
                </c:pt>
                <c:pt idx="183">
                  <c:v>144900</c:v>
                </c:pt>
                <c:pt idx="184">
                  <c:v>81800</c:v>
                </c:pt>
                <c:pt idx="185">
                  <c:v>67500</c:v>
                </c:pt>
                <c:pt idx="186">
                  <c:v>382300</c:v>
                </c:pt>
                <c:pt idx="187">
                  <c:v>583200</c:v>
                </c:pt>
                <c:pt idx="188">
                  <c:v>333900</c:v>
                </c:pt>
                <c:pt idx="189">
                  <c:v>93000</c:v>
                </c:pt>
                <c:pt idx="190">
                  <c:v>77000</c:v>
                </c:pt>
                <c:pt idx="191">
                  <c:v>72600</c:v>
                </c:pt>
                <c:pt idx="192">
                  <c:v>33900</c:v>
                </c:pt>
                <c:pt idx="193">
                  <c:v>68800</c:v>
                </c:pt>
                <c:pt idx="194">
                  <c:v>46800</c:v>
                </c:pt>
                <c:pt idx="195">
                  <c:v>74000</c:v>
                </c:pt>
                <c:pt idx="196">
                  <c:v>98200</c:v>
                </c:pt>
                <c:pt idx="197">
                  <c:v>115300</c:v>
                </c:pt>
                <c:pt idx="198">
                  <c:v>175700</c:v>
                </c:pt>
                <c:pt idx="199">
                  <c:v>104900</c:v>
                </c:pt>
                <c:pt idx="200">
                  <c:v>123700</c:v>
                </c:pt>
                <c:pt idx="201">
                  <c:v>110500</c:v>
                </c:pt>
                <c:pt idx="202">
                  <c:v>185100</c:v>
                </c:pt>
                <c:pt idx="203">
                  <c:v>73000</c:v>
                </c:pt>
                <c:pt idx="204">
                  <c:v>66800</c:v>
                </c:pt>
                <c:pt idx="205">
                  <c:v>145200</c:v>
                </c:pt>
                <c:pt idx="206">
                  <c:v>79000</c:v>
                </c:pt>
                <c:pt idx="207">
                  <c:v>209300</c:v>
                </c:pt>
                <c:pt idx="208">
                  <c:v>198100</c:v>
                </c:pt>
                <c:pt idx="209">
                  <c:v>116900</c:v>
                </c:pt>
                <c:pt idx="210">
                  <c:v>137400</c:v>
                </c:pt>
                <c:pt idx="211">
                  <c:v>114100</c:v>
                </c:pt>
                <c:pt idx="212">
                  <c:v>180900</c:v>
                </c:pt>
                <c:pt idx="213">
                  <c:v>96900</c:v>
                </c:pt>
                <c:pt idx="214">
                  <c:v>341600</c:v>
                </c:pt>
                <c:pt idx="215">
                  <c:v>164700</c:v>
                </c:pt>
                <c:pt idx="216">
                  <c:v>102000</c:v>
                </c:pt>
                <c:pt idx="217">
                  <c:v>116700</c:v>
                </c:pt>
                <c:pt idx="218">
                  <c:v>83100</c:v>
                </c:pt>
                <c:pt idx="219">
                  <c:v>194500</c:v>
                </c:pt>
                <c:pt idx="220">
                  <c:v>127800</c:v>
                </c:pt>
                <c:pt idx="221">
                  <c:v>76000</c:v>
                </c:pt>
                <c:pt idx="222">
                  <c:v>167900</c:v>
                </c:pt>
                <c:pt idx="223">
                  <c:v>106500</c:v>
                </c:pt>
                <c:pt idx="224">
                  <c:v>156900</c:v>
                </c:pt>
                <c:pt idx="225">
                  <c:v>115400</c:v>
                </c:pt>
                <c:pt idx="226">
                  <c:v>109200</c:v>
                </c:pt>
                <c:pt idx="227">
                  <c:v>127400</c:v>
                </c:pt>
                <c:pt idx="228">
                  <c:v>155300</c:v>
                </c:pt>
                <c:pt idx="229">
                  <c:v>235300</c:v>
                </c:pt>
                <c:pt idx="230">
                  <c:v>173000</c:v>
                </c:pt>
                <c:pt idx="231">
                  <c:v>204800</c:v>
                </c:pt>
                <c:pt idx="232">
                  <c:v>145600</c:v>
                </c:pt>
                <c:pt idx="233">
                  <c:v>116600</c:v>
                </c:pt>
                <c:pt idx="234">
                  <c:v>151500</c:v>
                </c:pt>
                <c:pt idx="235">
                  <c:v>102000</c:v>
                </c:pt>
                <c:pt idx="236">
                  <c:v>394300</c:v>
                </c:pt>
                <c:pt idx="237">
                  <c:v>415900</c:v>
                </c:pt>
                <c:pt idx="238">
                  <c:v>245400</c:v>
                </c:pt>
                <c:pt idx="239">
                  <c:v>251200</c:v>
                </c:pt>
                <c:pt idx="240">
                  <c:v>173300</c:v>
                </c:pt>
                <c:pt idx="241">
                  <c:v>185200</c:v>
                </c:pt>
                <c:pt idx="242">
                  <c:v>263300</c:v>
                </c:pt>
                <c:pt idx="243">
                  <c:v>1225500</c:v>
                </c:pt>
                <c:pt idx="244">
                  <c:v>536700</c:v>
                </c:pt>
                <c:pt idx="245">
                  <c:v>186700</c:v>
                </c:pt>
                <c:pt idx="246">
                  <c:v>138700</c:v>
                </c:pt>
                <c:pt idx="247">
                  <c:v>94200</c:v>
                </c:pt>
                <c:pt idx="248">
                  <c:v>130000</c:v>
                </c:pt>
                <c:pt idx="249">
                  <c:v>166300</c:v>
                </c:pt>
                <c:pt idx="250">
                  <c:v>130200</c:v>
                </c:pt>
                <c:pt idx="251">
                  <c:v>127000</c:v>
                </c:pt>
                <c:pt idx="252">
                  <c:v>142000</c:v>
                </c:pt>
                <c:pt idx="253">
                  <c:v>101200</c:v>
                </c:pt>
                <c:pt idx="254">
                  <c:v>145200</c:v>
                </c:pt>
                <c:pt idx="255">
                  <c:v>181900</c:v>
                </c:pt>
                <c:pt idx="256">
                  <c:v>310900</c:v>
                </c:pt>
                <c:pt idx="257">
                  <c:v>153700</c:v>
                </c:pt>
                <c:pt idx="258">
                  <c:v>107100</c:v>
                </c:pt>
                <c:pt idx="259">
                  <c:v>110800</c:v>
                </c:pt>
                <c:pt idx="260">
                  <c:v>94400</c:v>
                </c:pt>
                <c:pt idx="261">
                  <c:v>46600</c:v>
                </c:pt>
                <c:pt idx="262">
                  <c:v>218300</c:v>
                </c:pt>
                <c:pt idx="263">
                  <c:v>82600</c:v>
                </c:pt>
                <c:pt idx="264">
                  <c:v>84100</c:v>
                </c:pt>
                <c:pt idx="265">
                  <c:v>40600</c:v>
                </c:pt>
                <c:pt idx="266">
                  <c:v>122100</c:v>
                </c:pt>
                <c:pt idx="267">
                  <c:v>127100</c:v>
                </c:pt>
                <c:pt idx="268">
                  <c:v>154200</c:v>
                </c:pt>
                <c:pt idx="269">
                  <c:v>103200</c:v>
                </c:pt>
                <c:pt idx="270">
                  <c:v>153700</c:v>
                </c:pt>
                <c:pt idx="271">
                  <c:v>113100</c:v>
                </c:pt>
                <c:pt idx="272">
                  <c:v>90500</c:v>
                </c:pt>
                <c:pt idx="273">
                  <c:v>104400</c:v>
                </c:pt>
                <c:pt idx="274">
                  <c:v>152200</c:v>
                </c:pt>
                <c:pt idx="275">
                  <c:v>204900</c:v>
                </c:pt>
                <c:pt idx="276">
                  <c:v>65200</c:v>
                </c:pt>
                <c:pt idx="277">
                  <c:v>94200</c:v>
                </c:pt>
                <c:pt idx="278">
                  <c:v>126300</c:v>
                </c:pt>
                <c:pt idx="279">
                  <c:v>66500</c:v>
                </c:pt>
                <c:pt idx="280">
                  <c:v>137300</c:v>
                </c:pt>
                <c:pt idx="281">
                  <c:v>91500</c:v>
                </c:pt>
                <c:pt idx="282">
                  <c:v>138700</c:v>
                </c:pt>
                <c:pt idx="283">
                  <c:v>83700</c:v>
                </c:pt>
                <c:pt idx="284">
                  <c:v>92800</c:v>
                </c:pt>
                <c:pt idx="285">
                  <c:v>50900</c:v>
                </c:pt>
                <c:pt idx="286">
                  <c:v>63700</c:v>
                </c:pt>
                <c:pt idx="287">
                  <c:v>116800</c:v>
                </c:pt>
                <c:pt idx="288">
                  <c:v>161100</c:v>
                </c:pt>
                <c:pt idx="289">
                  <c:v>162900</c:v>
                </c:pt>
                <c:pt idx="290">
                  <c:v>231200</c:v>
                </c:pt>
                <c:pt idx="291">
                  <c:v>157400</c:v>
                </c:pt>
                <c:pt idx="292">
                  <c:v>286300</c:v>
                </c:pt>
                <c:pt idx="293">
                  <c:v>608500</c:v>
                </c:pt>
                <c:pt idx="294">
                  <c:v>696000</c:v>
                </c:pt>
                <c:pt idx="295">
                  <c:v>141400</c:v>
                </c:pt>
                <c:pt idx="296">
                  <c:v>162600</c:v>
                </c:pt>
                <c:pt idx="297">
                  <c:v>300700</c:v>
                </c:pt>
                <c:pt idx="298">
                  <c:v>106700</c:v>
                </c:pt>
                <c:pt idx="299">
                  <c:v>149000</c:v>
                </c:pt>
                <c:pt idx="300">
                  <c:v>211300</c:v>
                </c:pt>
                <c:pt idx="301">
                  <c:v>192100</c:v>
                </c:pt>
                <c:pt idx="302">
                  <c:v>140500</c:v>
                </c:pt>
                <c:pt idx="303">
                  <c:v>185000</c:v>
                </c:pt>
                <c:pt idx="304">
                  <c:v>120800</c:v>
                </c:pt>
                <c:pt idx="305">
                  <c:v>439100</c:v>
                </c:pt>
                <c:pt idx="306">
                  <c:v>215300</c:v>
                </c:pt>
                <c:pt idx="307">
                  <c:v>171900</c:v>
                </c:pt>
                <c:pt idx="308">
                  <c:v>253000</c:v>
                </c:pt>
                <c:pt idx="309">
                  <c:v>147700</c:v>
                </c:pt>
                <c:pt idx="310">
                  <c:v>131300</c:v>
                </c:pt>
                <c:pt idx="311">
                  <c:v>139700</c:v>
                </c:pt>
                <c:pt idx="312">
                  <c:v>131800</c:v>
                </c:pt>
                <c:pt idx="313">
                  <c:v>104900</c:v>
                </c:pt>
                <c:pt idx="314">
                  <c:v>81700</c:v>
                </c:pt>
                <c:pt idx="315">
                  <c:v>94500</c:v>
                </c:pt>
                <c:pt idx="316">
                  <c:v>124600</c:v>
                </c:pt>
                <c:pt idx="317">
                  <c:v>32800</c:v>
                </c:pt>
                <c:pt idx="318">
                  <c:v>121100</c:v>
                </c:pt>
                <c:pt idx="319">
                  <c:v>73600</c:v>
                </c:pt>
                <c:pt idx="320">
                  <c:v>106400</c:v>
                </c:pt>
                <c:pt idx="321">
                  <c:v>110300</c:v>
                </c:pt>
                <c:pt idx="322">
                  <c:v>157000</c:v>
                </c:pt>
                <c:pt idx="323">
                  <c:v>211400</c:v>
                </c:pt>
                <c:pt idx="324">
                  <c:v>118200</c:v>
                </c:pt>
                <c:pt idx="325">
                  <c:v>93800</c:v>
                </c:pt>
                <c:pt idx="326">
                  <c:v>165100</c:v>
                </c:pt>
                <c:pt idx="327">
                  <c:v>86000</c:v>
                </c:pt>
                <c:pt idx="328">
                  <c:v>75600</c:v>
                </c:pt>
                <c:pt idx="329">
                  <c:v>474400</c:v>
                </c:pt>
                <c:pt idx="330">
                  <c:v>278700</c:v>
                </c:pt>
                <c:pt idx="331">
                  <c:v>194900</c:v>
                </c:pt>
                <c:pt idx="332">
                  <c:v>169300</c:v>
                </c:pt>
                <c:pt idx="333">
                  <c:v>173900</c:v>
                </c:pt>
                <c:pt idx="334">
                  <c:v>131600</c:v>
                </c:pt>
                <c:pt idx="335">
                  <c:v>78400</c:v>
                </c:pt>
                <c:pt idx="336">
                  <c:v>80900</c:v>
                </c:pt>
                <c:pt idx="337">
                  <c:v>117100</c:v>
                </c:pt>
                <c:pt idx="338">
                  <c:v>50000</c:v>
                </c:pt>
                <c:pt idx="339">
                  <c:v>66900</c:v>
                </c:pt>
                <c:pt idx="340">
                  <c:v>222000</c:v>
                </c:pt>
                <c:pt idx="341">
                  <c:v>457600</c:v>
                </c:pt>
                <c:pt idx="342">
                  <c:v>298800</c:v>
                </c:pt>
                <c:pt idx="343">
                  <c:v>82900</c:v>
                </c:pt>
                <c:pt idx="344">
                  <c:v>108200</c:v>
                </c:pt>
                <c:pt idx="345">
                  <c:v>109500</c:v>
                </c:pt>
                <c:pt idx="346">
                  <c:v>159800</c:v>
                </c:pt>
                <c:pt idx="347">
                  <c:v>62300</c:v>
                </c:pt>
                <c:pt idx="348">
                  <c:v>135100</c:v>
                </c:pt>
                <c:pt idx="349">
                  <c:v>105500</c:v>
                </c:pt>
                <c:pt idx="350">
                  <c:v>3480600</c:v>
                </c:pt>
                <c:pt idx="351">
                  <c:v>608700</c:v>
                </c:pt>
                <c:pt idx="352">
                  <c:v>206000</c:v>
                </c:pt>
                <c:pt idx="353">
                  <c:v>239300</c:v>
                </c:pt>
                <c:pt idx="354">
                  <c:v>190400</c:v>
                </c:pt>
                <c:pt idx="355">
                  <c:v>177000</c:v>
                </c:pt>
                <c:pt idx="356">
                  <c:v>408000</c:v>
                </c:pt>
                <c:pt idx="357">
                  <c:v>194000</c:v>
                </c:pt>
                <c:pt idx="358">
                  <c:v>312600</c:v>
                </c:pt>
                <c:pt idx="359">
                  <c:v>408400</c:v>
                </c:pt>
                <c:pt idx="360">
                  <c:v>216800</c:v>
                </c:pt>
                <c:pt idx="361">
                  <c:v>137900</c:v>
                </c:pt>
                <c:pt idx="362">
                  <c:v>110600</c:v>
                </c:pt>
                <c:pt idx="363">
                  <c:v>127600</c:v>
                </c:pt>
                <c:pt idx="364">
                  <c:v>196500</c:v>
                </c:pt>
                <c:pt idx="365">
                  <c:v>89700</c:v>
                </c:pt>
                <c:pt idx="366">
                  <c:v>133000</c:v>
                </c:pt>
                <c:pt idx="367">
                  <c:v>76100</c:v>
                </c:pt>
                <c:pt idx="368">
                  <c:v>678600</c:v>
                </c:pt>
                <c:pt idx="369">
                  <c:v>226700</c:v>
                </c:pt>
                <c:pt idx="370">
                  <c:v>202500</c:v>
                </c:pt>
                <c:pt idx="371">
                  <c:v>76000</c:v>
                </c:pt>
                <c:pt idx="372">
                  <c:v>180700</c:v>
                </c:pt>
                <c:pt idx="373">
                  <c:v>159800</c:v>
                </c:pt>
                <c:pt idx="374">
                  <c:v>357100</c:v>
                </c:pt>
                <c:pt idx="375">
                  <c:v>378300</c:v>
                </c:pt>
                <c:pt idx="376">
                  <c:v>105600</c:v>
                </c:pt>
                <c:pt idx="377">
                  <c:v>326800</c:v>
                </c:pt>
                <c:pt idx="378">
                  <c:v>215400</c:v>
                </c:pt>
                <c:pt idx="379">
                  <c:v>109300</c:v>
                </c:pt>
                <c:pt idx="380">
                  <c:v>247200</c:v>
                </c:pt>
                <c:pt idx="381">
                  <c:v>206500</c:v>
                </c:pt>
                <c:pt idx="382">
                  <c:v>169000</c:v>
                </c:pt>
                <c:pt idx="383">
                  <c:v>96100</c:v>
                </c:pt>
                <c:pt idx="384">
                  <c:v>250100</c:v>
                </c:pt>
                <c:pt idx="385">
                  <c:v>183600</c:v>
                </c:pt>
                <c:pt idx="386">
                  <c:v>158500</c:v>
                </c:pt>
                <c:pt idx="387">
                  <c:v>174500</c:v>
                </c:pt>
                <c:pt idx="388">
                  <c:v>223900</c:v>
                </c:pt>
                <c:pt idx="389">
                  <c:v>155700</c:v>
                </c:pt>
                <c:pt idx="390">
                  <c:v>127600</c:v>
                </c:pt>
                <c:pt idx="391">
                  <c:v>94100</c:v>
                </c:pt>
                <c:pt idx="392">
                  <c:v>61400</c:v>
                </c:pt>
                <c:pt idx="393">
                  <c:v>93700</c:v>
                </c:pt>
                <c:pt idx="394">
                  <c:v>94900</c:v>
                </c:pt>
                <c:pt idx="395">
                  <c:v>57400</c:v>
                </c:pt>
                <c:pt idx="396">
                  <c:v>314500</c:v>
                </c:pt>
                <c:pt idx="397">
                  <c:v>403400</c:v>
                </c:pt>
                <c:pt idx="398">
                  <c:v>287400</c:v>
                </c:pt>
                <c:pt idx="399">
                  <c:v>622500</c:v>
                </c:pt>
                <c:pt idx="400">
                  <c:v>698100</c:v>
                </c:pt>
                <c:pt idx="401">
                  <c:v>306100</c:v>
                </c:pt>
                <c:pt idx="402">
                  <c:v>200400</c:v>
                </c:pt>
                <c:pt idx="403">
                  <c:v>222200</c:v>
                </c:pt>
                <c:pt idx="404">
                  <c:v>263500</c:v>
                </c:pt>
                <c:pt idx="405">
                  <c:v>146500</c:v>
                </c:pt>
                <c:pt idx="406">
                  <c:v>268400</c:v>
                </c:pt>
                <c:pt idx="407">
                  <c:v>218500</c:v>
                </c:pt>
                <c:pt idx="408">
                  <c:v>184500</c:v>
                </c:pt>
                <c:pt idx="409">
                  <c:v>217500</c:v>
                </c:pt>
                <c:pt idx="410">
                  <c:v>141900</c:v>
                </c:pt>
                <c:pt idx="411">
                  <c:v>135000</c:v>
                </c:pt>
                <c:pt idx="412">
                  <c:v>154700</c:v>
                </c:pt>
                <c:pt idx="413">
                  <c:v>173900</c:v>
                </c:pt>
                <c:pt idx="414">
                  <c:v>156000</c:v>
                </c:pt>
                <c:pt idx="415">
                  <c:v>230000</c:v>
                </c:pt>
                <c:pt idx="416">
                  <c:v>156200</c:v>
                </c:pt>
                <c:pt idx="417">
                  <c:v>53700</c:v>
                </c:pt>
                <c:pt idx="418">
                  <c:v>96500</c:v>
                </c:pt>
                <c:pt idx="419">
                  <c:v>118600</c:v>
                </c:pt>
                <c:pt idx="420">
                  <c:v>107100</c:v>
                </c:pt>
                <c:pt idx="421">
                  <c:v>37300</c:v>
                </c:pt>
                <c:pt idx="422">
                  <c:v>92100</c:v>
                </c:pt>
                <c:pt idx="423">
                  <c:v>147700</c:v>
                </c:pt>
                <c:pt idx="424">
                  <c:v>75100</c:v>
                </c:pt>
                <c:pt idx="425">
                  <c:v>64900</c:v>
                </c:pt>
                <c:pt idx="426">
                  <c:v>50600</c:v>
                </c:pt>
                <c:pt idx="427">
                  <c:v>163500</c:v>
                </c:pt>
                <c:pt idx="428">
                  <c:v>176500</c:v>
                </c:pt>
                <c:pt idx="429">
                  <c:v>112500</c:v>
                </c:pt>
                <c:pt idx="430">
                  <c:v>449500</c:v>
                </c:pt>
                <c:pt idx="431">
                  <c:v>397500</c:v>
                </c:pt>
                <c:pt idx="432">
                  <c:v>309500</c:v>
                </c:pt>
                <c:pt idx="433">
                  <c:v>449100</c:v>
                </c:pt>
                <c:pt idx="434">
                  <c:v>232800</c:v>
                </c:pt>
                <c:pt idx="435">
                  <c:v>140100</c:v>
                </c:pt>
                <c:pt idx="436">
                  <c:v>236400</c:v>
                </c:pt>
                <c:pt idx="437">
                  <c:v>155200</c:v>
                </c:pt>
                <c:pt idx="438">
                  <c:v>240100</c:v>
                </c:pt>
                <c:pt idx="439">
                  <c:v>145400</c:v>
                </c:pt>
                <c:pt idx="440">
                  <c:v>53000</c:v>
                </c:pt>
                <c:pt idx="441">
                  <c:v>110700</c:v>
                </c:pt>
                <c:pt idx="442">
                  <c:v>130400</c:v>
                </c:pt>
                <c:pt idx="443">
                  <c:v>106000</c:v>
                </c:pt>
                <c:pt idx="444">
                  <c:v>110200</c:v>
                </c:pt>
                <c:pt idx="445">
                  <c:v>347800</c:v>
                </c:pt>
                <c:pt idx="446">
                  <c:v>422300</c:v>
                </c:pt>
                <c:pt idx="447">
                  <c:v>106100</c:v>
                </c:pt>
                <c:pt idx="448">
                  <c:v>239500</c:v>
                </c:pt>
                <c:pt idx="449">
                  <c:v>94600</c:v>
                </c:pt>
                <c:pt idx="450">
                  <c:v>102700</c:v>
                </c:pt>
                <c:pt idx="451">
                  <c:v>98700</c:v>
                </c:pt>
                <c:pt idx="452">
                  <c:v>52300</c:v>
                </c:pt>
                <c:pt idx="453">
                  <c:v>76400</c:v>
                </c:pt>
                <c:pt idx="454">
                  <c:v>97400</c:v>
                </c:pt>
                <c:pt idx="455">
                  <c:v>116300</c:v>
                </c:pt>
                <c:pt idx="456">
                  <c:v>85500</c:v>
                </c:pt>
                <c:pt idx="457">
                  <c:v>232300</c:v>
                </c:pt>
                <c:pt idx="458">
                  <c:v>112200</c:v>
                </c:pt>
                <c:pt idx="459">
                  <c:v>116600</c:v>
                </c:pt>
                <c:pt idx="460">
                  <c:v>78300</c:v>
                </c:pt>
                <c:pt idx="461">
                  <c:v>81300</c:v>
                </c:pt>
                <c:pt idx="462">
                  <c:v>113000</c:v>
                </c:pt>
                <c:pt idx="463">
                  <c:v>68900</c:v>
                </c:pt>
                <c:pt idx="464">
                  <c:v>55700</c:v>
                </c:pt>
                <c:pt idx="465">
                  <c:v>127600</c:v>
                </c:pt>
                <c:pt idx="466">
                  <c:v>303100</c:v>
                </c:pt>
                <c:pt idx="467">
                  <c:v>291200</c:v>
                </c:pt>
                <c:pt idx="468">
                  <c:v>220200</c:v>
                </c:pt>
                <c:pt idx="469">
                  <c:v>270700</c:v>
                </c:pt>
                <c:pt idx="470">
                  <c:v>326200</c:v>
                </c:pt>
                <c:pt idx="471">
                  <c:v>191100</c:v>
                </c:pt>
                <c:pt idx="472">
                  <c:v>115000</c:v>
                </c:pt>
                <c:pt idx="473">
                  <c:v>116100</c:v>
                </c:pt>
                <c:pt idx="474">
                  <c:v>151600</c:v>
                </c:pt>
                <c:pt idx="475">
                  <c:v>133000</c:v>
                </c:pt>
                <c:pt idx="476">
                  <c:v>87100</c:v>
                </c:pt>
                <c:pt idx="477">
                  <c:v>95000</c:v>
                </c:pt>
                <c:pt idx="478">
                  <c:v>284000</c:v>
                </c:pt>
                <c:pt idx="479">
                  <c:v>141000</c:v>
                </c:pt>
                <c:pt idx="480">
                  <c:v>193000</c:v>
                </c:pt>
                <c:pt idx="481">
                  <c:v>211700</c:v>
                </c:pt>
                <c:pt idx="482">
                  <c:v>159400</c:v>
                </c:pt>
                <c:pt idx="483">
                  <c:v>203000</c:v>
                </c:pt>
                <c:pt idx="484">
                  <c:v>226500</c:v>
                </c:pt>
                <c:pt idx="485">
                  <c:v>169100</c:v>
                </c:pt>
                <c:pt idx="486">
                  <c:v>183000</c:v>
                </c:pt>
                <c:pt idx="487">
                  <c:v>121400</c:v>
                </c:pt>
                <c:pt idx="488">
                  <c:v>116700</c:v>
                </c:pt>
                <c:pt idx="489">
                  <c:v>127600</c:v>
                </c:pt>
                <c:pt idx="490">
                  <c:v>149500</c:v>
                </c:pt>
                <c:pt idx="491">
                  <c:v>174800</c:v>
                </c:pt>
                <c:pt idx="492">
                  <c:v>83200</c:v>
                </c:pt>
                <c:pt idx="493">
                  <c:v>114600</c:v>
                </c:pt>
                <c:pt idx="494">
                  <c:v>111600</c:v>
                </c:pt>
                <c:pt idx="495">
                  <c:v>77400</c:v>
                </c:pt>
                <c:pt idx="496">
                  <c:v>128300</c:v>
                </c:pt>
                <c:pt idx="497">
                  <c:v>126800</c:v>
                </c:pt>
                <c:pt idx="498">
                  <c:v>214100</c:v>
                </c:pt>
                <c:pt idx="499">
                  <c:v>155800</c:v>
                </c:pt>
                <c:pt idx="500">
                  <c:v>204400</c:v>
                </c:pt>
                <c:pt idx="501">
                  <c:v>172500</c:v>
                </c:pt>
                <c:pt idx="502">
                  <c:v>141400</c:v>
                </c:pt>
                <c:pt idx="503">
                  <c:v>145900</c:v>
                </c:pt>
                <c:pt idx="504">
                  <c:v>155300</c:v>
                </c:pt>
                <c:pt idx="505">
                  <c:v>103100</c:v>
                </c:pt>
                <c:pt idx="506">
                  <c:v>185700</c:v>
                </c:pt>
                <c:pt idx="507">
                  <c:v>141800</c:v>
                </c:pt>
                <c:pt idx="508">
                  <c:v>200300</c:v>
                </c:pt>
                <c:pt idx="509">
                  <c:v>155300</c:v>
                </c:pt>
                <c:pt idx="510">
                  <c:v>171200</c:v>
                </c:pt>
                <c:pt idx="511">
                  <c:v>728200</c:v>
                </c:pt>
                <c:pt idx="512">
                  <c:v>378800</c:v>
                </c:pt>
                <c:pt idx="513">
                  <c:v>187400</c:v>
                </c:pt>
                <c:pt idx="514">
                  <c:v>159200</c:v>
                </c:pt>
                <c:pt idx="515">
                  <c:v>136100</c:v>
                </c:pt>
                <c:pt idx="516">
                  <c:v>91600</c:v>
                </c:pt>
                <c:pt idx="517">
                  <c:v>129600</c:v>
                </c:pt>
                <c:pt idx="518">
                  <c:v>133300</c:v>
                </c:pt>
                <c:pt idx="519">
                  <c:v>138600</c:v>
                </c:pt>
                <c:pt idx="520">
                  <c:v>219600</c:v>
                </c:pt>
                <c:pt idx="521">
                  <c:v>186500</c:v>
                </c:pt>
                <c:pt idx="522">
                  <c:v>192200</c:v>
                </c:pt>
                <c:pt idx="523">
                  <c:v>174900</c:v>
                </c:pt>
                <c:pt idx="524">
                  <c:v>181900</c:v>
                </c:pt>
                <c:pt idx="525">
                  <c:v>131900</c:v>
                </c:pt>
                <c:pt idx="526">
                  <c:v>104300</c:v>
                </c:pt>
                <c:pt idx="527">
                  <c:v>136600</c:v>
                </c:pt>
                <c:pt idx="528">
                  <c:v>229100</c:v>
                </c:pt>
                <c:pt idx="529">
                  <c:v>308800</c:v>
                </c:pt>
                <c:pt idx="530">
                  <c:v>206900</c:v>
                </c:pt>
                <c:pt idx="531">
                  <c:v>138500</c:v>
                </c:pt>
                <c:pt idx="532">
                  <c:v>227200</c:v>
                </c:pt>
                <c:pt idx="533">
                  <c:v>144100</c:v>
                </c:pt>
                <c:pt idx="534">
                  <c:v>393600</c:v>
                </c:pt>
                <c:pt idx="535">
                  <c:v>176000</c:v>
                </c:pt>
                <c:pt idx="536">
                  <c:v>126400</c:v>
                </c:pt>
                <c:pt idx="537">
                  <c:v>166600</c:v>
                </c:pt>
                <c:pt idx="538">
                  <c:v>181400</c:v>
                </c:pt>
                <c:pt idx="539">
                  <c:v>185500</c:v>
                </c:pt>
                <c:pt idx="540">
                  <c:v>171200</c:v>
                </c:pt>
                <c:pt idx="541">
                  <c:v>195300</c:v>
                </c:pt>
                <c:pt idx="542">
                  <c:v>301000</c:v>
                </c:pt>
                <c:pt idx="543">
                  <c:v>197900</c:v>
                </c:pt>
                <c:pt idx="544">
                  <c:v>378900</c:v>
                </c:pt>
                <c:pt idx="545">
                  <c:v>322600</c:v>
                </c:pt>
                <c:pt idx="546">
                  <c:v>352400</c:v>
                </c:pt>
                <c:pt idx="547">
                  <c:v>479500</c:v>
                </c:pt>
                <c:pt idx="548">
                  <c:v>232400</c:v>
                </c:pt>
                <c:pt idx="549">
                  <c:v>149400</c:v>
                </c:pt>
                <c:pt idx="550">
                  <c:v>199500</c:v>
                </c:pt>
                <c:pt idx="551">
                  <c:v>460300</c:v>
                </c:pt>
                <c:pt idx="552">
                  <c:v>282200</c:v>
                </c:pt>
                <c:pt idx="553">
                  <c:v>186100</c:v>
                </c:pt>
                <c:pt idx="554">
                  <c:v>233100</c:v>
                </c:pt>
                <c:pt idx="555">
                  <c:v>156900</c:v>
                </c:pt>
                <c:pt idx="556">
                  <c:v>101200</c:v>
                </c:pt>
                <c:pt idx="557">
                  <c:v>252600</c:v>
                </c:pt>
                <c:pt idx="558">
                  <c:v>201300</c:v>
                </c:pt>
                <c:pt idx="559">
                  <c:v>196600</c:v>
                </c:pt>
                <c:pt idx="560">
                  <c:v>134700</c:v>
                </c:pt>
                <c:pt idx="561">
                  <c:v>117000</c:v>
                </c:pt>
                <c:pt idx="562">
                  <c:v>170200</c:v>
                </c:pt>
                <c:pt idx="563">
                  <c:v>255500</c:v>
                </c:pt>
                <c:pt idx="564">
                  <c:v>140800</c:v>
                </c:pt>
                <c:pt idx="565">
                  <c:v>194300</c:v>
                </c:pt>
                <c:pt idx="566">
                  <c:v>262400</c:v>
                </c:pt>
                <c:pt idx="567">
                  <c:v>188100</c:v>
                </c:pt>
                <c:pt idx="568">
                  <c:v>201400</c:v>
                </c:pt>
                <c:pt idx="569">
                  <c:v>361500</c:v>
                </c:pt>
                <c:pt idx="570">
                  <c:v>323700</c:v>
                </c:pt>
                <c:pt idx="571">
                  <c:v>241700</c:v>
                </c:pt>
                <c:pt idx="572">
                  <c:v>170300</c:v>
                </c:pt>
                <c:pt idx="573">
                  <c:v>221300</c:v>
                </c:pt>
                <c:pt idx="574">
                  <c:v>252000</c:v>
                </c:pt>
                <c:pt idx="575">
                  <c:v>266200</c:v>
                </c:pt>
                <c:pt idx="576">
                  <c:v>277600</c:v>
                </c:pt>
                <c:pt idx="577">
                  <c:v>201700</c:v>
                </c:pt>
                <c:pt idx="578">
                  <c:v>568400</c:v>
                </c:pt>
                <c:pt idx="579">
                  <c:v>273500</c:v>
                </c:pt>
                <c:pt idx="580">
                  <c:v>193200</c:v>
                </c:pt>
                <c:pt idx="581">
                  <c:v>291800</c:v>
                </c:pt>
                <c:pt idx="582">
                  <c:v>142600</c:v>
                </c:pt>
                <c:pt idx="583">
                  <c:v>208800</c:v>
                </c:pt>
                <c:pt idx="584">
                  <c:v>313000</c:v>
                </c:pt>
                <c:pt idx="585">
                  <c:v>459100</c:v>
                </c:pt>
                <c:pt idx="586">
                  <c:v>469600</c:v>
                </c:pt>
                <c:pt idx="587">
                  <c:v>294000</c:v>
                </c:pt>
                <c:pt idx="588">
                  <c:v>280000</c:v>
                </c:pt>
                <c:pt idx="589">
                  <c:v>294500</c:v>
                </c:pt>
                <c:pt idx="590">
                  <c:v>328900</c:v>
                </c:pt>
                <c:pt idx="591">
                  <c:v>259800</c:v>
                </c:pt>
                <c:pt idx="592">
                  <c:v>425900</c:v>
                </c:pt>
                <c:pt idx="593">
                  <c:v>182900</c:v>
                </c:pt>
                <c:pt idx="594">
                  <c:v>184200</c:v>
                </c:pt>
                <c:pt idx="595">
                  <c:v>302600</c:v>
                </c:pt>
                <c:pt idx="596">
                  <c:v>207700</c:v>
                </c:pt>
                <c:pt idx="597">
                  <c:v>151200</c:v>
                </c:pt>
                <c:pt idx="598">
                  <c:v>134100</c:v>
                </c:pt>
                <c:pt idx="599">
                  <c:v>323200</c:v>
                </c:pt>
                <c:pt idx="600">
                  <c:v>251700</c:v>
                </c:pt>
                <c:pt idx="601">
                  <c:v>236600</c:v>
                </c:pt>
                <c:pt idx="602">
                  <c:v>330000</c:v>
                </c:pt>
                <c:pt idx="603">
                  <c:v>411700</c:v>
                </c:pt>
                <c:pt idx="604">
                  <c:v>247800</c:v>
                </c:pt>
                <c:pt idx="605">
                  <c:v>422300</c:v>
                </c:pt>
                <c:pt idx="606">
                  <c:v>526300</c:v>
                </c:pt>
                <c:pt idx="607">
                  <c:v>176600</c:v>
                </c:pt>
                <c:pt idx="608">
                  <c:v>281400</c:v>
                </c:pt>
                <c:pt idx="609">
                  <c:v>184200</c:v>
                </c:pt>
                <c:pt idx="610">
                  <c:v>205500</c:v>
                </c:pt>
                <c:pt idx="611">
                  <c:v>259400</c:v>
                </c:pt>
                <c:pt idx="612">
                  <c:v>376100</c:v>
                </c:pt>
                <c:pt idx="613">
                  <c:v>400200</c:v>
                </c:pt>
                <c:pt idx="614">
                  <c:v>436100</c:v>
                </c:pt>
                <c:pt idx="615">
                  <c:v>252500</c:v>
                </c:pt>
                <c:pt idx="616">
                  <c:v>231200</c:v>
                </c:pt>
                <c:pt idx="617">
                  <c:v>198200</c:v>
                </c:pt>
                <c:pt idx="618">
                  <c:v>186700</c:v>
                </c:pt>
                <c:pt idx="619">
                  <c:v>151000</c:v>
                </c:pt>
                <c:pt idx="620">
                  <c:v>221100</c:v>
                </c:pt>
                <c:pt idx="621">
                  <c:v>206200</c:v>
                </c:pt>
                <c:pt idx="622">
                  <c:v>157500</c:v>
                </c:pt>
                <c:pt idx="623">
                  <c:v>103000</c:v>
                </c:pt>
                <c:pt idx="624">
                  <c:v>154700</c:v>
                </c:pt>
                <c:pt idx="625">
                  <c:v>219200</c:v>
                </c:pt>
                <c:pt idx="626">
                  <c:v>273200</c:v>
                </c:pt>
                <c:pt idx="627">
                  <c:v>198400</c:v>
                </c:pt>
                <c:pt idx="628">
                  <c:v>122300</c:v>
                </c:pt>
                <c:pt idx="629">
                  <c:v>292700</c:v>
                </c:pt>
                <c:pt idx="630">
                  <c:v>212100</c:v>
                </c:pt>
                <c:pt idx="631">
                  <c:v>157700</c:v>
                </c:pt>
                <c:pt idx="632">
                  <c:v>199600</c:v>
                </c:pt>
                <c:pt idx="633">
                  <c:v>199900</c:v>
                </c:pt>
                <c:pt idx="634">
                  <c:v>285500</c:v>
                </c:pt>
                <c:pt idx="635">
                  <c:v>258800</c:v>
                </c:pt>
                <c:pt idx="636">
                  <c:v>217700</c:v>
                </c:pt>
                <c:pt idx="637">
                  <c:v>154100</c:v>
                </c:pt>
                <c:pt idx="638">
                  <c:v>125500</c:v>
                </c:pt>
                <c:pt idx="639">
                  <c:v>166200</c:v>
                </c:pt>
                <c:pt idx="640">
                  <c:v>736800</c:v>
                </c:pt>
                <c:pt idx="641">
                  <c:v>336800</c:v>
                </c:pt>
                <c:pt idx="642">
                  <c:v>292300</c:v>
                </c:pt>
                <c:pt idx="643">
                  <c:v>113700</c:v>
                </c:pt>
                <c:pt idx="644">
                  <c:v>203200</c:v>
                </c:pt>
                <c:pt idx="645">
                  <c:v>221600</c:v>
                </c:pt>
                <c:pt idx="646">
                  <c:v>160100</c:v>
                </c:pt>
                <c:pt idx="647">
                  <c:v>211000</c:v>
                </c:pt>
                <c:pt idx="648">
                  <c:v>213800</c:v>
                </c:pt>
                <c:pt idx="649">
                  <c:v>418700</c:v>
                </c:pt>
                <c:pt idx="650">
                  <c:v>282000</c:v>
                </c:pt>
                <c:pt idx="651">
                  <c:v>188300</c:v>
                </c:pt>
                <c:pt idx="652">
                  <c:v>250600</c:v>
                </c:pt>
                <c:pt idx="653">
                  <c:v>483600</c:v>
                </c:pt>
                <c:pt idx="654">
                  <c:v>276000</c:v>
                </c:pt>
                <c:pt idx="655">
                  <c:v>414200</c:v>
                </c:pt>
                <c:pt idx="656">
                  <c:v>180300</c:v>
                </c:pt>
                <c:pt idx="657">
                  <c:v>198400</c:v>
                </c:pt>
                <c:pt idx="658">
                  <c:v>303100</c:v>
                </c:pt>
                <c:pt idx="659">
                  <c:v>300300</c:v>
                </c:pt>
                <c:pt idx="660">
                  <c:v>264600</c:v>
                </c:pt>
                <c:pt idx="661">
                  <c:v>204600</c:v>
                </c:pt>
                <c:pt idx="662">
                  <c:v>239500</c:v>
                </c:pt>
                <c:pt idx="663">
                  <c:v>183000</c:v>
                </c:pt>
                <c:pt idx="664">
                  <c:v>216300</c:v>
                </c:pt>
                <c:pt idx="665">
                  <c:v>171400</c:v>
                </c:pt>
                <c:pt idx="666">
                  <c:v>255900</c:v>
                </c:pt>
                <c:pt idx="667">
                  <c:v>147800</c:v>
                </c:pt>
                <c:pt idx="668">
                  <c:v>396400</c:v>
                </c:pt>
                <c:pt idx="669">
                  <c:v>341500</c:v>
                </c:pt>
                <c:pt idx="670">
                  <c:v>304900</c:v>
                </c:pt>
                <c:pt idx="671">
                  <c:v>221800</c:v>
                </c:pt>
                <c:pt idx="672">
                  <c:v>377600</c:v>
                </c:pt>
                <c:pt idx="673">
                  <c:v>314100</c:v>
                </c:pt>
                <c:pt idx="674">
                  <c:v>372300</c:v>
                </c:pt>
                <c:pt idx="675">
                  <c:v>199200</c:v>
                </c:pt>
                <c:pt idx="676">
                  <c:v>221800</c:v>
                </c:pt>
                <c:pt idx="677">
                  <c:v>378900</c:v>
                </c:pt>
                <c:pt idx="678">
                  <c:v>831800</c:v>
                </c:pt>
                <c:pt idx="679">
                  <c:v>473300</c:v>
                </c:pt>
                <c:pt idx="680">
                  <c:v>424400</c:v>
                </c:pt>
                <c:pt idx="681">
                  <c:v>210800</c:v>
                </c:pt>
                <c:pt idx="682">
                  <c:v>236900</c:v>
                </c:pt>
                <c:pt idx="683">
                  <c:v>194500</c:v>
                </c:pt>
                <c:pt idx="684">
                  <c:v>246200</c:v>
                </c:pt>
                <c:pt idx="685">
                  <c:v>352900</c:v>
                </c:pt>
                <c:pt idx="686">
                  <c:v>492300</c:v>
                </c:pt>
                <c:pt idx="687">
                  <c:v>371500</c:v>
                </c:pt>
                <c:pt idx="688">
                  <c:v>341200</c:v>
                </c:pt>
                <c:pt idx="689">
                  <c:v>139900</c:v>
                </c:pt>
                <c:pt idx="690">
                  <c:v>160000</c:v>
                </c:pt>
                <c:pt idx="691">
                  <c:v>330600</c:v>
                </c:pt>
                <c:pt idx="692">
                  <c:v>136900</c:v>
                </c:pt>
                <c:pt idx="693">
                  <c:v>136300</c:v>
                </c:pt>
                <c:pt idx="694">
                  <c:v>165300</c:v>
                </c:pt>
                <c:pt idx="695">
                  <c:v>216600</c:v>
                </c:pt>
                <c:pt idx="696">
                  <c:v>134400</c:v>
                </c:pt>
                <c:pt idx="697">
                  <c:v>316300</c:v>
                </c:pt>
                <c:pt idx="698">
                  <c:v>270700</c:v>
                </c:pt>
                <c:pt idx="699">
                  <c:v>181700</c:v>
                </c:pt>
                <c:pt idx="700">
                  <c:v>223300</c:v>
                </c:pt>
                <c:pt idx="701">
                  <c:v>174200</c:v>
                </c:pt>
                <c:pt idx="702">
                  <c:v>283600</c:v>
                </c:pt>
                <c:pt idx="703">
                  <c:v>271500</c:v>
                </c:pt>
                <c:pt idx="704">
                  <c:v>247200</c:v>
                </c:pt>
                <c:pt idx="705">
                  <c:v>788500</c:v>
                </c:pt>
                <c:pt idx="706">
                  <c:v>357300</c:v>
                </c:pt>
                <c:pt idx="707">
                  <c:v>431600</c:v>
                </c:pt>
                <c:pt idx="708">
                  <c:v>481500</c:v>
                </c:pt>
                <c:pt idx="709">
                  <c:v>254800</c:v>
                </c:pt>
                <c:pt idx="710">
                  <c:v>422600</c:v>
                </c:pt>
                <c:pt idx="711">
                  <c:v>315800</c:v>
                </c:pt>
                <c:pt idx="712">
                  <c:v>623700</c:v>
                </c:pt>
                <c:pt idx="713">
                  <c:v>217600</c:v>
                </c:pt>
                <c:pt idx="714">
                  <c:v>183100</c:v>
                </c:pt>
                <c:pt idx="715">
                  <c:v>501800</c:v>
                </c:pt>
                <c:pt idx="716">
                  <c:v>293600</c:v>
                </c:pt>
                <c:pt idx="717">
                  <c:v>265500</c:v>
                </c:pt>
                <c:pt idx="718">
                  <c:v>445600</c:v>
                </c:pt>
                <c:pt idx="719">
                  <c:v>535900</c:v>
                </c:pt>
                <c:pt idx="720">
                  <c:v>1849100</c:v>
                </c:pt>
                <c:pt idx="721">
                  <c:v>1496000</c:v>
                </c:pt>
                <c:pt idx="722">
                  <c:v>870900</c:v>
                </c:pt>
                <c:pt idx="723">
                  <c:v>504600</c:v>
                </c:pt>
                <c:pt idx="724">
                  <c:v>436500</c:v>
                </c:pt>
                <c:pt idx="725">
                  <c:v>430500</c:v>
                </c:pt>
                <c:pt idx="726">
                  <c:v>360500</c:v>
                </c:pt>
                <c:pt idx="727">
                  <c:v>243300</c:v>
                </c:pt>
                <c:pt idx="728">
                  <c:v>509200</c:v>
                </c:pt>
                <c:pt idx="729">
                  <c:v>304600</c:v>
                </c:pt>
                <c:pt idx="730">
                  <c:v>444200</c:v>
                </c:pt>
                <c:pt idx="731">
                  <c:v>457500</c:v>
                </c:pt>
                <c:pt idx="732">
                  <c:v>514700</c:v>
                </c:pt>
                <c:pt idx="733">
                  <c:v>436700</c:v>
                </c:pt>
                <c:pt idx="734">
                  <c:v>414100</c:v>
                </c:pt>
                <c:pt idx="735">
                  <c:v>637600</c:v>
                </c:pt>
                <c:pt idx="736">
                  <c:v>625900</c:v>
                </c:pt>
                <c:pt idx="737">
                  <c:v>360300</c:v>
                </c:pt>
                <c:pt idx="738">
                  <c:v>389200</c:v>
                </c:pt>
                <c:pt idx="739">
                  <c:v>296000</c:v>
                </c:pt>
                <c:pt idx="740">
                  <c:v>609400</c:v>
                </c:pt>
                <c:pt idx="741">
                  <c:v>528200</c:v>
                </c:pt>
                <c:pt idx="742">
                  <c:v>559500</c:v>
                </c:pt>
                <c:pt idx="743">
                  <c:v>249900</c:v>
                </c:pt>
                <c:pt idx="744">
                  <c:v>127800</c:v>
                </c:pt>
                <c:pt idx="745">
                  <c:v>262000</c:v>
                </c:pt>
                <c:pt idx="746">
                  <c:v>348000</c:v>
                </c:pt>
                <c:pt idx="747">
                  <c:v>239800</c:v>
                </c:pt>
                <c:pt idx="748">
                  <c:v>118400</c:v>
                </c:pt>
                <c:pt idx="749">
                  <c:v>211900</c:v>
                </c:pt>
                <c:pt idx="750">
                  <c:v>136400</c:v>
                </c:pt>
                <c:pt idx="751">
                  <c:v>133000</c:v>
                </c:pt>
                <c:pt idx="752">
                  <c:v>379000</c:v>
                </c:pt>
                <c:pt idx="753">
                  <c:v>329800</c:v>
                </c:pt>
                <c:pt idx="754">
                  <c:v>196500</c:v>
                </c:pt>
                <c:pt idx="755">
                  <c:v>201800</c:v>
                </c:pt>
                <c:pt idx="756">
                  <c:v>213900</c:v>
                </c:pt>
                <c:pt idx="757">
                  <c:v>215900</c:v>
                </c:pt>
                <c:pt idx="758">
                  <c:v>158700</c:v>
                </c:pt>
                <c:pt idx="759">
                  <c:v>284700</c:v>
                </c:pt>
                <c:pt idx="760">
                  <c:v>187100</c:v>
                </c:pt>
                <c:pt idx="761">
                  <c:v>371100</c:v>
                </c:pt>
                <c:pt idx="762">
                  <c:v>838200</c:v>
                </c:pt>
                <c:pt idx="763">
                  <c:v>367000</c:v>
                </c:pt>
                <c:pt idx="764">
                  <c:v>279200</c:v>
                </c:pt>
                <c:pt idx="765">
                  <c:v>169800</c:v>
                </c:pt>
                <c:pt idx="766">
                  <c:v>171600</c:v>
                </c:pt>
                <c:pt idx="767">
                  <c:v>259100</c:v>
                </c:pt>
                <c:pt idx="768">
                  <c:v>300600</c:v>
                </c:pt>
                <c:pt idx="769">
                  <c:v>284900</c:v>
                </c:pt>
                <c:pt idx="770">
                  <c:v>140900</c:v>
                </c:pt>
                <c:pt idx="771">
                  <c:v>190800</c:v>
                </c:pt>
                <c:pt idx="772">
                  <c:v>185800</c:v>
                </c:pt>
                <c:pt idx="773">
                  <c:v>122100</c:v>
                </c:pt>
                <c:pt idx="774">
                  <c:v>108900</c:v>
                </c:pt>
                <c:pt idx="775">
                  <c:v>365400</c:v>
                </c:pt>
                <c:pt idx="776">
                  <c:v>207400</c:v>
                </c:pt>
                <c:pt idx="777">
                  <c:v>245100</c:v>
                </c:pt>
                <c:pt idx="778">
                  <c:v>447600</c:v>
                </c:pt>
                <c:pt idx="779">
                  <c:v>277100</c:v>
                </c:pt>
                <c:pt idx="780">
                  <c:v>108300</c:v>
                </c:pt>
                <c:pt idx="781">
                  <c:v>88100</c:v>
                </c:pt>
                <c:pt idx="782">
                  <c:v>120000</c:v>
                </c:pt>
                <c:pt idx="783">
                  <c:v>109900</c:v>
                </c:pt>
                <c:pt idx="784">
                  <c:v>139600</c:v>
                </c:pt>
                <c:pt idx="785">
                  <c:v>131900</c:v>
                </c:pt>
                <c:pt idx="786">
                  <c:v>159300</c:v>
                </c:pt>
                <c:pt idx="787">
                  <c:v>173200</c:v>
                </c:pt>
                <c:pt idx="788">
                  <c:v>172900</c:v>
                </c:pt>
                <c:pt idx="789">
                  <c:v>85900</c:v>
                </c:pt>
                <c:pt idx="790">
                  <c:v>94700</c:v>
                </c:pt>
                <c:pt idx="791">
                  <c:v>75700</c:v>
                </c:pt>
                <c:pt idx="792">
                  <c:v>114200</c:v>
                </c:pt>
                <c:pt idx="793">
                  <c:v>291900</c:v>
                </c:pt>
                <c:pt idx="794">
                  <c:v>118000</c:v>
                </c:pt>
                <c:pt idx="795">
                  <c:v>169500</c:v>
                </c:pt>
                <c:pt idx="796">
                  <c:v>172500</c:v>
                </c:pt>
                <c:pt idx="797">
                  <c:v>87400</c:v>
                </c:pt>
                <c:pt idx="798">
                  <c:v>141800</c:v>
                </c:pt>
                <c:pt idx="799">
                  <c:v>132800</c:v>
                </c:pt>
                <c:pt idx="800">
                  <c:v>140300</c:v>
                </c:pt>
                <c:pt idx="801">
                  <c:v>162500</c:v>
                </c:pt>
                <c:pt idx="802">
                  <c:v>228000</c:v>
                </c:pt>
                <c:pt idx="803">
                  <c:v>169800</c:v>
                </c:pt>
                <c:pt idx="804">
                  <c:v>220900</c:v>
                </c:pt>
                <c:pt idx="805">
                  <c:v>161500</c:v>
                </c:pt>
                <c:pt idx="806">
                  <c:v>85000</c:v>
                </c:pt>
                <c:pt idx="807">
                  <c:v>151600</c:v>
                </c:pt>
                <c:pt idx="808">
                  <c:v>180900</c:v>
                </c:pt>
                <c:pt idx="809">
                  <c:v>102400</c:v>
                </c:pt>
                <c:pt idx="810">
                  <c:v>199900</c:v>
                </c:pt>
                <c:pt idx="811">
                  <c:v>181000</c:v>
                </c:pt>
                <c:pt idx="812">
                  <c:v>139900</c:v>
                </c:pt>
                <c:pt idx="813">
                  <c:v>110300</c:v>
                </c:pt>
                <c:pt idx="814">
                  <c:v>77400</c:v>
                </c:pt>
                <c:pt idx="815">
                  <c:v>264800</c:v>
                </c:pt>
                <c:pt idx="816">
                  <c:v>116700</c:v>
                </c:pt>
                <c:pt idx="817">
                  <c:v>221900</c:v>
                </c:pt>
                <c:pt idx="818">
                  <c:v>233900</c:v>
                </c:pt>
                <c:pt idx="819">
                  <c:v>740000</c:v>
                </c:pt>
                <c:pt idx="820">
                  <c:v>519300</c:v>
                </c:pt>
                <c:pt idx="821">
                  <c:v>616000</c:v>
                </c:pt>
                <c:pt idx="822">
                  <c:v>486700</c:v>
                </c:pt>
                <c:pt idx="823">
                  <c:v>290600</c:v>
                </c:pt>
                <c:pt idx="824">
                  <c:v>294500</c:v>
                </c:pt>
                <c:pt idx="825">
                  <c:v>298200</c:v>
                </c:pt>
                <c:pt idx="826">
                  <c:v>180800</c:v>
                </c:pt>
                <c:pt idx="827">
                  <c:v>108300</c:v>
                </c:pt>
                <c:pt idx="828">
                  <c:v>107500</c:v>
                </c:pt>
                <c:pt idx="829">
                  <c:v>131600</c:v>
                </c:pt>
                <c:pt idx="830">
                  <c:v>170500</c:v>
                </c:pt>
                <c:pt idx="831">
                  <c:v>197400</c:v>
                </c:pt>
                <c:pt idx="832">
                  <c:v>178300</c:v>
                </c:pt>
                <c:pt idx="833">
                  <c:v>137300</c:v>
                </c:pt>
                <c:pt idx="834">
                  <c:v>114400</c:v>
                </c:pt>
                <c:pt idx="835">
                  <c:v>435700</c:v>
                </c:pt>
                <c:pt idx="836">
                  <c:v>117600</c:v>
                </c:pt>
                <c:pt idx="837">
                  <c:v>111400</c:v>
                </c:pt>
                <c:pt idx="838">
                  <c:v>125500</c:v>
                </c:pt>
                <c:pt idx="839">
                  <c:v>130000</c:v>
                </c:pt>
                <c:pt idx="840">
                  <c:v>96700</c:v>
                </c:pt>
                <c:pt idx="841">
                  <c:v>88200</c:v>
                </c:pt>
                <c:pt idx="842">
                  <c:v>253800</c:v>
                </c:pt>
                <c:pt idx="843">
                  <c:v>168100</c:v>
                </c:pt>
                <c:pt idx="844">
                  <c:v>131000</c:v>
                </c:pt>
                <c:pt idx="845">
                  <c:v>87700</c:v>
                </c:pt>
                <c:pt idx="846">
                  <c:v>135800</c:v>
                </c:pt>
                <c:pt idx="847">
                  <c:v>192500</c:v>
                </c:pt>
                <c:pt idx="848">
                  <c:v>70100</c:v>
                </c:pt>
                <c:pt idx="849">
                  <c:v>82300</c:v>
                </c:pt>
                <c:pt idx="850">
                  <c:v>81300</c:v>
                </c:pt>
                <c:pt idx="851">
                  <c:v>95100</c:v>
                </c:pt>
                <c:pt idx="852">
                  <c:v>168100</c:v>
                </c:pt>
                <c:pt idx="853">
                  <c:v>99300</c:v>
                </c:pt>
                <c:pt idx="854">
                  <c:v>124200</c:v>
                </c:pt>
                <c:pt idx="855">
                  <c:v>99700</c:v>
                </c:pt>
                <c:pt idx="856">
                  <c:v>301600</c:v>
                </c:pt>
                <c:pt idx="857">
                  <c:v>172800</c:v>
                </c:pt>
                <c:pt idx="858">
                  <c:v>115200</c:v>
                </c:pt>
                <c:pt idx="859">
                  <c:v>84000</c:v>
                </c:pt>
                <c:pt idx="860">
                  <c:v>91100</c:v>
                </c:pt>
                <c:pt idx="861">
                  <c:v>196100</c:v>
                </c:pt>
                <c:pt idx="862">
                  <c:v>244700</c:v>
                </c:pt>
                <c:pt idx="863">
                  <c:v>77600</c:v>
                </c:pt>
                <c:pt idx="864">
                  <c:v>127400</c:v>
                </c:pt>
                <c:pt idx="865">
                  <c:v>291200</c:v>
                </c:pt>
                <c:pt idx="866">
                  <c:v>151500</c:v>
                </c:pt>
                <c:pt idx="867">
                  <c:v>131900</c:v>
                </c:pt>
                <c:pt idx="868">
                  <c:v>181200</c:v>
                </c:pt>
                <c:pt idx="869">
                  <c:v>112500</c:v>
                </c:pt>
                <c:pt idx="870">
                  <c:v>83000</c:v>
                </c:pt>
                <c:pt idx="871">
                  <c:v>213100</c:v>
                </c:pt>
                <c:pt idx="872">
                  <c:v>128100</c:v>
                </c:pt>
                <c:pt idx="873">
                  <c:v>479800</c:v>
                </c:pt>
                <c:pt idx="874">
                  <c:v>135600</c:v>
                </c:pt>
                <c:pt idx="875">
                  <c:v>90700</c:v>
                </c:pt>
                <c:pt idx="876">
                  <c:v>229800</c:v>
                </c:pt>
                <c:pt idx="877">
                  <c:v>114400</c:v>
                </c:pt>
                <c:pt idx="878">
                  <c:v>80700</c:v>
                </c:pt>
                <c:pt idx="879">
                  <c:v>95900</c:v>
                </c:pt>
                <c:pt idx="880">
                  <c:v>114100</c:v>
                </c:pt>
                <c:pt idx="881">
                  <c:v>68400</c:v>
                </c:pt>
                <c:pt idx="882">
                  <c:v>50400</c:v>
                </c:pt>
                <c:pt idx="883">
                  <c:v>106800</c:v>
                </c:pt>
                <c:pt idx="884">
                  <c:v>348400</c:v>
                </c:pt>
                <c:pt idx="885">
                  <c:v>134100</c:v>
                </c:pt>
                <c:pt idx="886">
                  <c:v>208200</c:v>
                </c:pt>
                <c:pt idx="887">
                  <c:v>197500</c:v>
                </c:pt>
                <c:pt idx="888">
                  <c:v>228900</c:v>
                </c:pt>
                <c:pt idx="889">
                  <c:v>400700</c:v>
                </c:pt>
                <c:pt idx="890">
                  <c:v>277000</c:v>
                </c:pt>
                <c:pt idx="891">
                  <c:v>400900</c:v>
                </c:pt>
                <c:pt idx="892">
                  <c:v>315700</c:v>
                </c:pt>
                <c:pt idx="893">
                  <c:v>101200</c:v>
                </c:pt>
                <c:pt idx="894">
                  <c:v>110200</c:v>
                </c:pt>
                <c:pt idx="895">
                  <c:v>204400</c:v>
                </c:pt>
                <c:pt idx="896">
                  <c:v>201000</c:v>
                </c:pt>
                <c:pt idx="897">
                  <c:v>142800</c:v>
                </c:pt>
                <c:pt idx="898">
                  <c:v>247000</c:v>
                </c:pt>
                <c:pt idx="899">
                  <c:v>333500</c:v>
                </c:pt>
                <c:pt idx="900">
                  <c:v>253800</c:v>
                </c:pt>
                <c:pt idx="901">
                  <c:v>200600</c:v>
                </c:pt>
                <c:pt idx="902">
                  <c:v>147800</c:v>
                </c:pt>
                <c:pt idx="903">
                  <c:v>183100</c:v>
                </c:pt>
                <c:pt idx="904">
                  <c:v>199800</c:v>
                </c:pt>
                <c:pt idx="905">
                  <c:v>191000</c:v>
                </c:pt>
                <c:pt idx="906">
                  <c:v>265300</c:v>
                </c:pt>
                <c:pt idx="907">
                  <c:v>367000</c:v>
                </c:pt>
                <c:pt idx="908">
                  <c:v>425100</c:v>
                </c:pt>
                <c:pt idx="909">
                  <c:v>468500</c:v>
                </c:pt>
                <c:pt idx="910">
                  <c:v>793300</c:v>
                </c:pt>
                <c:pt idx="911">
                  <c:v>729700</c:v>
                </c:pt>
                <c:pt idx="912">
                  <c:v>843200</c:v>
                </c:pt>
                <c:pt idx="913">
                  <c:v>694400</c:v>
                </c:pt>
                <c:pt idx="914">
                  <c:v>767900</c:v>
                </c:pt>
                <c:pt idx="915">
                  <c:v>703600</c:v>
                </c:pt>
                <c:pt idx="916">
                  <c:v>986500</c:v>
                </c:pt>
                <c:pt idx="917">
                  <c:v>1051300</c:v>
                </c:pt>
                <c:pt idx="918">
                  <c:v>794600</c:v>
                </c:pt>
                <c:pt idx="919">
                  <c:v>441300</c:v>
                </c:pt>
                <c:pt idx="920">
                  <c:v>649800</c:v>
                </c:pt>
                <c:pt idx="921">
                  <c:v>636000</c:v>
                </c:pt>
                <c:pt idx="922">
                  <c:v>699900</c:v>
                </c:pt>
                <c:pt idx="923">
                  <c:v>564000</c:v>
                </c:pt>
                <c:pt idx="924">
                  <c:v>414800</c:v>
                </c:pt>
                <c:pt idx="925">
                  <c:v>310200</c:v>
                </c:pt>
                <c:pt idx="926">
                  <c:v>287400</c:v>
                </c:pt>
                <c:pt idx="927">
                  <c:v>209900</c:v>
                </c:pt>
                <c:pt idx="928">
                  <c:v>300800</c:v>
                </c:pt>
                <c:pt idx="929">
                  <c:v>256100</c:v>
                </c:pt>
                <c:pt idx="930">
                  <c:v>314700</c:v>
                </c:pt>
                <c:pt idx="931">
                  <c:v>353100</c:v>
                </c:pt>
                <c:pt idx="932">
                  <c:v>368600</c:v>
                </c:pt>
                <c:pt idx="933">
                  <c:v>215400</c:v>
                </c:pt>
                <c:pt idx="934">
                  <c:v>278300</c:v>
                </c:pt>
                <c:pt idx="935">
                  <c:v>193800</c:v>
                </c:pt>
                <c:pt idx="936">
                  <c:v>312100</c:v>
                </c:pt>
                <c:pt idx="937">
                  <c:v>988500</c:v>
                </c:pt>
                <c:pt idx="938">
                  <c:v>651900</c:v>
                </c:pt>
                <c:pt idx="939">
                  <c:v>1060500</c:v>
                </c:pt>
                <c:pt idx="940">
                  <c:v>673400</c:v>
                </c:pt>
                <c:pt idx="941">
                  <c:v>750100</c:v>
                </c:pt>
                <c:pt idx="942">
                  <c:v>486600</c:v>
                </c:pt>
                <c:pt idx="943">
                  <c:v>507900</c:v>
                </c:pt>
                <c:pt idx="944">
                  <c:v>517000</c:v>
                </c:pt>
                <c:pt idx="945">
                  <c:v>1154700</c:v>
                </c:pt>
                <c:pt idx="946">
                  <c:v>449100</c:v>
                </c:pt>
                <c:pt idx="947">
                  <c:v>223000</c:v>
                </c:pt>
                <c:pt idx="948">
                  <c:v>207700</c:v>
                </c:pt>
                <c:pt idx="949">
                  <c:v>268000</c:v>
                </c:pt>
                <c:pt idx="950">
                  <c:v>185700</c:v>
                </c:pt>
                <c:pt idx="951">
                  <c:v>234800</c:v>
                </c:pt>
                <c:pt idx="952">
                  <c:v>143800</c:v>
                </c:pt>
                <c:pt idx="953">
                  <c:v>96900</c:v>
                </c:pt>
                <c:pt idx="954">
                  <c:v>187800</c:v>
                </c:pt>
                <c:pt idx="955">
                  <c:v>192100</c:v>
                </c:pt>
                <c:pt idx="956">
                  <c:v>305200</c:v>
                </c:pt>
                <c:pt idx="957">
                  <c:v>202000</c:v>
                </c:pt>
                <c:pt idx="958">
                  <c:v>134100</c:v>
                </c:pt>
                <c:pt idx="959">
                  <c:v>246700</c:v>
                </c:pt>
                <c:pt idx="960">
                  <c:v>207800</c:v>
                </c:pt>
                <c:pt idx="961">
                  <c:v>151300</c:v>
                </c:pt>
                <c:pt idx="962">
                  <c:v>155800</c:v>
                </c:pt>
                <c:pt idx="963">
                  <c:v>267500</c:v>
                </c:pt>
                <c:pt idx="964">
                  <c:v>338400</c:v>
                </c:pt>
                <c:pt idx="965">
                  <c:v>157900</c:v>
                </c:pt>
                <c:pt idx="966">
                  <c:v>200200</c:v>
                </c:pt>
                <c:pt idx="967">
                  <c:v>82200</c:v>
                </c:pt>
                <c:pt idx="968">
                  <c:v>118500</c:v>
                </c:pt>
                <c:pt idx="969">
                  <c:v>111300</c:v>
                </c:pt>
                <c:pt idx="970">
                  <c:v>120400</c:v>
                </c:pt>
                <c:pt idx="971">
                  <c:v>126800</c:v>
                </c:pt>
                <c:pt idx="972">
                  <c:v>118400</c:v>
                </c:pt>
                <c:pt idx="973">
                  <c:v>226100</c:v>
                </c:pt>
                <c:pt idx="974">
                  <c:v>211900</c:v>
                </c:pt>
                <c:pt idx="975">
                  <c:v>154500</c:v>
                </c:pt>
                <c:pt idx="976">
                  <c:v>156800</c:v>
                </c:pt>
                <c:pt idx="977">
                  <c:v>180200</c:v>
                </c:pt>
                <c:pt idx="978">
                  <c:v>219700</c:v>
                </c:pt>
                <c:pt idx="979">
                  <c:v>153300</c:v>
                </c:pt>
                <c:pt idx="980">
                  <c:v>162200</c:v>
                </c:pt>
                <c:pt idx="981">
                  <c:v>359900</c:v>
                </c:pt>
                <c:pt idx="982">
                  <c:v>121900</c:v>
                </c:pt>
                <c:pt idx="983">
                  <c:v>198700</c:v>
                </c:pt>
                <c:pt idx="984">
                  <c:v>120500</c:v>
                </c:pt>
                <c:pt idx="985">
                  <c:v>130100</c:v>
                </c:pt>
                <c:pt idx="986">
                  <c:v>153200</c:v>
                </c:pt>
                <c:pt idx="987">
                  <c:v>287800</c:v>
                </c:pt>
                <c:pt idx="988">
                  <c:v>152000</c:v>
                </c:pt>
                <c:pt idx="989">
                  <c:v>329300</c:v>
                </c:pt>
                <c:pt idx="990">
                  <c:v>313400</c:v>
                </c:pt>
                <c:pt idx="991">
                  <c:v>139500</c:v>
                </c:pt>
                <c:pt idx="992">
                  <c:v>149200</c:v>
                </c:pt>
                <c:pt idx="993">
                  <c:v>154800</c:v>
                </c:pt>
                <c:pt idx="994">
                  <c:v>132000</c:v>
                </c:pt>
                <c:pt idx="995">
                  <c:v>226300</c:v>
                </c:pt>
                <c:pt idx="996">
                  <c:v>124100</c:v>
                </c:pt>
                <c:pt idx="997">
                  <c:v>71100</c:v>
                </c:pt>
                <c:pt idx="998">
                  <c:v>130000</c:v>
                </c:pt>
                <c:pt idx="999">
                  <c:v>100500</c:v>
                </c:pt>
                <c:pt idx="1000">
                  <c:v>129700</c:v>
                </c:pt>
                <c:pt idx="1001">
                  <c:v>313200</c:v>
                </c:pt>
                <c:pt idx="1002">
                  <c:v>86400</c:v>
                </c:pt>
                <c:pt idx="1003">
                  <c:v>222300</c:v>
                </c:pt>
                <c:pt idx="1004">
                  <c:v>151900</c:v>
                </c:pt>
                <c:pt idx="1005">
                  <c:v>114300</c:v>
                </c:pt>
                <c:pt idx="1006">
                  <c:v>121700</c:v>
                </c:pt>
                <c:pt idx="1007">
                  <c:v>125000</c:v>
                </c:pt>
                <c:pt idx="1008">
                  <c:v>117400</c:v>
                </c:pt>
                <c:pt idx="1009">
                  <c:v>106500</c:v>
                </c:pt>
                <c:pt idx="1010">
                  <c:v>287800</c:v>
                </c:pt>
                <c:pt idx="1011">
                  <c:v>254300</c:v>
                </c:pt>
                <c:pt idx="1012">
                  <c:v>218100</c:v>
                </c:pt>
                <c:pt idx="1013">
                  <c:v>230600</c:v>
                </c:pt>
                <c:pt idx="1014">
                  <c:v>284300</c:v>
                </c:pt>
                <c:pt idx="1015">
                  <c:v>372500</c:v>
                </c:pt>
                <c:pt idx="1016">
                  <c:v>1566500</c:v>
                </c:pt>
                <c:pt idx="1017">
                  <c:v>669800</c:v>
                </c:pt>
                <c:pt idx="1018">
                  <c:v>266200</c:v>
                </c:pt>
                <c:pt idx="1019">
                  <c:v>181000</c:v>
                </c:pt>
                <c:pt idx="1020">
                  <c:v>203900</c:v>
                </c:pt>
                <c:pt idx="1021">
                  <c:v>207500</c:v>
                </c:pt>
                <c:pt idx="1022">
                  <c:v>244500</c:v>
                </c:pt>
                <c:pt idx="1023">
                  <c:v>242900</c:v>
                </c:pt>
                <c:pt idx="1024">
                  <c:v>66500</c:v>
                </c:pt>
                <c:pt idx="1025">
                  <c:v>157600</c:v>
                </c:pt>
                <c:pt idx="1026">
                  <c:v>155000</c:v>
                </c:pt>
                <c:pt idx="1027">
                  <c:v>174200</c:v>
                </c:pt>
                <c:pt idx="1028">
                  <c:v>198100</c:v>
                </c:pt>
                <c:pt idx="1029">
                  <c:v>82300</c:v>
                </c:pt>
                <c:pt idx="1030">
                  <c:v>124700</c:v>
                </c:pt>
                <c:pt idx="1031">
                  <c:v>134900</c:v>
                </c:pt>
                <c:pt idx="1032">
                  <c:v>234100</c:v>
                </c:pt>
                <c:pt idx="1033">
                  <c:v>262100</c:v>
                </c:pt>
                <c:pt idx="1034">
                  <c:v>503400</c:v>
                </c:pt>
                <c:pt idx="1035">
                  <c:v>111000</c:v>
                </c:pt>
                <c:pt idx="1036">
                  <c:v>208100</c:v>
                </c:pt>
                <c:pt idx="1037">
                  <c:v>165900</c:v>
                </c:pt>
                <c:pt idx="1038">
                  <c:v>149800</c:v>
                </c:pt>
                <c:pt idx="1039">
                  <c:v>56300</c:v>
                </c:pt>
                <c:pt idx="1040">
                  <c:v>82500</c:v>
                </c:pt>
                <c:pt idx="1041">
                  <c:v>71600</c:v>
                </c:pt>
                <c:pt idx="1042">
                  <c:v>146800</c:v>
                </c:pt>
                <c:pt idx="1043">
                  <c:v>177100</c:v>
                </c:pt>
                <c:pt idx="1044">
                  <c:v>277800</c:v>
                </c:pt>
                <c:pt idx="1045">
                  <c:v>83600</c:v>
                </c:pt>
                <c:pt idx="1046">
                  <c:v>131900</c:v>
                </c:pt>
                <c:pt idx="1047">
                  <c:v>502400</c:v>
                </c:pt>
                <c:pt idx="1048">
                  <c:v>360800</c:v>
                </c:pt>
                <c:pt idx="1049">
                  <c:v>384800</c:v>
                </c:pt>
                <c:pt idx="1050">
                  <c:v>122300</c:v>
                </c:pt>
                <c:pt idx="1051">
                  <c:v>221200</c:v>
                </c:pt>
                <c:pt idx="1052">
                  <c:v>698200</c:v>
                </c:pt>
                <c:pt idx="1053">
                  <c:v>342800</c:v>
                </c:pt>
                <c:pt idx="1054">
                  <c:v>268900</c:v>
                </c:pt>
                <c:pt idx="1055">
                  <c:v>352200</c:v>
                </c:pt>
                <c:pt idx="1056">
                  <c:v>221300</c:v>
                </c:pt>
                <c:pt idx="1057">
                  <c:v>195200</c:v>
                </c:pt>
                <c:pt idx="1058">
                  <c:v>361400</c:v>
                </c:pt>
                <c:pt idx="1059">
                  <c:v>414900</c:v>
                </c:pt>
                <c:pt idx="1060">
                  <c:v>220500</c:v>
                </c:pt>
                <c:pt idx="1061">
                  <c:v>305100</c:v>
                </c:pt>
                <c:pt idx="1062">
                  <c:v>111300</c:v>
                </c:pt>
                <c:pt idx="1063">
                  <c:v>160800</c:v>
                </c:pt>
                <c:pt idx="1064">
                  <c:v>106500</c:v>
                </c:pt>
                <c:pt idx="1065">
                  <c:v>72800</c:v>
                </c:pt>
                <c:pt idx="1066">
                  <c:v>110600</c:v>
                </c:pt>
                <c:pt idx="1067">
                  <c:v>243800</c:v>
                </c:pt>
                <c:pt idx="1068">
                  <c:v>194600</c:v>
                </c:pt>
                <c:pt idx="1069">
                  <c:v>287100</c:v>
                </c:pt>
                <c:pt idx="1070">
                  <c:v>242700</c:v>
                </c:pt>
                <c:pt idx="1071">
                  <c:v>352500</c:v>
                </c:pt>
                <c:pt idx="1072">
                  <c:v>411000</c:v>
                </c:pt>
                <c:pt idx="1073">
                  <c:v>688100</c:v>
                </c:pt>
                <c:pt idx="1074">
                  <c:v>366400</c:v>
                </c:pt>
                <c:pt idx="1075">
                  <c:v>274900</c:v>
                </c:pt>
                <c:pt idx="1076">
                  <c:v>305100</c:v>
                </c:pt>
                <c:pt idx="1077">
                  <c:v>234400</c:v>
                </c:pt>
                <c:pt idx="1078">
                  <c:v>272800</c:v>
                </c:pt>
                <c:pt idx="1079">
                  <c:v>158400</c:v>
                </c:pt>
                <c:pt idx="1080">
                  <c:v>255400</c:v>
                </c:pt>
                <c:pt idx="1081">
                  <c:v>143500</c:v>
                </c:pt>
                <c:pt idx="1082">
                  <c:v>115900</c:v>
                </c:pt>
                <c:pt idx="1083">
                  <c:v>425400</c:v>
                </c:pt>
                <c:pt idx="1084">
                  <c:v>150100</c:v>
                </c:pt>
                <c:pt idx="1085">
                  <c:v>180600</c:v>
                </c:pt>
                <c:pt idx="1086">
                  <c:v>136700</c:v>
                </c:pt>
                <c:pt idx="1087">
                  <c:v>127400</c:v>
                </c:pt>
                <c:pt idx="1088">
                  <c:v>125800</c:v>
                </c:pt>
                <c:pt idx="1089">
                  <c:v>133000</c:v>
                </c:pt>
                <c:pt idx="1090">
                  <c:v>230000</c:v>
                </c:pt>
                <c:pt idx="1091">
                  <c:v>188700</c:v>
                </c:pt>
                <c:pt idx="1092">
                  <c:v>190100</c:v>
                </c:pt>
                <c:pt idx="1093">
                  <c:v>265300</c:v>
                </c:pt>
                <c:pt idx="1094">
                  <c:v>169000</c:v>
                </c:pt>
                <c:pt idx="1095">
                  <c:v>154800</c:v>
                </c:pt>
                <c:pt idx="1096">
                  <c:v>98800</c:v>
                </c:pt>
                <c:pt idx="1097">
                  <c:v>123700</c:v>
                </c:pt>
                <c:pt idx="1098">
                  <c:v>93400</c:v>
                </c:pt>
                <c:pt idx="1099">
                  <c:v>154200</c:v>
                </c:pt>
                <c:pt idx="1100">
                  <c:v>227400</c:v>
                </c:pt>
                <c:pt idx="1101">
                  <c:v>267500</c:v>
                </c:pt>
                <c:pt idx="1102">
                  <c:v>233000</c:v>
                </c:pt>
                <c:pt idx="1103">
                  <c:v>102100</c:v>
                </c:pt>
                <c:pt idx="1104">
                  <c:v>233000</c:v>
                </c:pt>
                <c:pt idx="1105">
                  <c:v>255100</c:v>
                </c:pt>
                <c:pt idx="1106">
                  <c:v>204400</c:v>
                </c:pt>
                <c:pt idx="1107">
                  <c:v>154600</c:v>
                </c:pt>
                <c:pt idx="1108">
                  <c:v>223400</c:v>
                </c:pt>
                <c:pt idx="1109">
                  <c:v>294700</c:v>
                </c:pt>
                <c:pt idx="1110">
                  <c:v>270800</c:v>
                </c:pt>
                <c:pt idx="1111">
                  <c:v>255100</c:v>
                </c:pt>
                <c:pt idx="1112">
                  <c:v>217700</c:v>
                </c:pt>
                <c:pt idx="1113">
                  <c:v>240000</c:v>
                </c:pt>
                <c:pt idx="1114">
                  <c:v>143800</c:v>
                </c:pt>
                <c:pt idx="1115">
                  <c:v>175600</c:v>
                </c:pt>
                <c:pt idx="1116">
                  <c:v>147100</c:v>
                </c:pt>
                <c:pt idx="1117">
                  <c:v>194200</c:v>
                </c:pt>
                <c:pt idx="1118">
                  <c:v>227600</c:v>
                </c:pt>
                <c:pt idx="1119">
                  <c:v>145900</c:v>
                </c:pt>
                <c:pt idx="1120">
                  <c:v>188600</c:v>
                </c:pt>
                <c:pt idx="1121">
                  <c:v>139700</c:v>
                </c:pt>
                <c:pt idx="1122">
                  <c:v>156200</c:v>
                </c:pt>
                <c:pt idx="1123">
                  <c:v>163100</c:v>
                </c:pt>
                <c:pt idx="1124">
                  <c:v>318100</c:v>
                </c:pt>
                <c:pt idx="1125">
                  <c:v>114400</c:v>
                </c:pt>
                <c:pt idx="1126">
                  <c:v>404900</c:v>
                </c:pt>
                <c:pt idx="1127">
                  <c:v>186000</c:v>
                </c:pt>
                <c:pt idx="1128">
                  <c:v>106600</c:v>
                </c:pt>
                <c:pt idx="1129">
                  <c:v>237000</c:v>
                </c:pt>
                <c:pt idx="1130">
                  <c:v>349500</c:v>
                </c:pt>
                <c:pt idx="1131">
                  <c:v>174600</c:v>
                </c:pt>
                <c:pt idx="1132">
                  <c:v>113300</c:v>
                </c:pt>
                <c:pt idx="1133">
                  <c:v>157500</c:v>
                </c:pt>
                <c:pt idx="1134">
                  <c:v>381800</c:v>
                </c:pt>
                <c:pt idx="1135">
                  <c:v>124500</c:v>
                </c:pt>
                <c:pt idx="1136">
                  <c:v>168000</c:v>
                </c:pt>
                <c:pt idx="1137">
                  <c:v>175800</c:v>
                </c:pt>
                <c:pt idx="1138">
                  <c:v>231900</c:v>
                </c:pt>
                <c:pt idx="1139">
                  <c:v>180000</c:v>
                </c:pt>
                <c:pt idx="1140">
                  <c:v>184500</c:v>
                </c:pt>
                <c:pt idx="1141">
                  <c:v>143600</c:v>
                </c:pt>
                <c:pt idx="1142">
                  <c:v>145200</c:v>
                </c:pt>
                <c:pt idx="1143">
                  <c:v>226800</c:v>
                </c:pt>
                <c:pt idx="1144">
                  <c:v>184100</c:v>
                </c:pt>
                <c:pt idx="1145">
                  <c:v>59900</c:v>
                </c:pt>
                <c:pt idx="1146">
                  <c:v>107300</c:v>
                </c:pt>
                <c:pt idx="1147">
                  <c:v>134600</c:v>
                </c:pt>
                <c:pt idx="1148">
                  <c:v>196900</c:v>
                </c:pt>
                <c:pt idx="1149">
                  <c:v>84600</c:v>
                </c:pt>
                <c:pt idx="1150">
                  <c:v>627100</c:v>
                </c:pt>
                <c:pt idx="1151">
                  <c:v>170700</c:v>
                </c:pt>
                <c:pt idx="1152">
                  <c:v>540800</c:v>
                </c:pt>
                <c:pt idx="1153">
                  <c:v>252900</c:v>
                </c:pt>
                <c:pt idx="1154">
                  <c:v>148000</c:v>
                </c:pt>
                <c:pt idx="1155">
                  <c:v>205800</c:v>
                </c:pt>
                <c:pt idx="1156">
                  <c:v>114900</c:v>
                </c:pt>
                <c:pt idx="1157">
                  <c:v>358100</c:v>
                </c:pt>
                <c:pt idx="1158">
                  <c:v>228500</c:v>
                </c:pt>
                <c:pt idx="1159">
                  <c:v>170300</c:v>
                </c:pt>
                <c:pt idx="1160">
                  <c:v>135900</c:v>
                </c:pt>
                <c:pt idx="1161">
                  <c:v>262900</c:v>
                </c:pt>
                <c:pt idx="1162">
                  <c:v>136100</c:v>
                </c:pt>
                <c:pt idx="1163">
                  <c:v>129300</c:v>
                </c:pt>
                <c:pt idx="1164">
                  <c:v>450500</c:v>
                </c:pt>
                <c:pt idx="1165">
                  <c:v>464200</c:v>
                </c:pt>
                <c:pt idx="1166">
                  <c:v>521700</c:v>
                </c:pt>
                <c:pt idx="1167">
                  <c:v>274500</c:v>
                </c:pt>
                <c:pt idx="1168">
                  <c:v>143600</c:v>
                </c:pt>
                <c:pt idx="1169">
                  <c:v>147900</c:v>
                </c:pt>
                <c:pt idx="1170">
                  <c:v>153900</c:v>
                </c:pt>
                <c:pt idx="1171">
                  <c:v>232700</c:v>
                </c:pt>
                <c:pt idx="1172">
                  <c:v>162800</c:v>
                </c:pt>
                <c:pt idx="1173">
                  <c:v>133900</c:v>
                </c:pt>
                <c:pt idx="1174">
                  <c:v>116800</c:v>
                </c:pt>
                <c:pt idx="1175">
                  <c:v>95600</c:v>
                </c:pt>
                <c:pt idx="1176">
                  <c:v>100000</c:v>
                </c:pt>
                <c:pt idx="1177">
                  <c:v>188900</c:v>
                </c:pt>
                <c:pt idx="1178">
                  <c:v>282500</c:v>
                </c:pt>
                <c:pt idx="1179">
                  <c:v>146700</c:v>
                </c:pt>
                <c:pt idx="1180">
                  <c:v>310100</c:v>
                </c:pt>
                <c:pt idx="1181">
                  <c:v>203800</c:v>
                </c:pt>
                <c:pt idx="1182">
                  <c:v>246500</c:v>
                </c:pt>
                <c:pt idx="1183">
                  <c:v>98300</c:v>
                </c:pt>
                <c:pt idx="1184">
                  <c:v>127600</c:v>
                </c:pt>
                <c:pt idx="1185">
                  <c:v>94900</c:v>
                </c:pt>
                <c:pt idx="1186">
                  <c:v>141200</c:v>
                </c:pt>
                <c:pt idx="1187">
                  <c:v>141600</c:v>
                </c:pt>
                <c:pt idx="1188">
                  <c:v>236700</c:v>
                </c:pt>
                <c:pt idx="1189">
                  <c:v>176900</c:v>
                </c:pt>
                <c:pt idx="1190">
                  <c:v>101800</c:v>
                </c:pt>
                <c:pt idx="1191">
                  <c:v>164200</c:v>
                </c:pt>
                <c:pt idx="1192">
                  <c:v>94500</c:v>
                </c:pt>
                <c:pt idx="1193">
                  <c:v>136300</c:v>
                </c:pt>
                <c:pt idx="1194">
                  <c:v>169200</c:v>
                </c:pt>
                <c:pt idx="1195">
                  <c:v>125900</c:v>
                </c:pt>
                <c:pt idx="1196">
                  <c:v>163600</c:v>
                </c:pt>
                <c:pt idx="1197">
                  <c:v>79100</c:v>
                </c:pt>
                <c:pt idx="1198">
                  <c:v>128400</c:v>
                </c:pt>
                <c:pt idx="1199">
                  <c:v>120400</c:v>
                </c:pt>
                <c:pt idx="1200">
                  <c:v>120600</c:v>
                </c:pt>
                <c:pt idx="1201">
                  <c:v>142200</c:v>
                </c:pt>
                <c:pt idx="1202">
                  <c:v>249200</c:v>
                </c:pt>
                <c:pt idx="1203">
                  <c:v>169900</c:v>
                </c:pt>
                <c:pt idx="1204">
                  <c:v>182100</c:v>
                </c:pt>
                <c:pt idx="1205">
                  <c:v>108500</c:v>
                </c:pt>
                <c:pt idx="1206">
                  <c:v>110900</c:v>
                </c:pt>
                <c:pt idx="1207">
                  <c:v>118000</c:v>
                </c:pt>
                <c:pt idx="1208">
                  <c:v>281000</c:v>
                </c:pt>
                <c:pt idx="1209">
                  <c:v>217100</c:v>
                </c:pt>
                <c:pt idx="1210">
                  <c:v>389700</c:v>
                </c:pt>
                <c:pt idx="1211">
                  <c:v>303700</c:v>
                </c:pt>
                <c:pt idx="1212">
                  <c:v>213000</c:v>
                </c:pt>
                <c:pt idx="1213">
                  <c:v>216300</c:v>
                </c:pt>
                <c:pt idx="1214">
                  <c:v>229400</c:v>
                </c:pt>
                <c:pt idx="1215">
                  <c:v>202700</c:v>
                </c:pt>
                <c:pt idx="1216">
                  <c:v>186000</c:v>
                </c:pt>
                <c:pt idx="1217">
                  <c:v>213000</c:v>
                </c:pt>
                <c:pt idx="1218">
                  <c:v>384500</c:v>
                </c:pt>
                <c:pt idx="1219">
                  <c:v>232100</c:v>
                </c:pt>
                <c:pt idx="1220">
                  <c:v>183900</c:v>
                </c:pt>
                <c:pt idx="1221">
                  <c:v>240500</c:v>
                </c:pt>
                <c:pt idx="1222">
                  <c:v>94500</c:v>
                </c:pt>
                <c:pt idx="1223">
                  <c:v>101900</c:v>
                </c:pt>
                <c:pt idx="1224">
                  <c:v>176500</c:v>
                </c:pt>
                <c:pt idx="1225">
                  <c:v>216600</c:v>
                </c:pt>
                <c:pt idx="1226">
                  <c:v>192400</c:v>
                </c:pt>
                <c:pt idx="1227">
                  <c:v>194600</c:v>
                </c:pt>
                <c:pt idx="1228">
                  <c:v>136000</c:v>
                </c:pt>
                <c:pt idx="1229">
                  <c:v>244100</c:v>
                </c:pt>
                <c:pt idx="1230">
                  <c:v>198900</c:v>
                </c:pt>
                <c:pt idx="1231">
                  <c:v>102600</c:v>
                </c:pt>
                <c:pt idx="1232">
                  <c:v>81500</c:v>
                </c:pt>
                <c:pt idx="1233">
                  <c:v>87200</c:v>
                </c:pt>
                <c:pt idx="1234">
                  <c:v>160100</c:v>
                </c:pt>
                <c:pt idx="1235">
                  <c:v>65100</c:v>
                </c:pt>
                <c:pt idx="1236">
                  <c:v>149000</c:v>
                </c:pt>
                <c:pt idx="1237">
                  <c:v>199000</c:v>
                </c:pt>
                <c:pt idx="1238">
                  <c:v>121100</c:v>
                </c:pt>
                <c:pt idx="1239">
                  <c:v>193100</c:v>
                </c:pt>
                <c:pt idx="1240">
                  <c:v>245900</c:v>
                </c:pt>
                <c:pt idx="1241">
                  <c:v>168700</c:v>
                </c:pt>
                <c:pt idx="1242">
                  <c:v>125100</c:v>
                </c:pt>
                <c:pt idx="1243">
                  <c:v>149500</c:v>
                </c:pt>
                <c:pt idx="1244">
                  <c:v>110200</c:v>
                </c:pt>
                <c:pt idx="1245">
                  <c:v>146000</c:v>
                </c:pt>
                <c:pt idx="1246">
                  <c:v>218900</c:v>
                </c:pt>
                <c:pt idx="1247">
                  <c:v>229000</c:v>
                </c:pt>
                <c:pt idx="1248">
                  <c:v>273100</c:v>
                </c:pt>
                <c:pt idx="1249">
                  <c:v>111100</c:v>
                </c:pt>
                <c:pt idx="1250">
                  <c:v>121700</c:v>
                </c:pt>
                <c:pt idx="1251">
                  <c:v>286600</c:v>
                </c:pt>
                <c:pt idx="1252">
                  <c:v>235700</c:v>
                </c:pt>
                <c:pt idx="1253">
                  <c:v>153400</c:v>
                </c:pt>
                <c:pt idx="1254">
                  <c:v>191600</c:v>
                </c:pt>
                <c:pt idx="1255">
                  <c:v>149700</c:v>
                </c:pt>
                <c:pt idx="1256">
                  <c:v>208700</c:v>
                </c:pt>
                <c:pt idx="1257">
                  <c:v>242400</c:v>
                </c:pt>
                <c:pt idx="1258">
                  <c:v>167500</c:v>
                </c:pt>
                <c:pt idx="1259">
                  <c:v>145400</c:v>
                </c:pt>
                <c:pt idx="1260">
                  <c:v>156100</c:v>
                </c:pt>
                <c:pt idx="1261">
                  <c:v>63800</c:v>
                </c:pt>
                <c:pt idx="1262">
                  <c:v>65100</c:v>
                </c:pt>
                <c:pt idx="1263">
                  <c:v>427200</c:v>
                </c:pt>
                <c:pt idx="1264">
                  <c:v>219900</c:v>
                </c:pt>
                <c:pt idx="1265">
                  <c:v>347900</c:v>
                </c:pt>
                <c:pt idx="1266">
                  <c:v>197800</c:v>
                </c:pt>
                <c:pt idx="1267">
                  <c:v>262800</c:v>
                </c:pt>
                <c:pt idx="1268">
                  <c:v>322400</c:v>
                </c:pt>
                <c:pt idx="1269">
                  <c:v>334200</c:v>
                </c:pt>
                <c:pt idx="1270">
                  <c:v>224400</c:v>
                </c:pt>
                <c:pt idx="1271">
                  <c:v>237000</c:v>
                </c:pt>
                <c:pt idx="1272">
                  <c:v>201300</c:v>
                </c:pt>
                <c:pt idx="1273">
                  <c:v>297200</c:v>
                </c:pt>
                <c:pt idx="1274">
                  <c:v>179300</c:v>
                </c:pt>
                <c:pt idx="1275">
                  <c:v>220100</c:v>
                </c:pt>
                <c:pt idx="1276">
                  <c:v>90200</c:v>
                </c:pt>
                <c:pt idx="1277">
                  <c:v>234400</c:v>
                </c:pt>
                <c:pt idx="1278">
                  <c:v>221400</c:v>
                </c:pt>
                <c:pt idx="1279">
                  <c:v>333500</c:v>
                </c:pt>
                <c:pt idx="1280">
                  <c:v>179000</c:v>
                </c:pt>
                <c:pt idx="1281">
                  <c:v>185000</c:v>
                </c:pt>
                <c:pt idx="1282">
                  <c:v>229500</c:v>
                </c:pt>
                <c:pt idx="1283">
                  <c:v>120200</c:v>
                </c:pt>
                <c:pt idx="1284">
                  <c:v>157500</c:v>
                </c:pt>
                <c:pt idx="1285">
                  <c:v>107800</c:v>
                </c:pt>
                <c:pt idx="1286">
                  <c:v>142400</c:v>
                </c:pt>
                <c:pt idx="1287">
                  <c:v>326700</c:v>
                </c:pt>
                <c:pt idx="1288">
                  <c:v>298200</c:v>
                </c:pt>
                <c:pt idx="1289">
                  <c:v>237400</c:v>
                </c:pt>
                <c:pt idx="1290">
                  <c:v>198500</c:v>
                </c:pt>
                <c:pt idx="1291">
                  <c:v>256100</c:v>
                </c:pt>
                <c:pt idx="1292">
                  <c:v>126200</c:v>
                </c:pt>
                <c:pt idx="1293">
                  <c:v>453800</c:v>
                </c:pt>
                <c:pt idx="1294">
                  <c:v>397600</c:v>
                </c:pt>
                <c:pt idx="1295">
                  <c:v>502000</c:v>
                </c:pt>
                <c:pt idx="1296">
                  <c:v>256300</c:v>
                </c:pt>
                <c:pt idx="1297">
                  <c:v>206100</c:v>
                </c:pt>
                <c:pt idx="1298">
                  <c:v>312200</c:v>
                </c:pt>
                <c:pt idx="1299">
                  <c:v>263300</c:v>
                </c:pt>
                <c:pt idx="1300">
                  <c:v>139000</c:v>
                </c:pt>
                <c:pt idx="1301">
                  <c:v>206900</c:v>
                </c:pt>
                <c:pt idx="1302">
                  <c:v>90700</c:v>
                </c:pt>
                <c:pt idx="1303">
                  <c:v>203000</c:v>
                </c:pt>
                <c:pt idx="1304">
                  <c:v>271700</c:v>
                </c:pt>
                <c:pt idx="1305">
                  <c:v>77100</c:v>
                </c:pt>
                <c:pt idx="1306">
                  <c:v>164600</c:v>
                </c:pt>
                <c:pt idx="1307">
                  <c:v>127400</c:v>
                </c:pt>
                <c:pt idx="1308">
                  <c:v>146000</c:v>
                </c:pt>
                <c:pt idx="1309">
                  <c:v>225900</c:v>
                </c:pt>
                <c:pt idx="1310">
                  <c:v>106200</c:v>
                </c:pt>
                <c:pt idx="1311">
                  <c:v>81800</c:v>
                </c:pt>
                <c:pt idx="1312">
                  <c:v>123500</c:v>
                </c:pt>
                <c:pt idx="1313">
                  <c:v>82200</c:v>
                </c:pt>
                <c:pt idx="1314">
                  <c:v>74600</c:v>
                </c:pt>
                <c:pt idx="1315">
                  <c:v>71900</c:v>
                </c:pt>
                <c:pt idx="1316">
                  <c:v>186600</c:v>
                </c:pt>
                <c:pt idx="1317">
                  <c:v>115200</c:v>
                </c:pt>
                <c:pt idx="1318">
                  <c:v>176300</c:v>
                </c:pt>
                <c:pt idx="1319">
                  <c:v>101600</c:v>
                </c:pt>
                <c:pt idx="1320">
                  <c:v>55400</c:v>
                </c:pt>
                <c:pt idx="1321">
                  <c:v>67600</c:v>
                </c:pt>
                <c:pt idx="1322">
                  <c:v>58600</c:v>
                </c:pt>
                <c:pt idx="1323">
                  <c:v>55500</c:v>
                </c:pt>
                <c:pt idx="1324">
                  <c:v>122000</c:v>
                </c:pt>
                <c:pt idx="1325">
                  <c:v>99200</c:v>
                </c:pt>
                <c:pt idx="1326">
                  <c:v>66100</c:v>
                </c:pt>
                <c:pt idx="1327">
                  <c:v>170700</c:v>
                </c:pt>
                <c:pt idx="1328">
                  <c:v>98400</c:v>
                </c:pt>
                <c:pt idx="1329">
                  <c:v>77800</c:v>
                </c:pt>
                <c:pt idx="1330">
                  <c:v>345100</c:v>
                </c:pt>
                <c:pt idx="1331">
                  <c:v>266400</c:v>
                </c:pt>
                <c:pt idx="1332">
                  <c:v>422000</c:v>
                </c:pt>
                <c:pt idx="1333">
                  <c:v>165400</c:v>
                </c:pt>
                <c:pt idx="1334">
                  <c:v>84400</c:v>
                </c:pt>
                <c:pt idx="1335">
                  <c:v>135700</c:v>
                </c:pt>
                <c:pt idx="1336">
                  <c:v>90300</c:v>
                </c:pt>
                <c:pt idx="1337">
                  <c:v>179200</c:v>
                </c:pt>
                <c:pt idx="1338">
                  <c:v>244400</c:v>
                </c:pt>
                <c:pt idx="1339">
                  <c:v>163700</c:v>
                </c:pt>
                <c:pt idx="1340">
                  <c:v>73500</c:v>
                </c:pt>
                <c:pt idx="1341">
                  <c:v>109100</c:v>
                </c:pt>
                <c:pt idx="1342">
                  <c:v>69800</c:v>
                </c:pt>
                <c:pt idx="1343">
                  <c:v>147300</c:v>
                </c:pt>
                <c:pt idx="1344">
                  <c:v>61100</c:v>
                </c:pt>
                <c:pt idx="1345">
                  <c:v>99100</c:v>
                </c:pt>
                <c:pt idx="1346">
                  <c:v>46900</c:v>
                </c:pt>
                <c:pt idx="1347">
                  <c:v>71800</c:v>
                </c:pt>
                <c:pt idx="1348">
                  <c:v>92600</c:v>
                </c:pt>
                <c:pt idx="1349">
                  <c:v>75800</c:v>
                </c:pt>
                <c:pt idx="1350">
                  <c:v>179000</c:v>
                </c:pt>
                <c:pt idx="1351">
                  <c:v>80400</c:v>
                </c:pt>
                <c:pt idx="1352">
                  <c:v>80100</c:v>
                </c:pt>
                <c:pt idx="1353">
                  <c:v>71600</c:v>
                </c:pt>
                <c:pt idx="1354">
                  <c:v>43100</c:v>
                </c:pt>
                <c:pt idx="1355">
                  <c:v>72300</c:v>
                </c:pt>
                <c:pt idx="1356">
                  <c:v>87400</c:v>
                </c:pt>
                <c:pt idx="1357">
                  <c:v>107900</c:v>
                </c:pt>
                <c:pt idx="1358">
                  <c:v>139100</c:v>
                </c:pt>
                <c:pt idx="1359">
                  <c:v>130200</c:v>
                </c:pt>
                <c:pt idx="1360">
                  <c:v>144100</c:v>
                </c:pt>
                <c:pt idx="1361">
                  <c:v>252900</c:v>
                </c:pt>
                <c:pt idx="1362">
                  <c:v>276100</c:v>
                </c:pt>
                <c:pt idx="1363">
                  <c:v>209500</c:v>
                </c:pt>
                <c:pt idx="1364">
                  <c:v>82400</c:v>
                </c:pt>
                <c:pt idx="1365">
                  <c:v>59100</c:v>
                </c:pt>
                <c:pt idx="1366">
                  <c:v>36700</c:v>
                </c:pt>
                <c:pt idx="1367">
                  <c:v>53000</c:v>
                </c:pt>
                <c:pt idx="1368">
                  <c:v>52400</c:v>
                </c:pt>
                <c:pt idx="1369">
                  <c:v>99300</c:v>
                </c:pt>
                <c:pt idx="1370">
                  <c:v>109200</c:v>
                </c:pt>
                <c:pt idx="1371">
                  <c:v>51000</c:v>
                </c:pt>
                <c:pt idx="1372">
                  <c:v>84600</c:v>
                </c:pt>
                <c:pt idx="1373">
                  <c:v>45500</c:v>
                </c:pt>
                <c:pt idx="1374">
                  <c:v>130400</c:v>
                </c:pt>
                <c:pt idx="1375">
                  <c:v>93100</c:v>
                </c:pt>
                <c:pt idx="1376">
                  <c:v>99500</c:v>
                </c:pt>
                <c:pt idx="1377">
                  <c:v>231700</c:v>
                </c:pt>
                <c:pt idx="1378">
                  <c:v>155600</c:v>
                </c:pt>
                <c:pt idx="1379">
                  <c:v>108300</c:v>
                </c:pt>
                <c:pt idx="1380">
                  <c:v>89200</c:v>
                </c:pt>
                <c:pt idx="1381">
                  <c:v>106400</c:v>
                </c:pt>
                <c:pt idx="1382">
                  <c:v>115600</c:v>
                </c:pt>
                <c:pt idx="1383">
                  <c:v>82100</c:v>
                </c:pt>
                <c:pt idx="1384">
                  <c:v>68200</c:v>
                </c:pt>
                <c:pt idx="1385">
                  <c:v>165400</c:v>
                </c:pt>
                <c:pt idx="1386">
                  <c:v>89700</c:v>
                </c:pt>
                <c:pt idx="1387">
                  <c:v>204600</c:v>
                </c:pt>
                <c:pt idx="1388">
                  <c:v>244700</c:v>
                </c:pt>
                <c:pt idx="1389">
                  <c:v>233000</c:v>
                </c:pt>
                <c:pt idx="1390">
                  <c:v>206500</c:v>
                </c:pt>
                <c:pt idx="1391">
                  <c:v>103900</c:v>
                </c:pt>
                <c:pt idx="1392">
                  <c:v>291000</c:v>
                </c:pt>
                <c:pt idx="1393">
                  <c:v>222000</c:v>
                </c:pt>
                <c:pt idx="1394">
                  <c:v>126000</c:v>
                </c:pt>
                <c:pt idx="1395">
                  <c:v>265800</c:v>
                </c:pt>
                <c:pt idx="1396">
                  <c:v>216100</c:v>
                </c:pt>
                <c:pt idx="1397">
                  <c:v>47400</c:v>
                </c:pt>
                <c:pt idx="1398">
                  <c:v>43000</c:v>
                </c:pt>
                <c:pt idx="1399">
                  <c:v>181400</c:v>
                </c:pt>
                <c:pt idx="1400">
                  <c:v>93100</c:v>
                </c:pt>
                <c:pt idx="1401">
                  <c:v>106000</c:v>
                </c:pt>
                <c:pt idx="1402">
                  <c:v>51200</c:v>
                </c:pt>
                <c:pt idx="1403">
                  <c:v>38000</c:v>
                </c:pt>
                <c:pt idx="1404">
                  <c:v>49500</c:v>
                </c:pt>
                <c:pt idx="1405">
                  <c:v>79800</c:v>
                </c:pt>
                <c:pt idx="1406">
                  <c:v>64400</c:v>
                </c:pt>
                <c:pt idx="1407">
                  <c:v>74400</c:v>
                </c:pt>
                <c:pt idx="1408">
                  <c:v>116500</c:v>
                </c:pt>
                <c:pt idx="1409">
                  <c:v>136500</c:v>
                </c:pt>
                <c:pt idx="1410">
                  <c:v>76200</c:v>
                </c:pt>
                <c:pt idx="1411">
                  <c:v>48800</c:v>
                </c:pt>
                <c:pt idx="1412">
                  <c:v>44000</c:v>
                </c:pt>
                <c:pt idx="1413">
                  <c:v>96000</c:v>
                </c:pt>
                <c:pt idx="1414">
                  <c:v>309000</c:v>
                </c:pt>
                <c:pt idx="1415">
                  <c:v>118000</c:v>
                </c:pt>
                <c:pt idx="1416">
                  <c:v>93200</c:v>
                </c:pt>
                <c:pt idx="1417">
                  <c:v>69500</c:v>
                </c:pt>
                <c:pt idx="1418">
                  <c:v>29800</c:v>
                </c:pt>
                <c:pt idx="1419">
                  <c:v>71800</c:v>
                </c:pt>
                <c:pt idx="1420">
                  <c:v>81500</c:v>
                </c:pt>
                <c:pt idx="1421">
                  <c:v>86800</c:v>
                </c:pt>
                <c:pt idx="1422">
                  <c:v>104500</c:v>
                </c:pt>
                <c:pt idx="1423">
                  <c:v>151000</c:v>
                </c:pt>
                <c:pt idx="1424">
                  <c:v>59400</c:v>
                </c:pt>
                <c:pt idx="1425">
                  <c:v>226800</c:v>
                </c:pt>
                <c:pt idx="1426">
                  <c:v>79200</c:v>
                </c:pt>
                <c:pt idx="1427">
                  <c:v>48800</c:v>
                </c:pt>
                <c:pt idx="1428">
                  <c:v>476400</c:v>
                </c:pt>
                <c:pt idx="1429">
                  <c:v>132200</c:v>
                </c:pt>
                <c:pt idx="1430">
                  <c:v>79400</c:v>
                </c:pt>
                <c:pt idx="1431">
                  <c:v>488400</c:v>
                </c:pt>
                <c:pt idx="1432">
                  <c:v>255500</c:v>
                </c:pt>
                <c:pt idx="1433">
                  <c:v>209400</c:v>
                </c:pt>
                <c:pt idx="1434">
                  <c:v>136600</c:v>
                </c:pt>
                <c:pt idx="1435">
                  <c:v>82600</c:v>
                </c:pt>
                <c:pt idx="1436">
                  <c:v>203900</c:v>
                </c:pt>
                <c:pt idx="1437">
                  <c:v>215500</c:v>
                </c:pt>
                <c:pt idx="1438">
                  <c:v>75300</c:v>
                </c:pt>
                <c:pt idx="1439">
                  <c:v>111700</c:v>
                </c:pt>
                <c:pt idx="1440">
                  <c:v>105600</c:v>
                </c:pt>
                <c:pt idx="1441">
                  <c:v>95400</c:v>
                </c:pt>
                <c:pt idx="1442">
                  <c:v>306900</c:v>
                </c:pt>
                <c:pt idx="1443">
                  <c:v>59900</c:v>
                </c:pt>
                <c:pt idx="1444">
                  <c:v>116100</c:v>
                </c:pt>
                <c:pt idx="1445">
                  <c:v>119800</c:v>
                </c:pt>
                <c:pt idx="1446">
                  <c:v>61000</c:v>
                </c:pt>
                <c:pt idx="1447">
                  <c:v>109500</c:v>
                </c:pt>
                <c:pt idx="1448">
                  <c:v>81700</c:v>
                </c:pt>
                <c:pt idx="1449">
                  <c:v>186600</c:v>
                </c:pt>
                <c:pt idx="1450">
                  <c:v>88800</c:v>
                </c:pt>
                <c:pt idx="1451">
                  <c:v>214200</c:v>
                </c:pt>
                <c:pt idx="1452">
                  <c:v>325400</c:v>
                </c:pt>
                <c:pt idx="1453">
                  <c:v>383100</c:v>
                </c:pt>
                <c:pt idx="1454">
                  <c:v>238300</c:v>
                </c:pt>
                <c:pt idx="1455">
                  <c:v>359300</c:v>
                </c:pt>
                <c:pt idx="1456">
                  <c:v>165000</c:v>
                </c:pt>
                <c:pt idx="1457">
                  <c:v>86800</c:v>
                </c:pt>
                <c:pt idx="1458">
                  <c:v>104900</c:v>
                </c:pt>
                <c:pt idx="1459">
                  <c:v>202400</c:v>
                </c:pt>
                <c:pt idx="1460">
                  <c:v>221000</c:v>
                </c:pt>
                <c:pt idx="1461">
                  <c:v>143700</c:v>
                </c:pt>
                <c:pt idx="1462">
                  <c:v>140000</c:v>
                </c:pt>
                <c:pt idx="1463">
                  <c:v>193900</c:v>
                </c:pt>
                <c:pt idx="1464">
                  <c:v>205700</c:v>
                </c:pt>
                <c:pt idx="1465">
                  <c:v>114900</c:v>
                </c:pt>
                <c:pt idx="1466">
                  <c:v>218200</c:v>
                </c:pt>
                <c:pt idx="1467">
                  <c:v>276400</c:v>
                </c:pt>
                <c:pt idx="1468">
                  <c:v>262900</c:v>
                </c:pt>
                <c:pt idx="1469">
                  <c:v>114800</c:v>
                </c:pt>
                <c:pt idx="1470">
                  <c:v>148600</c:v>
                </c:pt>
                <c:pt idx="1471">
                  <c:v>104200</c:v>
                </c:pt>
                <c:pt idx="1472">
                  <c:v>255700</c:v>
                </c:pt>
                <c:pt idx="1473">
                  <c:v>176900</c:v>
                </c:pt>
                <c:pt idx="1474">
                  <c:v>81700</c:v>
                </c:pt>
                <c:pt idx="1475">
                  <c:v>72100</c:v>
                </c:pt>
                <c:pt idx="1476">
                  <c:v>127200</c:v>
                </c:pt>
                <c:pt idx="1477">
                  <c:v>160000</c:v>
                </c:pt>
                <c:pt idx="1478">
                  <c:v>137200</c:v>
                </c:pt>
                <c:pt idx="1479">
                  <c:v>144700</c:v>
                </c:pt>
                <c:pt idx="1480">
                  <c:v>144900</c:v>
                </c:pt>
                <c:pt idx="1481">
                  <c:v>108500</c:v>
                </c:pt>
                <c:pt idx="1482">
                  <c:v>103100</c:v>
                </c:pt>
                <c:pt idx="1483">
                  <c:v>171900</c:v>
                </c:pt>
                <c:pt idx="1484">
                  <c:v>109800</c:v>
                </c:pt>
                <c:pt idx="1485">
                  <c:v>121400</c:v>
                </c:pt>
                <c:pt idx="1486">
                  <c:v>147200</c:v>
                </c:pt>
                <c:pt idx="1487">
                  <c:v>173100</c:v>
                </c:pt>
                <c:pt idx="1488">
                  <c:v>322500</c:v>
                </c:pt>
                <c:pt idx="1489">
                  <c:v>113900</c:v>
                </c:pt>
                <c:pt idx="1490">
                  <c:v>160400</c:v>
                </c:pt>
                <c:pt idx="1491">
                  <c:v>75400</c:v>
                </c:pt>
                <c:pt idx="1492">
                  <c:v>60900</c:v>
                </c:pt>
                <c:pt idx="1493">
                  <c:v>35000</c:v>
                </c:pt>
                <c:pt idx="1494">
                  <c:v>178200</c:v>
                </c:pt>
                <c:pt idx="1495">
                  <c:v>207700</c:v>
                </c:pt>
                <c:pt idx="1496">
                  <c:v>54100</c:v>
                </c:pt>
                <c:pt idx="1497">
                  <c:v>51700</c:v>
                </c:pt>
                <c:pt idx="1498">
                  <c:v>122300</c:v>
                </c:pt>
                <c:pt idx="1499">
                  <c:v>82500</c:v>
                </c:pt>
                <c:pt idx="1500">
                  <c:v>101000</c:v>
                </c:pt>
                <c:pt idx="1501">
                  <c:v>125900</c:v>
                </c:pt>
                <c:pt idx="1502">
                  <c:v>151600</c:v>
                </c:pt>
                <c:pt idx="1503">
                  <c:v>195000</c:v>
                </c:pt>
                <c:pt idx="1504">
                  <c:v>82300</c:v>
                </c:pt>
                <c:pt idx="1505">
                  <c:v>231800</c:v>
                </c:pt>
                <c:pt idx="1506">
                  <c:v>56900</c:v>
                </c:pt>
                <c:pt idx="1507">
                  <c:v>229900</c:v>
                </c:pt>
                <c:pt idx="1508">
                  <c:v>55700</c:v>
                </c:pt>
                <c:pt idx="1509">
                  <c:v>35400</c:v>
                </c:pt>
                <c:pt idx="1510">
                  <c:v>89400</c:v>
                </c:pt>
                <c:pt idx="1511">
                  <c:v>450000</c:v>
                </c:pt>
                <c:pt idx="1512">
                  <c:v>60000</c:v>
                </c:pt>
                <c:pt idx="1513">
                  <c:v>31500</c:v>
                </c:pt>
                <c:pt idx="1514">
                  <c:v>46600</c:v>
                </c:pt>
                <c:pt idx="1515">
                  <c:v>35300</c:v>
                </c:pt>
                <c:pt idx="1516">
                  <c:v>269900</c:v>
                </c:pt>
                <c:pt idx="1517">
                  <c:v>231800</c:v>
                </c:pt>
                <c:pt idx="1518">
                  <c:v>144700</c:v>
                </c:pt>
                <c:pt idx="1519">
                  <c:v>138200</c:v>
                </c:pt>
                <c:pt idx="1520">
                  <c:v>184300</c:v>
                </c:pt>
                <c:pt idx="1521">
                  <c:v>74900</c:v>
                </c:pt>
                <c:pt idx="1522">
                  <c:v>219900</c:v>
                </c:pt>
                <c:pt idx="1523">
                  <c:v>209500</c:v>
                </c:pt>
                <c:pt idx="1524">
                  <c:v>186000</c:v>
                </c:pt>
                <c:pt idx="1525">
                  <c:v>181600</c:v>
                </c:pt>
                <c:pt idx="1526">
                  <c:v>231600</c:v>
                </c:pt>
                <c:pt idx="1527">
                  <c:v>208000</c:v>
                </c:pt>
                <c:pt idx="1528">
                  <c:v>143900</c:v>
                </c:pt>
                <c:pt idx="1529">
                  <c:v>193200</c:v>
                </c:pt>
                <c:pt idx="1530">
                  <c:v>259000</c:v>
                </c:pt>
                <c:pt idx="1531">
                  <c:v>213800</c:v>
                </c:pt>
                <c:pt idx="1532">
                  <c:v>226100</c:v>
                </c:pt>
                <c:pt idx="1533">
                  <c:v>168500</c:v>
                </c:pt>
                <c:pt idx="1534">
                  <c:v>219700</c:v>
                </c:pt>
                <c:pt idx="1535">
                  <c:v>140100</c:v>
                </c:pt>
                <c:pt idx="1536">
                  <c:v>128400</c:v>
                </c:pt>
                <c:pt idx="1537">
                  <c:v>131000</c:v>
                </c:pt>
                <c:pt idx="1538">
                  <c:v>84500</c:v>
                </c:pt>
                <c:pt idx="1539">
                  <c:v>161300</c:v>
                </c:pt>
                <c:pt idx="1540">
                  <c:v>175100</c:v>
                </c:pt>
                <c:pt idx="1541">
                  <c:v>69600</c:v>
                </c:pt>
                <c:pt idx="1542">
                  <c:v>129300</c:v>
                </c:pt>
                <c:pt idx="1543">
                  <c:v>157400</c:v>
                </c:pt>
                <c:pt idx="1544">
                  <c:v>162900</c:v>
                </c:pt>
                <c:pt idx="1545">
                  <c:v>77200</c:v>
                </c:pt>
                <c:pt idx="1546">
                  <c:v>77800</c:v>
                </c:pt>
                <c:pt idx="1547">
                  <c:v>98900</c:v>
                </c:pt>
                <c:pt idx="1548">
                  <c:v>60500</c:v>
                </c:pt>
                <c:pt idx="1549">
                  <c:v>167000</c:v>
                </c:pt>
                <c:pt idx="1550">
                  <c:v>125600</c:v>
                </c:pt>
                <c:pt idx="1551">
                  <c:v>132700</c:v>
                </c:pt>
                <c:pt idx="1552">
                  <c:v>75800</c:v>
                </c:pt>
                <c:pt idx="1553">
                  <c:v>137500</c:v>
                </c:pt>
                <c:pt idx="1554">
                  <c:v>124000</c:v>
                </c:pt>
                <c:pt idx="1555">
                  <c:v>103800</c:v>
                </c:pt>
                <c:pt idx="1556">
                  <c:v>105300</c:v>
                </c:pt>
                <c:pt idx="1557">
                  <c:v>37600</c:v>
                </c:pt>
                <c:pt idx="1558">
                  <c:v>86100</c:v>
                </c:pt>
                <c:pt idx="1559">
                  <c:v>387900</c:v>
                </c:pt>
                <c:pt idx="1560">
                  <c:v>85300</c:v>
                </c:pt>
                <c:pt idx="1561">
                  <c:v>83100</c:v>
                </c:pt>
                <c:pt idx="1562">
                  <c:v>247500</c:v>
                </c:pt>
                <c:pt idx="1563">
                  <c:v>148000</c:v>
                </c:pt>
                <c:pt idx="1564">
                  <c:v>116300</c:v>
                </c:pt>
                <c:pt idx="1565">
                  <c:v>105700</c:v>
                </c:pt>
                <c:pt idx="1566">
                  <c:v>110000</c:v>
                </c:pt>
                <c:pt idx="1567">
                  <c:v>77900</c:v>
                </c:pt>
                <c:pt idx="1568">
                  <c:v>155400</c:v>
                </c:pt>
                <c:pt idx="1569">
                  <c:v>120300</c:v>
                </c:pt>
                <c:pt idx="1570">
                  <c:v>59200</c:v>
                </c:pt>
                <c:pt idx="1571">
                  <c:v>67700</c:v>
                </c:pt>
                <c:pt idx="1572">
                  <c:v>78200</c:v>
                </c:pt>
                <c:pt idx="1573">
                  <c:v>99700</c:v>
                </c:pt>
                <c:pt idx="1574">
                  <c:v>151200</c:v>
                </c:pt>
                <c:pt idx="1575">
                  <c:v>168600</c:v>
                </c:pt>
                <c:pt idx="1576">
                  <c:v>159300</c:v>
                </c:pt>
                <c:pt idx="1577">
                  <c:v>44700</c:v>
                </c:pt>
                <c:pt idx="1578">
                  <c:v>79800</c:v>
                </c:pt>
                <c:pt idx="1579">
                  <c:v>159800</c:v>
                </c:pt>
                <c:pt idx="1580">
                  <c:v>245200</c:v>
                </c:pt>
                <c:pt idx="1581">
                  <c:v>245300</c:v>
                </c:pt>
                <c:pt idx="1582">
                  <c:v>158400</c:v>
                </c:pt>
                <c:pt idx="1583">
                  <c:v>88800</c:v>
                </c:pt>
                <c:pt idx="1584">
                  <c:v>85000</c:v>
                </c:pt>
                <c:pt idx="1585">
                  <c:v>77500</c:v>
                </c:pt>
                <c:pt idx="1586">
                  <c:v>133400</c:v>
                </c:pt>
                <c:pt idx="1587">
                  <c:v>239400</c:v>
                </c:pt>
                <c:pt idx="1588">
                  <c:v>106800</c:v>
                </c:pt>
                <c:pt idx="1589">
                  <c:v>116900</c:v>
                </c:pt>
                <c:pt idx="1590">
                  <c:v>90000</c:v>
                </c:pt>
                <c:pt idx="1591">
                  <c:v>244500</c:v>
                </c:pt>
                <c:pt idx="1592">
                  <c:v>86800</c:v>
                </c:pt>
                <c:pt idx="1593">
                  <c:v>157100</c:v>
                </c:pt>
                <c:pt idx="1594">
                  <c:v>348000</c:v>
                </c:pt>
                <c:pt idx="1595">
                  <c:v>186400</c:v>
                </c:pt>
                <c:pt idx="1596">
                  <c:v>139000</c:v>
                </c:pt>
                <c:pt idx="1597">
                  <c:v>154600</c:v>
                </c:pt>
                <c:pt idx="1598">
                  <c:v>80700</c:v>
                </c:pt>
                <c:pt idx="1599">
                  <c:v>140400</c:v>
                </c:pt>
                <c:pt idx="1600">
                  <c:v>103900</c:v>
                </c:pt>
                <c:pt idx="1601">
                  <c:v>156000</c:v>
                </c:pt>
                <c:pt idx="1602">
                  <c:v>141500</c:v>
                </c:pt>
                <c:pt idx="1603">
                  <c:v>80800</c:v>
                </c:pt>
                <c:pt idx="1604">
                  <c:v>71000</c:v>
                </c:pt>
                <c:pt idx="1605">
                  <c:v>124200</c:v>
                </c:pt>
                <c:pt idx="1606">
                  <c:v>158100</c:v>
                </c:pt>
                <c:pt idx="1607">
                  <c:v>560700</c:v>
                </c:pt>
                <c:pt idx="1608">
                  <c:v>250100</c:v>
                </c:pt>
                <c:pt idx="1609">
                  <c:v>413500</c:v>
                </c:pt>
                <c:pt idx="1610">
                  <c:v>471200</c:v>
                </c:pt>
                <c:pt idx="1611">
                  <c:v>284000</c:v>
                </c:pt>
                <c:pt idx="1612">
                  <c:v>182900</c:v>
                </c:pt>
                <c:pt idx="1613">
                  <c:v>342600</c:v>
                </c:pt>
                <c:pt idx="1614">
                  <c:v>313700</c:v>
                </c:pt>
                <c:pt idx="1615">
                  <c:v>102400</c:v>
                </c:pt>
                <c:pt idx="1616">
                  <c:v>53700</c:v>
                </c:pt>
                <c:pt idx="1617">
                  <c:v>109000</c:v>
                </c:pt>
                <c:pt idx="1618">
                  <c:v>166500</c:v>
                </c:pt>
                <c:pt idx="1619">
                  <c:v>239800</c:v>
                </c:pt>
                <c:pt idx="1620">
                  <c:v>218900</c:v>
                </c:pt>
                <c:pt idx="1621">
                  <c:v>155300</c:v>
                </c:pt>
                <c:pt idx="1622">
                  <c:v>201500</c:v>
                </c:pt>
                <c:pt idx="1623">
                  <c:v>278500</c:v>
                </c:pt>
                <c:pt idx="1624">
                  <c:v>241900</c:v>
                </c:pt>
                <c:pt idx="1625">
                  <c:v>203100</c:v>
                </c:pt>
                <c:pt idx="1626">
                  <c:v>469600</c:v>
                </c:pt>
                <c:pt idx="1627">
                  <c:v>294400</c:v>
                </c:pt>
                <c:pt idx="1628">
                  <c:v>355100</c:v>
                </c:pt>
                <c:pt idx="1629">
                  <c:v>291100</c:v>
                </c:pt>
                <c:pt idx="1630">
                  <c:v>83100</c:v>
                </c:pt>
                <c:pt idx="1631">
                  <c:v>197100</c:v>
                </c:pt>
                <c:pt idx="1632">
                  <c:v>215200</c:v>
                </c:pt>
                <c:pt idx="1633">
                  <c:v>239200</c:v>
                </c:pt>
                <c:pt idx="1634">
                  <c:v>189700</c:v>
                </c:pt>
                <c:pt idx="1635">
                  <c:v>128900</c:v>
                </c:pt>
                <c:pt idx="1636">
                  <c:v>156900</c:v>
                </c:pt>
                <c:pt idx="1637">
                  <c:v>128500</c:v>
                </c:pt>
                <c:pt idx="1638">
                  <c:v>167300</c:v>
                </c:pt>
                <c:pt idx="1639">
                  <c:v>270400</c:v>
                </c:pt>
                <c:pt idx="1640">
                  <c:v>237000</c:v>
                </c:pt>
                <c:pt idx="1641">
                  <c:v>158900</c:v>
                </c:pt>
                <c:pt idx="1642">
                  <c:v>383600</c:v>
                </c:pt>
                <c:pt idx="1643">
                  <c:v>144500</c:v>
                </c:pt>
                <c:pt idx="1644">
                  <c:v>137800</c:v>
                </c:pt>
                <c:pt idx="1645">
                  <c:v>265500</c:v>
                </c:pt>
                <c:pt idx="1646">
                  <c:v>188800</c:v>
                </c:pt>
                <c:pt idx="1647">
                  <c:v>94300</c:v>
                </c:pt>
                <c:pt idx="1648">
                  <c:v>58800</c:v>
                </c:pt>
                <c:pt idx="1649">
                  <c:v>51700</c:v>
                </c:pt>
                <c:pt idx="1650">
                  <c:v>80500</c:v>
                </c:pt>
                <c:pt idx="1651">
                  <c:v>94400</c:v>
                </c:pt>
                <c:pt idx="1652">
                  <c:v>103400</c:v>
                </c:pt>
                <c:pt idx="1653">
                  <c:v>152400</c:v>
                </c:pt>
                <c:pt idx="1654">
                  <c:v>100700</c:v>
                </c:pt>
                <c:pt idx="1655">
                  <c:v>237500</c:v>
                </c:pt>
                <c:pt idx="1656">
                  <c:v>113000</c:v>
                </c:pt>
                <c:pt idx="1657">
                  <c:v>137500</c:v>
                </c:pt>
                <c:pt idx="1658">
                  <c:v>128700</c:v>
                </c:pt>
                <c:pt idx="1659">
                  <c:v>83600</c:v>
                </c:pt>
                <c:pt idx="1660">
                  <c:v>83400</c:v>
                </c:pt>
                <c:pt idx="1661">
                  <c:v>169700</c:v>
                </c:pt>
                <c:pt idx="1662">
                  <c:v>92300</c:v>
                </c:pt>
                <c:pt idx="1663">
                  <c:v>147200</c:v>
                </c:pt>
                <c:pt idx="1664">
                  <c:v>87100</c:v>
                </c:pt>
                <c:pt idx="1665">
                  <c:v>160700</c:v>
                </c:pt>
                <c:pt idx="1666">
                  <c:v>108400</c:v>
                </c:pt>
                <c:pt idx="1667">
                  <c:v>317800</c:v>
                </c:pt>
                <c:pt idx="1668">
                  <c:v>76900</c:v>
                </c:pt>
                <c:pt idx="1669">
                  <c:v>164000</c:v>
                </c:pt>
                <c:pt idx="1670">
                  <c:v>149800</c:v>
                </c:pt>
                <c:pt idx="1671">
                  <c:v>380400</c:v>
                </c:pt>
                <c:pt idx="1672">
                  <c:v>96000</c:v>
                </c:pt>
                <c:pt idx="1673">
                  <c:v>59800</c:v>
                </c:pt>
                <c:pt idx="1674">
                  <c:v>121600</c:v>
                </c:pt>
                <c:pt idx="1675">
                  <c:v>95600</c:v>
                </c:pt>
                <c:pt idx="1676">
                  <c:v>72900</c:v>
                </c:pt>
                <c:pt idx="1677">
                  <c:v>34000</c:v>
                </c:pt>
                <c:pt idx="1678">
                  <c:v>55800</c:v>
                </c:pt>
                <c:pt idx="1679">
                  <c:v>33100</c:v>
                </c:pt>
                <c:pt idx="1680">
                  <c:v>54000</c:v>
                </c:pt>
                <c:pt idx="1681">
                  <c:v>116200</c:v>
                </c:pt>
                <c:pt idx="1682">
                  <c:v>38200</c:v>
                </c:pt>
                <c:pt idx="1683">
                  <c:v>83400</c:v>
                </c:pt>
                <c:pt idx="1684">
                  <c:v>51500</c:v>
                </c:pt>
                <c:pt idx="1685">
                  <c:v>86000</c:v>
                </c:pt>
                <c:pt idx="1686">
                  <c:v>70700</c:v>
                </c:pt>
                <c:pt idx="1687">
                  <c:v>152600</c:v>
                </c:pt>
                <c:pt idx="1688">
                  <c:v>82900</c:v>
                </c:pt>
                <c:pt idx="1689">
                  <c:v>76600</c:v>
                </c:pt>
                <c:pt idx="1690">
                  <c:v>72600</c:v>
                </c:pt>
                <c:pt idx="1691">
                  <c:v>146700</c:v>
                </c:pt>
                <c:pt idx="1692">
                  <c:v>133900</c:v>
                </c:pt>
                <c:pt idx="1693">
                  <c:v>167500</c:v>
                </c:pt>
                <c:pt idx="1694">
                  <c:v>251000</c:v>
                </c:pt>
                <c:pt idx="1695">
                  <c:v>104100</c:v>
                </c:pt>
                <c:pt idx="1696">
                  <c:v>144100</c:v>
                </c:pt>
                <c:pt idx="1697">
                  <c:v>104700</c:v>
                </c:pt>
                <c:pt idx="1698">
                  <c:v>143900</c:v>
                </c:pt>
                <c:pt idx="1699">
                  <c:v>156100</c:v>
                </c:pt>
                <c:pt idx="1700">
                  <c:v>109900</c:v>
                </c:pt>
                <c:pt idx="1701">
                  <c:v>100800</c:v>
                </c:pt>
                <c:pt idx="1702">
                  <c:v>51500</c:v>
                </c:pt>
                <c:pt idx="1703">
                  <c:v>142800</c:v>
                </c:pt>
                <c:pt idx="1704">
                  <c:v>62300</c:v>
                </c:pt>
                <c:pt idx="1705">
                  <c:v>131200</c:v>
                </c:pt>
                <c:pt idx="1706">
                  <c:v>59300</c:v>
                </c:pt>
                <c:pt idx="1707">
                  <c:v>93200</c:v>
                </c:pt>
                <c:pt idx="1708">
                  <c:v>77700</c:v>
                </c:pt>
                <c:pt idx="1709">
                  <c:v>53500</c:v>
                </c:pt>
                <c:pt idx="1710">
                  <c:v>55400</c:v>
                </c:pt>
                <c:pt idx="1711">
                  <c:v>45800</c:v>
                </c:pt>
                <c:pt idx="1712">
                  <c:v>146100</c:v>
                </c:pt>
                <c:pt idx="1713">
                  <c:v>61800</c:v>
                </c:pt>
                <c:pt idx="1714">
                  <c:v>62500</c:v>
                </c:pt>
                <c:pt idx="1715">
                  <c:v>51600</c:v>
                </c:pt>
                <c:pt idx="1716">
                  <c:v>68100</c:v>
                </c:pt>
                <c:pt idx="1717">
                  <c:v>76300</c:v>
                </c:pt>
                <c:pt idx="1718">
                  <c:v>105400</c:v>
                </c:pt>
                <c:pt idx="1719">
                  <c:v>106100</c:v>
                </c:pt>
                <c:pt idx="1720">
                  <c:v>100100</c:v>
                </c:pt>
                <c:pt idx="1721">
                  <c:v>151800</c:v>
                </c:pt>
                <c:pt idx="1722">
                  <c:v>102700</c:v>
                </c:pt>
                <c:pt idx="1723">
                  <c:v>53400</c:v>
                </c:pt>
                <c:pt idx="1724">
                  <c:v>54100</c:v>
                </c:pt>
                <c:pt idx="1725">
                  <c:v>36300</c:v>
                </c:pt>
                <c:pt idx="1726">
                  <c:v>46100</c:v>
                </c:pt>
                <c:pt idx="1727">
                  <c:v>245000</c:v>
                </c:pt>
                <c:pt idx="1728">
                  <c:v>142300</c:v>
                </c:pt>
                <c:pt idx="1729">
                  <c:v>124700</c:v>
                </c:pt>
                <c:pt idx="1730">
                  <c:v>71200</c:v>
                </c:pt>
                <c:pt idx="1731">
                  <c:v>66100</c:v>
                </c:pt>
                <c:pt idx="1732">
                  <c:v>52100</c:v>
                </c:pt>
                <c:pt idx="1733">
                  <c:v>65200</c:v>
                </c:pt>
                <c:pt idx="1734">
                  <c:v>67300</c:v>
                </c:pt>
                <c:pt idx="1735">
                  <c:v>70500</c:v>
                </c:pt>
                <c:pt idx="1736">
                  <c:v>66900</c:v>
                </c:pt>
                <c:pt idx="1737">
                  <c:v>66700</c:v>
                </c:pt>
                <c:pt idx="1738">
                  <c:v>62600</c:v>
                </c:pt>
                <c:pt idx="1739">
                  <c:v>51000</c:v>
                </c:pt>
                <c:pt idx="1740">
                  <c:v>19100</c:v>
                </c:pt>
                <c:pt idx="1741">
                  <c:v>41300</c:v>
                </c:pt>
                <c:pt idx="1742">
                  <c:v>36100</c:v>
                </c:pt>
                <c:pt idx="1743">
                  <c:v>148500</c:v>
                </c:pt>
                <c:pt idx="1744">
                  <c:v>126800</c:v>
                </c:pt>
                <c:pt idx="1745">
                  <c:v>45300</c:v>
                </c:pt>
                <c:pt idx="1746">
                  <c:v>96600</c:v>
                </c:pt>
                <c:pt idx="1747">
                  <c:v>74900</c:v>
                </c:pt>
                <c:pt idx="1748">
                  <c:v>56700</c:v>
                </c:pt>
                <c:pt idx="1749">
                  <c:v>119900</c:v>
                </c:pt>
                <c:pt idx="1750">
                  <c:v>44400</c:v>
                </c:pt>
                <c:pt idx="1751">
                  <c:v>42800</c:v>
                </c:pt>
                <c:pt idx="1752">
                  <c:v>62700</c:v>
                </c:pt>
                <c:pt idx="1753">
                  <c:v>38400</c:v>
                </c:pt>
                <c:pt idx="1754">
                  <c:v>84200</c:v>
                </c:pt>
                <c:pt idx="1755">
                  <c:v>77000</c:v>
                </c:pt>
                <c:pt idx="1756">
                  <c:v>112400</c:v>
                </c:pt>
                <c:pt idx="1757">
                  <c:v>127400</c:v>
                </c:pt>
                <c:pt idx="1758">
                  <c:v>101300</c:v>
                </c:pt>
                <c:pt idx="1759">
                  <c:v>65300</c:v>
                </c:pt>
                <c:pt idx="1760">
                  <c:v>104800</c:v>
                </c:pt>
                <c:pt idx="1761">
                  <c:v>138500</c:v>
                </c:pt>
                <c:pt idx="1762">
                  <c:v>49900</c:v>
                </c:pt>
                <c:pt idx="1763">
                  <c:v>99100</c:v>
                </c:pt>
                <c:pt idx="1764">
                  <c:v>77900</c:v>
                </c:pt>
                <c:pt idx="1765">
                  <c:v>97500</c:v>
                </c:pt>
                <c:pt idx="1766">
                  <c:v>97700</c:v>
                </c:pt>
                <c:pt idx="1767">
                  <c:v>45600</c:v>
                </c:pt>
                <c:pt idx="1768">
                  <c:v>88200</c:v>
                </c:pt>
                <c:pt idx="1769">
                  <c:v>89600</c:v>
                </c:pt>
                <c:pt idx="1770">
                  <c:v>60400</c:v>
                </c:pt>
                <c:pt idx="1771">
                  <c:v>93300</c:v>
                </c:pt>
                <c:pt idx="1772">
                  <c:v>101100</c:v>
                </c:pt>
                <c:pt idx="1773">
                  <c:v>75400</c:v>
                </c:pt>
                <c:pt idx="1774">
                  <c:v>130900</c:v>
                </c:pt>
                <c:pt idx="1775">
                  <c:v>93900</c:v>
                </c:pt>
                <c:pt idx="1776">
                  <c:v>87400</c:v>
                </c:pt>
                <c:pt idx="1777">
                  <c:v>64400</c:v>
                </c:pt>
                <c:pt idx="1778">
                  <c:v>88600</c:v>
                </c:pt>
                <c:pt idx="1779">
                  <c:v>102800</c:v>
                </c:pt>
                <c:pt idx="1780">
                  <c:v>77600</c:v>
                </c:pt>
                <c:pt idx="1781">
                  <c:v>44400</c:v>
                </c:pt>
                <c:pt idx="1782">
                  <c:v>68600</c:v>
                </c:pt>
                <c:pt idx="1783">
                  <c:v>77400</c:v>
                </c:pt>
                <c:pt idx="1784">
                  <c:v>119500</c:v>
                </c:pt>
                <c:pt idx="1785">
                  <c:v>86000</c:v>
                </c:pt>
                <c:pt idx="1786">
                  <c:v>62400</c:v>
                </c:pt>
                <c:pt idx="1787">
                  <c:v>115500</c:v>
                </c:pt>
                <c:pt idx="1788">
                  <c:v>201300</c:v>
                </c:pt>
                <c:pt idx="1789">
                  <c:v>66900</c:v>
                </c:pt>
                <c:pt idx="1790">
                  <c:v>97800</c:v>
                </c:pt>
                <c:pt idx="1791">
                  <c:v>106800</c:v>
                </c:pt>
                <c:pt idx="1792">
                  <c:v>100200</c:v>
                </c:pt>
                <c:pt idx="1793">
                  <c:v>60600</c:v>
                </c:pt>
                <c:pt idx="1794">
                  <c:v>75400</c:v>
                </c:pt>
                <c:pt idx="1795">
                  <c:v>55000</c:v>
                </c:pt>
                <c:pt idx="1796">
                  <c:v>126700</c:v>
                </c:pt>
                <c:pt idx="1797">
                  <c:v>62000</c:v>
                </c:pt>
                <c:pt idx="1798">
                  <c:v>36500</c:v>
                </c:pt>
                <c:pt idx="1799">
                  <c:v>40200</c:v>
                </c:pt>
                <c:pt idx="1800">
                  <c:v>53500</c:v>
                </c:pt>
                <c:pt idx="1801">
                  <c:v>92300</c:v>
                </c:pt>
                <c:pt idx="1802">
                  <c:v>52400</c:v>
                </c:pt>
                <c:pt idx="1803">
                  <c:v>55000</c:v>
                </c:pt>
                <c:pt idx="1804">
                  <c:v>53800</c:v>
                </c:pt>
                <c:pt idx="1805">
                  <c:v>63200</c:v>
                </c:pt>
                <c:pt idx="1806">
                  <c:v>27400</c:v>
                </c:pt>
                <c:pt idx="1807">
                  <c:v>70600</c:v>
                </c:pt>
                <c:pt idx="1808">
                  <c:v>86200</c:v>
                </c:pt>
                <c:pt idx="1809">
                  <c:v>52100</c:v>
                </c:pt>
                <c:pt idx="1810">
                  <c:v>61200</c:v>
                </c:pt>
                <c:pt idx="1811">
                  <c:v>97500</c:v>
                </c:pt>
                <c:pt idx="1812">
                  <c:v>50000</c:v>
                </c:pt>
                <c:pt idx="1813">
                  <c:v>48100</c:v>
                </c:pt>
                <c:pt idx="1814">
                  <c:v>94700</c:v>
                </c:pt>
                <c:pt idx="1815">
                  <c:v>99000</c:v>
                </c:pt>
                <c:pt idx="1816">
                  <c:v>50700</c:v>
                </c:pt>
                <c:pt idx="1817">
                  <c:v>53900</c:v>
                </c:pt>
                <c:pt idx="1818">
                  <c:v>83300</c:v>
                </c:pt>
                <c:pt idx="1819">
                  <c:v>74900</c:v>
                </c:pt>
                <c:pt idx="1820">
                  <c:v>74800</c:v>
                </c:pt>
                <c:pt idx="1821">
                  <c:v>160400</c:v>
                </c:pt>
                <c:pt idx="1822">
                  <c:v>139300</c:v>
                </c:pt>
                <c:pt idx="1823">
                  <c:v>62300</c:v>
                </c:pt>
                <c:pt idx="1824">
                  <c:v>370500</c:v>
                </c:pt>
                <c:pt idx="1825">
                  <c:v>113900</c:v>
                </c:pt>
                <c:pt idx="1826">
                  <c:v>88000</c:v>
                </c:pt>
                <c:pt idx="1827">
                  <c:v>129600</c:v>
                </c:pt>
                <c:pt idx="1828">
                  <c:v>92500</c:v>
                </c:pt>
                <c:pt idx="1829">
                  <c:v>51800</c:v>
                </c:pt>
                <c:pt idx="1830">
                  <c:v>61200</c:v>
                </c:pt>
                <c:pt idx="1831">
                  <c:v>167300</c:v>
                </c:pt>
                <c:pt idx="1832">
                  <c:v>112400</c:v>
                </c:pt>
                <c:pt idx="1833">
                  <c:v>352700</c:v>
                </c:pt>
                <c:pt idx="1834">
                  <c:v>150400</c:v>
                </c:pt>
                <c:pt idx="1835">
                  <c:v>148300</c:v>
                </c:pt>
                <c:pt idx="1836">
                  <c:v>211600</c:v>
                </c:pt>
                <c:pt idx="1837">
                  <c:v>137000</c:v>
                </c:pt>
                <c:pt idx="1838">
                  <c:v>175800</c:v>
                </c:pt>
                <c:pt idx="1839">
                  <c:v>115700</c:v>
                </c:pt>
                <c:pt idx="1840">
                  <c:v>148700</c:v>
                </c:pt>
                <c:pt idx="1841">
                  <c:v>186000</c:v>
                </c:pt>
                <c:pt idx="1842">
                  <c:v>145400</c:v>
                </c:pt>
                <c:pt idx="1843">
                  <c:v>213600</c:v>
                </c:pt>
                <c:pt idx="1844">
                  <c:v>277200</c:v>
                </c:pt>
                <c:pt idx="1845">
                  <c:v>321300</c:v>
                </c:pt>
                <c:pt idx="1846">
                  <c:v>220700</c:v>
                </c:pt>
                <c:pt idx="1847">
                  <c:v>264900</c:v>
                </c:pt>
                <c:pt idx="1848">
                  <c:v>631900</c:v>
                </c:pt>
                <c:pt idx="1849">
                  <c:v>102800</c:v>
                </c:pt>
                <c:pt idx="1850">
                  <c:v>105300</c:v>
                </c:pt>
                <c:pt idx="1851">
                  <c:v>197900</c:v>
                </c:pt>
                <c:pt idx="1852">
                  <c:v>132400</c:v>
                </c:pt>
                <c:pt idx="1853">
                  <c:v>521800</c:v>
                </c:pt>
                <c:pt idx="1854">
                  <c:v>690800</c:v>
                </c:pt>
                <c:pt idx="1855">
                  <c:v>944600</c:v>
                </c:pt>
                <c:pt idx="1856">
                  <c:v>1001700</c:v>
                </c:pt>
                <c:pt idx="1857">
                  <c:v>397100</c:v>
                </c:pt>
                <c:pt idx="1858">
                  <c:v>62700</c:v>
                </c:pt>
                <c:pt idx="1859">
                  <c:v>51000</c:v>
                </c:pt>
                <c:pt idx="1860">
                  <c:v>104300</c:v>
                </c:pt>
                <c:pt idx="1861">
                  <c:v>39500</c:v>
                </c:pt>
                <c:pt idx="1862">
                  <c:v>53400</c:v>
                </c:pt>
                <c:pt idx="1863">
                  <c:v>76000</c:v>
                </c:pt>
                <c:pt idx="1864">
                  <c:v>137600</c:v>
                </c:pt>
                <c:pt idx="1865">
                  <c:v>199600</c:v>
                </c:pt>
                <c:pt idx="1866">
                  <c:v>98400</c:v>
                </c:pt>
                <c:pt idx="1867">
                  <c:v>161200</c:v>
                </c:pt>
                <c:pt idx="1868">
                  <c:v>82800</c:v>
                </c:pt>
                <c:pt idx="1869">
                  <c:v>73500</c:v>
                </c:pt>
                <c:pt idx="1870">
                  <c:v>90700</c:v>
                </c:pt>
                <c:pt idx="1871">
                  <c:v>61700</c:v>
                </c:pt>
                <c:pt idx="1872">
                  <c:v>157200</c:v>
                </c:pt>
                <c:pt idx="1873">
                  <c:v>291900</c:v>
                </c:pt>
                <c:pt idx="1874">
                  <c:v>55200</c:v>
                </c:pt>
                <c:pt idx="1875">
                  <c:v>35300</c:v>
                </c:pt>
                <c:pt idx="1876">
                  <c:v>53000</c:v>
                </c:pt>
                <c:pt idx="1877">
                  <c:v>151400</c:v>
                </c:pt>
                <c:pt idx="1878">
                  <c:v>76300</c:v>
                </c:pt>
                <c:pt idx="1879">
                  <c:v>113700</c:v>
                </c:pt>
                <c:pt idx="1880">
                  <c:v>62200</c:v>
                </c:pt>
                <c:pt idx="1881">
                  <c:v>44500</c:v>
                </c:pt>
                <c:pt idx="1882">
                  <c:v>74700</c:v>
                </c:pt>
                <c:pt idx="1883">
                  <c:v>144100</c:v>
                </c:pt>
                <c:pt idx="1884">
                  <c:v>268100</c:v>
                </c:pt>
                <c:pt idx="1885">
                  <c:v>238400</c:v>
                </c:pt>
                <c:pt idx="1886">
                  <c:v>303700</c:v>
                </c:pt>
                <c:pt idx="1887">
                  <c:v>207900</c:v>
                </c:pt>
                <c:pt idx="1888">
                  <c:v>45200</c:v>
                </c:pt>
                <c:pt idx="1889">
                  <c:v>48900</c:v>
                </c:pt>
                <c:pt idx="1890">
                  <c:v>90300</c:v>
                </c:pt>
                <c:pt idx="1891">
                  <c:v>58000</c:v>
                </c:pt>
                <c:pt idx="1892">
                  <c:v>45800</c:v>
                </c:pt>
                <c:pt idx="1893">
                  <c:v>125000</c:v>
                </c:pt>
                <c:pt idx="1894">
                  <c:v>155700</c:v>
                </c:pt>
                <c:pt idx="1895">
                  <c:v>113300</c:v>
                </c:pt>
                <c:pt idx="1896">
                  <c:v>44300</c:v>
                </c:pt>
                <c:pt idx="1897">
                  <c:v>116100</c:v>
                </c:pt>
                <c:pt idx="1898">
                  <c:v>104900</c:v>
                </c:pt>
                <c:pt idx="1899">
                  <c:v>88000</c:v>
                </c:pt>
                <c:pt idx="1900">
                  <c:v>38700</c:v>
                </c:pt>
                <c:pt idx="1901">
                  <c:v>60700</c:v>
                </c:pt>
                <c:pt idx="1902">
                  <c:v>69600</c:v>
                </c:pt>
                <c:pt idx="1903">
                  <c:v>44900</c:v>
                </c:pt>
                <c:pt idx="1904">
                  <c:v>55900</c:v>
                </c:pt>
                <c:pt idx="1905">
                  <c:v>20600</c:v>
                </c:pt>
                <c:pt idx="1906">
                  <c:v>191200</c:v>
                </c:pt>
                <c:pt idx="1907">
                  <c:v>43800</c:v>
                </c:pt>
                <c:pt idx="1908">
                  <c:v>81800</c:v>
                </c:pt>
                <c:pt idx="1909">
                  <c:v>90100</c:v>
                </c:pt>
                <c:pt idx="1910">
                  <c:v>72700</c:v>
                </c:pt>
                <c:pt idx="1911">
                  <c:v>209700</c:v>
                </c:pt>
                <c:pt idx="1912">
                  <c:v>288500</c:v>
                </c:pt>
                <c:pt idx="1913">
                  <c:v>175800</c:v>
                </c:pt>
                <c:pt idx="1914">
                  <c:v>153500</c:v>
                </c:pt>
                <c:pt idx="1915">
                  <c:v>165500</c:v>
                </c:pt>
                <c:pt idx="1916">
                  <c:v>181500</c:v>
                </c:pt>
                <c:pt idx="1917">
                  <c:v>38500</c:v>
                </c:pt>
                <c:pt idx="1918">
                  <c:v>76600</c:v>
                </c:pt>
                <c:pt idx="1919">
                  <c:v>66700</c:v>
                </c:pt>
                <c:pt idx="1920">
                  <c:v>97900</c:v>
                </c:pt>
                <c:pt idx="1921">
                  <c:v>89200</c:v>
                </c:pt>
                <c:pt idx="1922">
                  <c:v>97000</c:v>
                </c:pt>
                <c:pt idx="1923">
                  <c:v>70000</c:v>
                </c:pt>
                <c:pt idx="1924">
                  <c:v>82800</c:v>
                </c:pt>
                <c:pt idx="1925">
                  <c:v>59900</c:v>
                </c:pt>
                <c:pt idx="1926">
                  <c:v>131600</c:v>
                </c:pt>
                <c:pt idx="1927">
                  <c:v>203800</c:v>
                </c:pt>
                <c:pt idx="1928">
                  <c:v>458700</c:v>
                </c:pt>
                <c:pt idx="1929">
                  <c:v>146200</c:v>
                </c:pt>
                <c:pt idx="1930">
                  <c:v>97600</c:v>
                </c:pt>
                <c:pt idx="1931">
                  <c:v>235400</c:v>
                </c:pt>
                <c:pt idx="1932">
                  <c:v>127000</c:v>
                </c:pt>
                <c:pt idx="1933">
                  <c:v>71500</c:v>
                </c:pt>
                <c:pt idx="1934">
                  <c:v>53500</c:v>
                </c:pt>
                <c:pt idx="1935">
                  <c:v>41900</c:v>
                </c:pt>
                <c:pt idx="1936">
                  <c:v>72500</c:v>
                </c:pt>
                <c:pt idx="1937">
                  <c:v>86700</c:v>
                </c:pt>
                <c:pt idx="1938">
                  <c:v>90000</c:v>
                </c:pt>
                <c:pt idx="1939">
                  <c:v>87800</c:v>
                </c:pt>
                <c:pt idx="1940">
                  <c:v>102000</c:v>
                </c:pt>
                <c:pt idx="1941">
                  <c:v>58500</c:v>
                </c:pt>
                <c:pt idx="1942">
                  <c:v>77800</c:v>
                </c:pt>
                <c:pt idx="1943">
                  <c:v>95500</c:v>
                </c:pt>
                <c:pt idx="1944">
                  <c:v>151400</c:v>
                </c:pt>
                <c:pt idx="1945">
                  <c:v>85300</c:v>
                </c:pt>
                <c:pt idx="1946">
                  <c:v>155300</c:v>
                </c:pt>
                <c:pt idx="1947">
                  <c:v>44200</c:v>
                </c:pt>
                <c:pt idx="1948">
                  <c:v>108600</c:v>
                </c:pt>
                <c:pt idx="1949">
                  <c:v>113800</c:v>
                </c:pt>
                <c:pt idx="1950">
                  <c:v>41000</c:v>
                </c:pt>
                <c:pt idx="1951">
                  <c:v>73400</c:v>
                </c:pt>
                <c:pt idx="1952">
                  <c:v>56600</c:v>
                </c:pt>
                <c:pt idx="1953">
                  <c:v>48700</c:v>
                </c:pt>
                <c:pt idx="1954">
                  <c:v>94500</c:v>
                </c:pt>
                <c:pt idx="1955">
                  <c:v>93600</c:v>
                </c:pt>
                <c:pt idx="1956">
                  <c:v>200900</c:v>
                </c:pt>
                <c:pt idx="1957">
                  <c:v>161200</c:v>
                </c:pt>
                <c:pt idx="1958">
                  <c:v>232900</c:v>
                </c:pt>
                <c:pt idx="1959">
                  <c:v>81600</c:v>
                </c:pt>
                <c:pt idx="1960">
                  <c:v>175400</c:v>
                </c:pt>
                <c:pt idx="1961">
                  <c:v>251800</c:v>
                </c:pt>
                <c:pt idx="1962">
                  <c:v>101300</c:v>
                </c:pt>
                <c:pt idx="1963">
                  <c:v>139300</c:v>
                </c:pt>
                <c:pt idx="1964">
                  <c:v>120300</c:v>
                </c:pt>
                <c:pt idx="1965">
                  <c:v>115300</c:v>
                </c:pt>
                <c:pt idx="1966">
                  <c:v>107100</c:v>
                </c:pt>
                <c:pt idx="1967">
                  <c:v>115200</c:v>
                </c:pt>
                <c:pt idx="1968">
                  <c:v>119600</c:v>
                </c:pt>
                <c:pt idx="1969">
                  <c:v>56400</c:v>
                </c:pt>
                <c:pt idx="1970">
                  <c:v>96500</c:v>
                </c:pt>
                <c:pt idx="1971">
                  <c:v>95400</c:v>
                </c:pt>
                <c:pt idx="1972">
                  <c:v>82300</c:v>
                </c:pt>
                <c:pt idx="1973">
                  <c:v>115900</c:v>
                </c:pt>
                <c:pt idx="1974">
                  <c:v>157000</c:v>
                </c:pt>
                <c:pt idx="1975">
                  <c:v>186600</c:v>
                </c:pt>
                <c:pt idx="1976">
                  <c:v>79700</c:v>
                </c:pt>
                <c:pt idx="1977">
                  <c:v>42800</c:v>
                </c:pt>
                <c:pt idx="1978">
                  <c:v>98200</c:v>
                </c:pt>
                <c:pt idx="1979">
                  <c:v>210000</c:v>
                </c:pt>
                <c:pt idx="1980">
                  <c:v>78700</c:v>
                </c:pt>
                <c:pt idx="1981">
                  <c:v>81500</c:v>
                </c:pt>
                <c:pt idx="1982">
                  <c:v>84600</c:v>
                </c:pt>
                <c:pt idx="1983">
                  <c:v>90200</c:v>
                </c:pt>
                <c:pt idx="1984">
                  <c:v>75900</c:v>
                </c:pt>
                <c:pt idx="1985">
                  <c:v>99800</c:v>
                </c:pt>
                <c:pt idx="1986">
                  <c:v>171800</c:v>
                </c:pt>
                <c:pt idx="1987">
                  <c:v>43800</c:v>
                </c:pt>
                <c:pt idx="1988">
                  <c:v>129500</c:v>
                </c:pt>
                <c:pt idx="1989">
                  <c:v>273900</c:v>
                </c:pt>
                <c:pt idx="1990">
                  <c:v>106700</c:v>
                </c:pt>
                <c:pt idx="1991">
                  <c:v>92900</c:v>
                </c:pt>
                <c:pt idx="1992">
                  <c:v>50600</c:v>
                </c:pt>
                <c:pt idx="1993">
                  <c:v>56500</c:v>
                </c:pt>
                <c:pt idx="1994">
                  <c:v>136800</c:v>
                </c:pt>
                <c:pt idx="1995">
                  <c:v>142000</c:v>
                </c:pt>
                <c:pt idx="1996">
                  <c:v>109600</c:v>
                </c:pt>
                <c:pt idx="1997">
                  <c:v>480000</c:v>
                </c:pt>
                <c:pt idx="1998">
                  <c:v>184900</c:v>
                </c:pt>
                <c:pt idx="1999">
                  <c:v>192000</c:v>
                </c:pt>
                <c:pt idx="2000">
                  <c:v>147000</c:v>
                </c:pt>
                <c:pt idx="2001">
                  <c:v>214600</c:v>
                </c:pt>
                <c:pt idx="2002">
                  <c:v>90100</c:v>
                </c:pt>
                <c:pt idx="2003">
                  <c:v>111100</c:v>
                </c:pt>
                <c:pt idx="2004">
                  <c:v>74900</c:v>
                </c:pt>
                <c:pt idx="2005">
                  <c:v>33000</c:v>
                </c:pt>
                <c:pt idx="2006">
                  <c:v>221200</c:v>
                </c:pt>
                <c:pt idx="2007">
                  <c:v>287800</c:v>
                </c:pt>
                <c:pt idx="2008">
                  <c:v>152700</c:v>
                </c:pt>
                <c:pt idx="2009">
                  <c:v>105200</c:v>
                </c:pt>
                <c:pt idx="2010">
                  <c:v>145100</c:v>
                </c:pt>
                <c:pt idx="2011">
                  <c:v>52100</c:v>
                </c:pt>
                <c:pt idx="2012">
                  <c:v>86000</c:v>
                </c:pt>
                <c:pt idx="2013">
                  <c:v>317600</c:v>
                </c:pt>
                <c:pt idx="2014">
                  <c:v>143300</c:v>
                </c:pt>
                <c:pt idx="2015">
                  <c:v>171100</c:v>
                </c:pt>
                <c:pt idx="2016">
                  <c:v>283100</c:v>
                </c:pt>
                <c:pt idx="2017">
                  <c:v>166600</c:v>
                </c:pt>
                <c:pt idx="2018">
                  <c:v>294100</c:v>
                </c:pt>
                <c:pt idx="2019">
                  <c:v>190700</c:v>
                </c:pt>
                <c:pt idx="2020">
                  <c:v>142200</c:v>
                </c:pt>
                <c:pt idx="2021">
                  <c:v>183800</c:v>
                </c:pt>
                <c:pt idx="2022">
                  <c:v>78400</c:v>
                </c:pt>
                <c:pt idx="2023">
                  <c:v>920900</c:v>
                </c:pt>
                <c:pt idx="2024">
                  <c:v>313800</c:v>
                </c:pt>
                <c:pt idx="2025">
                  <c:v>213700</c:v>
                </c:pt>
                <c:pt idx="2026">
                  <c:v>165800</c:v>
                </c:pt>
                <c:pt idx="2027">
                  <c:v>128200</c:v>
                </c:pt>
                <c:pt idx="2028">
                  <c:v>192900</c:v>
                </c:pt>
                <c:pt idx="2029">
                  <c:v>184900</c:v>
                </c:pt>
                <c:pt idx="2030">
                  <c:v>434000</c:v>
                </c:pt>
                <c:pt idx="2031">
                  <c:v>1301000</c:v>
                </c:pt>
                <c:pt idx="2032">
                  <c:v>725800</c:v>
                </c:pt>
                <c:pt idx="2033">
                  <c:v>461600</c:v>
                </c:pt>
                <c:pt idx="2034">
                  <c:v>302000</c:v>
                </c:pt>
                <c:pt idx="2035">
                  <c:v>247400</c:v>
                </c:pt>
                <c:pt idx="2036">
                  <c:v>345100</c:v>
                </c:pt>
                <c:pt idx="2037">
                  <c:v>294900</c:v>
                </c:pt>
                <c:pt idx="2038">
                  <c:v>232300</c:v>
                </c:pt>
                <c:pt idx="2039">
                  <c:v>166200</c:v>
                </c:pt>
                <c:pt idx="2040">
                  <c:v>288100</c:v>
                </c:pt>
                <c:pt idx="2041">
                  <c:v>187600</c:v>
                </c:pt>
                <c:pt idx="2042">
                  <c:v>178800</c:v>
                </c:pt>
                <c:pt idx="2043">
                  <c:v>146300</c:v>
                </c:pt>
                <c:pt idx="2044">
                  <c:v>178100</c:v>
                </c:pt>
                <c:pt idx="2045">
                  <c:v>56500</c:v>
                </c:pt>
                <c:pt idx="2046">
                  <c:v>140500</c:v>
                </c:pt>
                <c:pt idx="2047">
                  <c:v>108200</c:v>
                </c:pt>
                <c:pt idx="2048">
                  <c:v>101700</c:v>
                </c:pt>
                <c:pt idx="2049">
                  <c:v>100400</c:v>
                </c:pt>
                <c:pt idx="2050">
                  <c:v>116700</c:v>
                </c:pt>
                <c:pt idx="2051">
                  <c:v>106600</c:v>
                </c:pt>
                <c:pt idx="2052">
                  <c:v>173800</c:v>
                </c:pt>
                <c:pt idx="2053">
                  <c:v>225000</c:v>
                </c:pt>
                <c:pt idx="2054">
                  <c:v>209300</c:v>
                </c:pt>
                <c:pt idx="2055">
                  <c:v>192200</c:v>
                </c:pt>
                <c:pt idx="2056">
                  <c:v>94100</c:v>
                </c:pt>
                <c:pt idx="2057">
                  <c:v>59000</c:v>
                </c:pt>
                <c:pt idx="2058">
                  <c:v>91600</c:v>
                </c:pt>
                <c:pt idx="2059">
                  <c:v>211400</c:v>
                </c:pt>
                <c:pt idx="2060">
                  <c:v>638400</c:v>
                </c:pt>
                <c:pt idx="2061">
                  <c:v>361900</c:v>
                </c:pt>
                <c:pt idx="2062">
                  <c:v>95200</c:v>
                </c:pt>
                <c:pt idx="2063">
                  <c:v>224600</c:v>
                </c:pt>
                <c:pt idx="2064">
                  <c:v>145800</c:v>
                </c:pt>
                <c:pt idx="2065">
                  <c:v>296700</c:v>
                </c:pt>
                <c:pt idx="2066">
                  <c:v>353200</c:v>
                </c:pt>
                <c:pt idx="2067">
                  <c:v>403000</c:v>
                </c:pt>
                <c:pt idx="2068">
                  <c:v>172400</c:v>
                </c:pt>
                <c:pt idx="2069">
                  <c:v>214200</c:v>
                </c:pt>
                <c:pt idx="2070">
                  <c:v>354900</c:v>
                </c:pt>
                <c:pt idx="2071">
                  <c:v>177800</c:v>
                </c:pt>
                <c:pt idx="2072">
                  <c:v>344700</c:v>
                </c:pt>
                <c:pt idx="2073">
                  <c:v>360300</c:v>
                </c:pt>
                <c:pt idx="2074">
                  <c:v>140500</c:v>
                </c:pt>
                <c:pt idx="2075">
                  <c:v>282900</c:v>
                </c:pt>
                <c:pt idx="2076">
                  <c:v>212200</c:v>
                </c:pt>
                <c:pt idx="2077">
                  <c:v>222800</c:v>
                </c:pt>
                <c:pt idx="2078">
                  <c:v>231800</c:v>
                </c:pt>
                <c:pt idx="2079">
                  <c:v>323600</c:v>
                </c:pt>
                <c:pt idx="2080">
                  <c:v>409400</c:v>
                </c:pt>
                <c:pt idx="2081">
                  <c:v>382800</c:v>
                </c:pt>
                <c:pt idx="2082">
                  <c:v>137400</c:v>
                </c:pt>
                <c:pt idx="2083">
                  <c:v>218100</c:v>
                </c:pt>
                <c:pt idx="2084">
                  <c:v>210700</c:v>
                </c:pt>
                <c:pt idx="2085">
                  <c:v>131400</c:v>
                </c:pt>
                <c:pt idx="2086">
                  <c:v>100100</c:v>
                </c:pt>
                <c:pt idx="2087">
                  <c:v>126500</c:v>
                </c:pt>
                <c:pt idx="2088">
                  <c:v>234700</c:v>
                </c:pt>
                <c:pt idx="2089">
                  <c:v>108400</c:v>
                </c:pt>
                <c:pt idx="2090">
                  <c:v>125200</c:v>
                </c:pt>
                <c:pt idx="2091">
                  <c:v>159800</c:v>
                </c:pt>
                <c:pt idx="2092">
                  <c:v>122500</c:v>
                </c:pt>
                <c:pt idx="2093">
                  <c:v>311900</c:v>
                </c:pt>
                <c:pt idx="2094">
                  <c:v>122600</c:v>
                </c:pt>
                <c:pt idx="2095">
                  <c:v>166900</c:v>
                </c:pt>
                <c:pt idx="2096">
                  <c:v>132100</c:v>
                </c:pt>
                <c:pt idx="2097">
                  <c:v>187200</c:v>
                </c:pt>
                <c:pt idx="2098">
                  <c:v>153000</c:v>
                </c:pt>
                <c:pt idx="2099">
                  <c:v>133900</c:v>
                </c:pt>
                <c:pt idx="2100">
                  <c:v>179500</c:v>
                </c:pt>
                <c:pt idx="2101">
                  <c:v>198100</c:v>
                </c:pt>
                <c:pt idx="2102">
                  <c:v>111200</c:v>
                </c:pt>
                <c:pt idx="2103">
                  <c:v>171000</c:v>
                </c:pt>
                <c:pt idx="2104">
                  <c:v>144000</c:v>
                </c:pt>
                <c:pt idx="2105">
                  <c:v>171100</c:v>
                </c:pt>
                <c:pt idx="2106">
                  <c:v>164900</c:v>
                </c:pt>
                <c:pt idx="2107">
                  <c:v>287300</c:v>
                </c:pt>
                <c:pt idx="2108">
                  <c:v>214900</c:v>
                </c:pt>
                <c:pt idx="2109">
                  <c:v>311700</c:v>
                </c:pt>
                <c:pt idx="2110">
                  <c:v>119900</c:v>
                </c:pt>
                <c:pt idx="2111">
                  <c:v>154600</c:v>
                </c:pt>
                <c:pt idx="2112">
                  <c:v>241300</c:v>
                </c:pt>
                <c:pt idx="2113">
                  <c:v>137900</c:v>
                </c:pt>
                <c:pt idx="2114">
                  <c:v>102300</c:v>
                </c:pt>
                <c:pt idx="2115">
                  <c:v>217900</c:v>
                </c:pt>
                <c:pt idx="2116">
                  <c:v>343500</c:v>
                </c:pt>
                <c:pt idx="2117">
                  <c:v>410600</c:v>
                </c:pt>
                <c:pt idx="2118">
                  <c:v>664100</c:v>
                </c:pt>
                <c:pt idx="2119">
                  <c:v>160900</c:v>
                </c:pt>
                <c:pt idx="2120">
                  <c:v>174600</c:v>
                </c:pt>
                <c:pt idx="2121">
                  <c:v>198800</c:v>
                </c:pt>
                <c:pt idx="2122">
                  <c:v>150100</c:v>
                </c:pt>
                <c:pt idx="2123">
                  <c:v>94600</c:v>
                </c:pt>
                <c:pt idx="2124">
                  <c:v>151800</c:v>
                </c:pt>
                <c:pt idx="2125">
                  <c:v>268400</c:v>
                </c:pt>
                <c:pt idx="2126">
                  <c:v>333500</c:v>
                </c:pt>
                <c:pt idx="2127">
                  <c:v>231600</c:v>
                </c:pt>
                <c:pt idx="2128">
                  <c:v>201200</c:v>
                </c:pt>
                <c:pt idx="2129">
                  <c:v>210200</c:v>
                </c:pt>
                <c:pt idx="2130">
                  <c:v>200200</c:v>
                </c:pt>
                <c:pt idx="2131">
                  <c:v>150900</c:v>
                </c:pt>
                <c:pt idx="2132">
                  <c:v>117800</c:v>
                </c:pt>
                <c:pt idx="2133">
                  <c:v>122100</c:v>
                </c:pt>
                <c:pt idx="2134">
                  <c:v>111700</c:v>
                </c:pt>
                <c:pt idx="2135">
                  <c:v>216800</c:v>
                </c:pt>
                <c:pt idx="2136">
                  <c:v>140900</c:v>
                </c:pt>
                <c:pt idx="2137">
                  <c:v>197100</c:v>
                </c:pt>
                <c:pt idx="2138">
                  <c:v>217800</c:v>
                </c:pt>
                <c:pt idx="2139">
                  <c:v>361200</c:v>
                </c:pt>
                <c:pt idx="2140">
                  <c:v>115600</c:v>
                </c:pt>
                <c:pt idx="2141">
                  <c:v>109700</c:v>
                </c:pt>
                <c:pt idx="2142">
                  <c:v>76800</c:v>
                </c:pt>
                <c:pt idx="2143">
                  <c:v>162600</c:v>
                </c:pt>
                <c:pt idx="2144">
                  <c:v>112800</c:v>
                </c:pt>
                <c:pt idx="2145">
                  <c:v>82700</c:v>
                </c:pt>
                <c:pt idx="2146">
                  <c:v>174000</c:v>
                </c:pt>
                <c:pt idx="2147">
                  <c:v>416300</c:v>
                </c:pt>
                <c:pt idx="2148">
                  <c:v>108900</c:v>
                </c:pt>
                <c:pt idx="2149">
                  <c:v>410600</c:v>
                </c:pt>
                <c:pt idx="2150">
                  <c:v>187300</c:v>
                </c:pt>
                <c:pt idx="2151">
                  <c:v>663400</c:v>
                </c:pt>
                <c:pt idx="2152">
                  <c:v>433400</c:v>
                </c:pt>
                <c:pt idx="2153">
                  <c:v>288200</c:v>
                </c:pt>
                <c:pt idx="2154">
                  <c:v>227300</c:v>
                </c:pt>
                <c:pt idx="2155">
                  <c:v>245500</c:v>
                </c:pt>
                <c:pt idx="2156">
                  <c:v>127300</c:v>
                </c:pt>
                <c:pt idx="2157">
                  <c:v>166600</c:v>
                </c:pt>
                <c:pt idx="2158">
                  <c:v>355500</c:v>
                </c:pt>
                <c:pt idx="2159">
                  <c:v>240200</c:v>
                </c:pt>
                <c:pt idx="2160">
                  <c:v>101700</c:v>
                </c:pt>
                <c:pt idx="2161">
                  <c:v>239000</c:v>
                </c:pt>
                <c:pt idx="2162">
                  <c:v>250200</c:v>
                </c:pt>
                <c:pt idx="2163">
                  <c:v>220000</c:v>
                </c:pt>
                <c:pt idx="2164">
                  <c:v>240200</c:v>
                </c:pt>
                <c:pt idx="2165">
                  <c:v>312800</c:v>
                </c:pt>
                <c:pt idx="2166">
                  <c:v>162600</c:v>
                </c:pt>
                <c:pt idx="2167">
                  <c:v>113100</c:v>
                </c:pt>
                <c:pt idx="2168">
                  <c:v>168100</c:v>
                </c:pt>
                <c:pt idx="2169">
                  <c:v>281700</c:v>
                </c:pt>
                <c:pt idx="2170">
                  <c:v>119000</c:v>
                </c:pt>
                <c:pt idx="2171">
                  <c:v>103200</c:v>
                </c:pt>
                <c:pt idx="2172">
                  <c:v>157000</c:v>
                </c:pt>
                <c:pt idx="2173">
                  <c:v>248400</c:v>
                </c:pt>
                <c:pt idx="2174">
                  <c:v>151500</c:v>
                </c:pt>
                <c:pt idx="2175">
                  <c:v>243600</c:v>
                </c:pt>
                <c:pt idx="2176">
                  <c:v>304500</c:v>
                </c:pt>
                <c:pt idx="2177">
                  <c:v>113100</c:v>
                </c:pt>
                <c:pt idx="2178">
                  <c:v>161900</c:v>
                </c:pt>
                <c:pt idx="2179">
                  <c:v>170500</c:v>
                </c:pt>
                <c:pt idx="2180">
                  <c:v>211500</c:v>
                </c:pt>
                <c:pt idx="2181">
                  <c:v>81500</c:v>
                </c:pt>
                <c:pt idx="2182">
                  <c:v>104000</c:v>
                </c:pt>
                <c:pt idx="2183">
                  <c:v>131200</c:v>
                </c:pt>
                <c:pt idx="2184">
                  <c:v>270200</c:v>
                </c:pt>
                <c:pt idx="2185">
                  <c:v>221500</c:v>
                </c:pt>
                <c:pt idx="2186">
                  <c:v>212900</c:v>
                </c:pt>
                <c:pt idx="2187">
                  <c:v>266100</c:v>
                </c:pt>
                <c:pt idx="2188">
                  <c:v>229800</c:v>
                </c:pt>
                <c:pt idx="2189">
                  <c:v>152600</c:v>
                </c:pt>
                <c:pt idx="2190">
                  <c:v>195500</c:v>
                </c:pt>
                <c:pt idx="2191">
                  <c:v>234100</c:v>
                </c:pt>
                <c:pt idx="2192">
                  <c:v>196700</c:v>
                </c:pt>
                <c:pt idx="2193">
                  <c:v>242300</c:v>
                </c:pt>
                <c:pt idx="2194">
                  <c:v>195200</c:v>
                </c:pt>
                <c:pt idx="2195">
                  <c:v>207800</c:v>
                </c:pt>
                <c:pt idx="2196">
                  <c:v>465200</c:v>
                </c:pt>
                <c:pt idx="2197">
                  <c:v>179500</c:v>
                </c:pt>
                <c:pt idx="2198">
                  <c:v>423100</c:v>
                </c:pt>
                <c:pt idx="2199">
                  <c:v>396100</c:v>
                </c:pt>
                <c:pt idx="2200">
                  <c:v>234800</c:v>
                </c:pt>
                <c:pt idx="2201">
                  <c:v>216500</c:v>
                </c:pt>
                <c:pt idx="2202">
                  <c:v>327000</c:v>
                </c:pt>
                <c:pt idx="2203">
                  <c:v>178700</c:v>
                </c:pt>
                <c:pt idx="2204">
                  <c:v>206300</c:v>
                </c:pt>
                <c:pt idx="2205">
                  <c:v>256600</c:v>
                </c:pt>
                <c:pt idx="2206">
                  <c:v>171400</c:v>
                </c:pt>
                <c:pt idx="2207">
                  <c:v>108500</c:v>
                </c:pt>
                <c:pt idx="2208">
                  <c:v>323500</c:v>
                </c:pt>
                <c:pt idx="2209">
                  <c:v>163500</c:v>
                </c:pt>
                <c:pt idx="2210">
                  <c:v>130800</c:v>
                </c:pt>
                <c:pt idx="2211">
                  <c:v>337000</c:v>
                </c:pt>
                <c:pt idx="2212">
                  <c:v>200500</c:v>
                </c:pt>
                <c:pt idx="2213">
                  <c:v>81100</c:v>
                </c:pt>
                <c:pt idx="2214">
                  <c:v>133400</c:v>
                </c:pt>
                <c:pt idx="2215">
                  <c:v>178300</c:v>
                </c:pt>
                <c:pt idx="2216">
                  <c:v>122100</c:v>
                </c:pt>
                <c:pt idx="2217">
                  <c:v>114000</c:v>
                </c:pt>
                <c:pt idx="2218">
                  <c:v>111500</c:v>
                </c:pt>
                <c:pt idx="2219">
                  <c:v>309600</c:v>
                </c:pt>
                <c:pt idx="2220">
                  <c:v>130600</c:v>
                </c:pt>
                <c:pt idx="2221">
                  <c:v>63000</c:v>
                </c:pt>
                <c:pt idx="2222">
                  <c:v>151500</c:v>
                </c:pt>
                <c:pt idx="2223">
                  <c:v>82300</c:v>
                </c:pt>
                <c:pt idx="2224">
                  <c:v>71200</c:v>
                </c:pt>
                <c:pt idx="2225">
                  <c:v>164600</c:v>
                </c:pt>
                <c:pt idx="2226">
                  <c:v>92800</c:v>
                </c:pt>
                <c:pt idx="2227">
                  <c:v>101900</c:v>
                </c:pt>
                <c:pt idx="2228">
                  <c:v>52600</c:v>
                </c:pt>
                <c:pt idx="2229">
                  <c:v>107600</c:v>
                </c:pt>
                <c:pt idx="2230">
                  <c:v>151800</c:v>
                </c:pt>
                <c:pt idx="2231">
                  <c:v>90500</c:v>
                </c:pt>
                <c:pt idx="2232">
                  <c:v>132900</c:v>
                </c:pt>
                <c:pt idx="2233">
                  <c:v>45600</c:v>
                </c:pt>
                <c:pt idx="2234">
                  <c:v>83200</c:v>
                </c:pt>
                <c:pt idx="2235">
                  <c:v>211300</c:v>
                </c:pt>
                <c:pt idx="2236">
                  <c:v>209600</c:v>
                </c:pt>
                <c:pt idx="2237">
                  <c:v>126400</c:v>
                </c:pt>
                <c:pt idx="2238">
                  <c:v>249200</c:v>
                </c:pt>
                <c:pt idx="2239">
                  <c:v>65100</c:v>
                </c:pt>
                <c:pt idx="2240">
                  <c:v>160900</c:v>
                </c:pt>
                <c:pt idx="2241">
                  <c:v>223300</c:v>
                </c:pt>
                <c:pt idx="2242">
                  <c:v>301100</c:v>
                </c:pt>
                <c:pt idx="2243">
                  <c:v>131800</c:v>
                </c:pt>
                <c:pt idx="2244">
                  <c:v>679200</c:v>
                </c:pt>
                <c:pt idx="2245">
                  <c:v>586200</c:v>
                </c:pt>
                <c:pt idx="2246">
                  <c:v>532900</c:v>
                </c:pt>
                <c:pt idx="2247">
                  <c:v>1085200</c:v>
                </c:pt>
                <c:pt idx="2248">
                  <c:v>999900</c:v>
                </c:pt>
                <c:pt idx="2249">
                  <c:v>1054900</c:v>
                </c:pt>
                <c:pt idx="2250">
                  <c:v>674400</c:v>
                </c:pt>
                <c:pt idx="2251">
                  <c:v>894500</c:v>
                </c:pt>
                <c:pt idx="2252">
                  <c:v>336600</c:v>
                </c:pt>
                <c:pt idx="2253">
                  <c:v>317400</c:v>
                </c:pt>
                <c:pt idx="2254">
                  <c:v>520600</c:v>
                </c:pt>
                <c:pt idx="2255">
                  <c:v>772700</c:v>
                </c:pt>
                <c:pt idx="2256">
                  <c:v>368600</c:v>
                </c:pt>
                <c:pt idx="2257">
                  <c:v>322800</c:v>
                </c:pt>
                <c:pt idx="2258">
                  <c:v>356900</c:v>
                </c:pt>
                <c:pt idx="2259">
                  <c:v>617300</c:v>
                </c:pt>
                <c:pt idx="2260">
                  <c:v>489600</c:v>
                </c:pt>
                <c:pt idx="2261">
                  <c:v>310400</c:v>
                </c:pt>
                <c:pt idx="2262">
                  <c:v>352700</c:v>
                </c:pt>
                <c:pt idx="2263">
                  <c:v>513300</c:v>
                </c:pt>
                <c:pt idx="2264">
                  <c:v>288600</c:v>
                </c:pt>
                <c:pt idx="2265">
                  <c:v>332100</c:v>
                </c:pt>
                <c:pt idx="2266">
                  <c:v>422900</c:v>
                </c:pt>
                <c:pt idx="2267">
                  <c:v>196900</c:v>
                </c:pt>
                <c:pt idx="2268">
                  <c:v>219800</c:v>
                </c:pt>
                <c:pt idx="2269">
                  <c:v>349000</c:v>
                </c:pt>
                <c:pt idx="2270">
                  <c:v>687200</c:v>
                </c:pt>
                <c:pt idx="2271">
                  <c:v>545100</c:v>
                </c:pt>
                <c:pt idx="2272">
                  <c:v>356500</c:v>
                </c:pt>
                <c:pt idx="2273">
                  <c:v>334000</c:v>
                </c:pt>
                <c:pt idx="2274">
                  <c:v>443700</c:v>
                </c:pt>
                <c:pt idx="2275">
                  <c:v>981900</c:v>
                </c:pt>
                <c:pt idx="2276">
                  <c:v>403400</c:v>
                </c:pt>
                <c:pt idx="2277">
                  <c:v>342200</c:v>
                </c:pt>
                <c:pt idx="2278">
                  <c:v>139800</c:v>
                </c:pt>
                <c:pt idx="2279">
                  <c:v>861900</c:v>
                </c:pt>
                <c:pt idx="2280">
                  <c:v>931000</c:v>
                </c:pt>
                <c:pt idx="2281">
                  <c:v>1261000</c:v>
                </c:pt>
                <c:pt idx="2282">
                  <c:v>501300</c:v>
                </c:pt>
                <c:pt idx="2283">
                  <c:v>675900</c:v>
                </c:pt>
                <c:pt idx="2284">
                  <c:v>380700</c:v>
                </c:pt>
                <c:pt idx="2285">
                  <c:v>306700</c:v>
                </c:pt>
                <c:pt idx="2286">
                  <c:v>362500</c:v>
                </c:pt>
                <c:pt idx="2287">
                  <c:v>356500</c:v>
                </c:pt>
                <c:pt idx="2288">
                  <c:v>160200</c:v>
                </c:pt>
                <c:pt idx="2289">
                  <c:v>120900</c:v>
                </c:pt>
                <c:pt idx="2290">
                  <c:v>139000</c:v>
                </c:pt>
                <c:pt idx="2291">
                  <c:v>235800</c:v>
                </c:pt>
                <c:pt idx="2292">
                  <c:v>329900</c:v>
                </c:pt>
                <c:pt idx="2293">
                  <c:v>590100</c:v>
                </c:pt>
                <c:pt idx="2294">
                  <c:v>276700</c:v>
                </c:pt>
                <c:pt idx="2295">
                  <c:v>145900</c:v>
                </c:pt>
                <c:pt idx="2296">
                  <c:v>111100</c:v>
                </c:pt>
                <c:pt idx="2297">
                  <c:v>122200</c:v>
                </c:pt>
                <c:pt idx="2298">
                  <c:v>92900</c:v>
                </c:pt>
                <c:pt idx="2299">
                  <c:v>221700</c:v>
                </c:pt>
                <c:pt idx="2300">
                  <c:v>112500</c:v>
                </c:pt>
                <c:pt idx="2301">
                  <c:v>92000</c:v>
                </c:pt>
                <c:pt idx="2302">
                  <c:v>72500</c:v>
                </c:pt>
                <c:pt idx="2303">
                  <c:v>226100</c:v>
                </c:pt>
                <c:pt idx="2304">
                  <c:v>137700</c:v>
                </c:pt>
                <c:pt idx="2305">
                  <c:v>78400</c:v>
                </c:pt>
                <c:pt idx="2306">
                  <c:v>109100</c:v>
                </c:pt>
                <c:pt idx="2307">
                  <c:v>245600</c:v>
                </c:pt>
                <c:pt idx="2308">
                  <c:v>151500</c:v>
                </c:pt>
                <c:pt idx="2309">
                  <c:v>154800</c:v>
                </c:pt>
                <c:pt idx="2310">
                  <c:v>507800</c:v>
                </c:pt>
                <c:pt idx="2311">
                  <c:v>269400</c:v>
                </c:pt>
                <c:pt idx="2312">
                  <c:v>180100</c:v>
                </c:pt>
                <c:pt idx="2313">
                  <c:v>252600</c:v>
                </c:pt>
                <c:pt idx="2314">
                  <c:v>201300</c:v>
                </c:pt>
                <c:pt idx="2315">
                  <c:v>254400</c:v>
                </c:pt>
                <c:pt idx="2316">
                  <c:v>257800</c:v>
                </c:pt>
                <c:pt idx="2317">
                  <c:v>194700</c:v>
                </c:pt>
                <c:pt idx="2318">
                  <c:v>214400</c:v>
                </c:pt>
                <c:pt idx="2319">
                  <c:v>218600</c:v>
                </c:pt>
                <c:pt idx="2320">
                  <c:v>176800</c:v>
                </c:pt>
                <c:pt idx="2321">
                  <c:v>267600</c:v>
                </c:pt>
                <c:pt idx="2322">
                  <c:v>415300</c:v>
                </c:pt>
                <c:pt idx="2323">
                  <c:v>460600</c:v>
                </c:pt>
                <c:pt idx="2324">
                  <c:v>831000</c:v>
                </c:pt>
                <c:pt idx="2325">
                  <c:v>1149700</c:v>
                </c:pt>
                <c:pt idx="2326">
                  <c:v>513700</c:v>
                </c:pt>
                <c:pt idx="2327">
                  <c:v>647300</c:v>
                </c:pt>
                <c:pt idx="2328">
                  <c:v>540600</c:v>
                </c:pt>
                <c:pt idx="2329">
                  <c:v>385800</c:v>
                </c:pt>
                <c:pt idx="2330">
                  <c:v>233700</c:v>
                </c:pt>
                <c:pt idx="2331">
                  <c:v>361200</c:v>
                </c:pt>
                <c:pt idx="2332">
                  <c:v>331700</c:v>
                </c:pt>
                <c:pt idx="2333">
                  <c:v>389800</c:v>
                </c:pt>
                <c:pt idx="2334">
                  <c:v>190300</c:v>
                </c:pt>
                <c:pt idx="2335">
                  <c:v>298800</c:v>
                </c:pt>
                <c:pt idx="2336">
                  <c:v>338600</c:v>
                </c:pt>
                <c:pt idx="2337">
                  <c:v>322800</c:v>
                </c:pt>
                <c:pt idx="2338">
                  <c:v>662700</c:v>
                </c:pt>
                <c:pt idx="2339">
                  <c:v>1015200</c:v>
                </c:pt>
                <c:pt idx="2340">
                  <c:v>307600</c:v>
                </c:pt>
                <c:pt idx="2341">
                  <c:v>345500</c:v>
                </c:pt>
                <c:pt idx="2342">
                  <c:v>233800</c:v>
                </c:pt>
                <c:pt idx="2343">
                  <c:v>180300</c:v>
                </c:pt>
                <c:pt idx="2344">
                  <c:v>443900</c:v>
                </c:pt>
                <c:pt idx="2345">
                  <c:v>153100</c:v>
                </c:pt>
                <c:pt idx="2346">
                  <c:v>181400</c:v>
                </c:pt>
                <c:pt idx="2347">
                  <c:v>455500</c:v>
                </c:pt>
                <c:pt idx="2348">
                  <c:v>243600</c:v>
                </c:pt>
                <c:pt idx="2349">
                  <c:v>105000</c:v>
                </c:pt>
                <c:pt idx="2350">
                  <c:v>105500</c:v>
                </c:pt>
                <c:pt idx="2351">
                  <c:v>167000</c:v>
                </c:pt>
                <c:pt idx="2352">
                  <c:v>116400</c:v>
                </c:pt>
                <c:pt idx="2353">
                  <c:v>242600</c:v>
                </c:pt>
                <c:pt idx="2354">
                  <c:v>166900</c:v>
                </c:pt>
                <c:pt idx="2355">
                  <c:v>87700</c:v>
                </c:pt>
                <c:pt idx="2356">
                  <c:v>137300</c:v>
                </c:pt>
                <c:pt idx="2357">
                  <c:v>92800</c:v>
                </c:pt>
                <c:pt idx="2358">
                  <c:v>138100</c:v>
                </c:pt>
                <c:pt idx="2359">
                  <c:v>321200</c:v>
                </c:pt>
                <c:pt idx="2360">
                  <c:v>247000</c:v>
                </c:pt>
                <c:pt idx="2361">
                  <c:v>130000</c:v>
                </c:pt>
                <c:pt idx="2362">
                  <c:v>257100</c:v>
                </c:pt>
                <c:pt idx="2363">
                  <c:v>220600</c:v>
                </c:pt>
                <c:pt idx="2364">
                  <c:v>366400</c:v>
                </c:pt>
                <c:pt idx="2365">
                  <c:v>272000</c:v>
                </c:pt>
                <c:pt idx="2366">
                  <c:v>63400</c:v>
                </c:pt>
                <c:pt idx="2367">
                  <c:v>167900</c:v>
                </c:pt>
                <c:pt idx="2368">
                  <c:v>124700</c:v>
                </c:pt>
                <c:pt idx="2369">
                  <c:v>131500</c:v>
                </c:pt>
                <c:pt idx="2370">
                  <c:v>102700</c:v>
                </c:pt>
                <c:pt idx="2371">
                  <c:v>63700</c:v>
                </c:pt>
                <c:pt idx="2372">
                  <c:v>175700</c:v>
                </c:pt>
                <c:pt idx="2373">
                  <c:v>151500</c:v>
                </c:pt>
                <c:pt idx="2374">
                  <c:v>115800</c:v>
                </c:pt>
                <c:pt idx="2375">
                  <c:v>302900</c:v>
                </c:pt>
                <c:pt idx="2376">
                  <c:v>283300</c:v>
                </c:pt>
                <c:pt idx="2377">
                  <c:v>269300</c:v>
                </c:pt>
                <c:pt idx="2378">
                  <c:v>185500</c:v>
                </c:pt>
                <c:pt idx="2379">
                  <c:v>123800</c:v>
                </c:pt>
                <c:pt idx="2380">
                  <c:v>135500</c:v>
                </c:pt>
                <c:pt idx="2381">
                  <c:v>181000</c:v>
                </c:pt>
                <c:pt idx="2382">
                  <c:v>113700</c:v>
                </c:pt>
                <c:pt idx="2383">
                  <c:v>59300</c:v>
                </c:pt>
                <c:pt idx="2384">
                  <c:v>217100</c:v>
                </c:pt>
                <c:pt idx="2385">
                  <c:v>87200</c:v>
                </c:pt>
                <c:pt idx="2386">
                  <c:v>84800</c:v>
                </c:pt>
                <c:pt idx="2387">
                  <c:v>185100</c:v>
                </c:pt>
                <c:pt idx="2388">
                  <c:v>81600</c:v>
                </c:pt>
                <c:pt idx="2389">
                  <c:v>245000</c:v>
                </c:pt>
                <c:pt idx="2390">
                  <c:v>105800</c:v>
                </c:pt>
                <c:pt idx="2391">
                  <c:v>332400</c:v>
                </c:pt>
                <c:pt idx="2392">
                  <c:v>72500</c:v>
                </c:pt>
                <c:pt idx="2393">
                  <c:v>136800</c:v>
                </c:pt>
                <c:pt idx="2394">
                  <c:v>136500</c:v>
                </c:pt>
                <c:pt idx="2395">
                  <c:v>136400</c:v>
                </c:pt>
                <c:pt idx="2396">
                  <c:v>78300</c:v>
                </c:pt>
                <c:pt idx="2397">
                  <c:v>174900</c:v>
                </c:pt>
                <c:pt idx="2398">
                  <c:v>341300</c:v>
                </c:pt>
                <c:pt idx="2399">
                  <c:v>134600</c:v>
                </c:pt>
                <c:pt idx="2400">
                  <c:v>181000</c:v>
                </c:pt>
                <c:pt idx="2401">
                  <c:v>390100</c:v>
                </c:pt>
                <c:pt idx="2402">
                  <c:v>486200</c:v>
                </c:pt>
                <c:pt idx="2403">
                  <c:v>503000</c:v>
                </c:pt>
                <c:pt idx="2404">
                  <c:v>268900</c:v>
                </c:pt>
                <c:pt idx="2405">
                  <c:v>184700</c:v>
                </c:pt>
                <c:pt idx="2406">
                  <c:v>193900</c:v>
                </c:pt>
                <c:pt idx="2407">
                  <c:v>146100</c:v>
                </c:pt>
                <c:pt idx="2408">
                  <c:v>160800</c:v>
                </c:pt>
                <c:pt idx="2409">
                  <c:v>168700</c:v>
                </c:pt>
                <c:pt idx="2410">
                  <c:v>153100</c:v>
                </c:pt>
                <c:pt idx="2411">
                  <c:v>343200</c:v>
                </c:pt>
                <c:pt idx="2412">
                  <c:v>210900</c:v>
                </c:pt>
                <c:pt idx="2413">
                  <c:v>237200</c:v>
                </c:pt>
                <c:pt idx="2414">
                  <c:v>265600</c:v>
                </c:pt>
                <c:pt idx="2415">
                  <c:v>106600</c:v>
                </c:pt>
                <c:pt idx="2416">
                  <c:v>87100</c:v>
                </c:pt>
                <c:pt idx="2417">
                  <c:v>87000</c:v>
                </c:pt>
                <c:pt idx="2418">
                  <c:v>135600</c:v>
                </c:pt>
                <c:pt idx="2419">
                  <c:v>130600</c:v>
                </c:pt>
                <c:pt idx="2420">
                  <c:v>158700</c:v>
                </c:pt>
                <c:pt idx="2421">
                  <c:v>106500</c:v>
                </c:pt>
                <c:pt idx="2422">
                  <c:v>235800</c:v>
                </c:pt>
                <c:pt idx="2423">
                  <c:v>111900</c:v>
                </c:pt>
                <c:pt idx="2424">
                  <c:v>98600</c:v>
                </c:pt>
                <c:pt idx="2425">
                  <c:v>149300</c:v>
                </c:pt>
                <c:pt idx="2426">
                  <c:v>186100</c:v>
                </c:pt>
                <c:pt idx="2427">
                  <c:v>273700</c:v>
                </c:pt>
                <c:pt idx="2428">
                  <c:v>168700</c:v>
                </c:pt>
                <c:pt idx="2429">
                  <c:v>120100</c:v>
                </c:pt>
                <c:pt idx="2430">
                  <c:v>82800</c:v>
                </c:pt>
                <c:pt idx="2431">
                  <c:v>113500</c:v>
                </c:pt>
                <c:pt idx="2432">
                  <c:v>137200</c:v>
                </c:pt>
                <c:pt idx="2433">
                  <c:v>420600</c:v>
                </c:pt>
                <c:pt idx="2434">
                  <c:v>767100</c:v>
                </c:pt>
                <c:pt idx="2435">
                  <c:v>217500</c:v>
                </c:pt>
                <c:pt idx="2436">
                  <c:v>154300</c:v>
                </c:pt>
                <c:pt idx="2437">
                  <c:v>230700</c:v>
                </c:pt>
                <c:pt idx="2438">
                  <c:v>171300</c:v>
                </c:pt>
                <c:pt idx="2439">
                  <c:v>274100</c:v>
                </c:pt>
                <c:pt idx="2440">
                  <c:v>422800</c:v>
                </c:pt>
                <c:pt idx="2441">
                  <c:v>1003200</c:v>
                </c:pt>
                <c:pt idx="2442">
                  <c:v>100300</c:v>
                </c:pt>
                <c:pt idx="2443">
                  <c:v>139200</c:v>
                </c:pt>
                <c:pt idx="2444">
                  <c:v>421300</c:v>
                </c:pt>
                <c:pt idx="2445">
                  <c:v>109000</c:v>
                </c:pt>
                <c:pt idx="2446">
                  <c:v>173300</c:v>
                </c:pt>
                <c:pt idx="2447">
                  <c:v>388100</c:v>
                </c:pt>
                <c:pt idx="2448">
                  <c:v>190400</c:v>
                </c:pt>
                <c:pt idx="2449">
                  <c:v>125400</c:v>
                </c:pt>
                <c:pt idx="2450">
                  <c:v>252400</c:v>
                </c:pt>
                <c:pt idx="2451">
                  <c:v>370400</c:v>
                </c:pt>
                <c:pt idx="2452">
                  <c:v>227700</c:v>
                </c:pt>
                <c:pt idx="2453">
                  <c:v>219600</c:v>
                </c:pt>
                <c:pt idx="2454">
                  <c:v>401700</c:v>
                </c:pt>
                <c:pt idx="2455">
                  <c:v>268200</c:v>
                </c:pt>
                <c:pt idx="2456">
                  <c:v>436400</c:v>
                </c:pt>
                <c:pt idx="2457">
                  <c:v>121300</c:v>
                </c:pt>
                <c:pt idx="2458">
                  <c:v>451100</c:v>
                </c:pt>
                <c:pt idx="2459">
                  <c:v>264300</c:v>
                </c:pt>
                <c:pt idx="2460">
                  <c:v>160900</c:v>
                </c:pt>
                <c:pt idx="2461">
                  <c:v>184100</c:v>
                </c:pt>
                <c:pt idx="2462">
                  <c:v>120900</c:v>
                </c:pt>
                <c:pt idx="2463">
                  <c:v>154000</c:v>
                </c:pt>
                <c:pt idx="2464">
                  <c:v>250900</c:v>
                </c:pt>
                <c:pt idx="2465">
                  <c:v>472600</c:v>
                </c:pt>
                <c:pt idx="2466">
                  <c:v>828300</c:v>
                </c:pt>
                <c:pt idx="2467">
                  <c:v>187000</c:v>
                </c:pt>
                <c:pt idx="2468">
                  <c:v>226100</c:v>
                </c:pt>
                <c:pt idx="2469">
                  <c:v>189300</c:v>
                </c:pt>
                <c:pt idx="2470">
                  <c:v>133400</c:v>
                </c:pt>
                <c:pt idx="2471">
                  <c:v>94600</c:v>
                </c:pt>
                <c:pt idx="2472">
                  <c:v>829400</c:v>
                </c:pt>
                <c:pt idx="2473">
                  <c:v>305200</c:v>
                </c:pt>
                <c:pt idx="2474">
                  <c:v>140100</c:v>
                </c:pt>
                <c:pt idx="2475">
                  <c:v>157200</c:v>
                </c:pt>
                <c:pt idx="2476">
                  <c:v>224700</c:v>
                </c:pt>
                <c:pt idx="2477">
                  <c:v>99700</c:v>
                </c:pt>
                <c:pt idx="2478">
                  <c:v>158500</c:v>
                </c:pt>
                <c:pt idx="2479">
                  <c:v>238900</c:v>
                </c:pt>
                <c:pt idx="2480">
                  <c:v>211000</c:v>
                </c:pt>
                <c:pt idx="2481">
                  <c:v>235800</c:v>
                </c:pt>
                <c:pt idx="2482">
                  <c:v>113300</c:v>
                </c:pt>
                <c:pt idx="2483">
                  <c:v>174500</c:v>
                </c:pt>
                <c:pt idx="2484">
                  <c:v>217200</c:v>
                </c:pt>
                <c:pt idx="2485">
                  <c:v>290300</c:v>
                </c:pt>
                <c:pt idx="2486">
                  <c:v>735000</c:v>
                </c:pt>
                <c:pt idx="2487">
                  <c:v>201500</c:v>
                </c:pt>
                <c:pt idx="2488">
                  <c:v>221200</c:v>
                </c:pt>
                <c:pt idx="2489">
                  <c:v>300600</c:v>
                </c:pt>
                <c:pt idx="2490">
                  <c:v>100900</c:v>
                </c:pt>
                <c:pt idx="2491">
                  <c:v>394700</c:v>
                </c:pt>
                <c:pt idx="2492">
                  <c:v>388300</c:v>
                </c:pt>
                <c:pt idx="2493">
                  <c:v>189300</c:v>
                </c:pt>
                <c:pt idx="2494">
                  <c:v>302400</c:v>
                </c:pt>
                <c:pt idx="2495">
                  <c:v>741800</c:v>
                </c:pt>
                <c:pt idx="2496">
                  <c:v>609500</c:v>
                </c:pt>
                <c:pt idx="2497">
                  <c:v>643200</c:v>
                </c:pt>
                <c:pt idx="2498">
                  <c:v>242200</c:v>
                </c:pt>
                <c:pt idx="2499">
                  <c:v>405500</c:v>
                </c:pt>
                <c:pt idx="2500">
                  <c:v>521600</c:v>
                </c:pt>
                <c:pt idx="2501">
                  <c:v>372700</c:v>
                </c:pt>
                <c:pt idx="2502">
                  <c:v>557000</c:v>
                </c:pt>
                <c:pt idx="2503">
                  <c:v>747000</c:v>
                </c:pt>
                <c:pt idx="2504">
                  <c:v>544200</c:v>
                </c:pt>
                <c:pt idx="2505">
                  <c:v>743600</c:v>
                </c:pt>
                <c:pt idx="2506">
                  <c:v>611300</c:v>
                </c:pt>
                <c:pt idx="2507">
                  <c:v>945700</c:v>
                </c:pt>
                <c:pt idx="2508">
                  <c:v>10814100</c:v>
                </c:pt>
                <c:pt idx="2509">
                  <c:v>981600</c:v>
                </c:pt>
                <c:pt idx="2510">
                  <c:v>649300</c:v>
                </c:pt>
                <c:pt idx="2511">
                  <c:v>455100</c:v>
                </c:pt>
                <c:pt idx="2512">
                  <c:v>823600</c:v>
                </c:pt>
                <c:pt idx="2513">
                  <c:v>278200</c:v>
                </c:pt>
                <c:pt idx="2514">
                  <c:v>339600</c:v>
                </c:pt>
                <c:pt idx="2515">
                  <c:v>279900</c:v>
                </c:pt>
                <c:pt idx="2516">
                  <c:v>193000</c:v>
                </c:pt>
              </c:numCache>
            </c:numRef>
          </c:val>
          <c:extLst>
            <c:ext xmlns:c16="http://schemas.microsoft.com/office/drawing/2014/chart" uri="{C3380CC4-5D6E-409C-BE32-E72D297353CC}">
              <c16:uniqueId val="{00000000-3346-4F17-B3D8-1E718944C9EC}"/>
            </c:ext>
          </c:extLst>
        </c:ser>
        <c:dLbls>
          <c:showLegendKey val="0"/>
          <c:showVal val="0"/>
          <c:showCatName val="0"/>
          <c:showSerName val="0"/>
          <c:showPercent val="0"/>
          <c:showBubbleSize val="0"/>
        </c:dLbls>
        <c:axId val="490977680"/>
        <c:axId val="490978008"/>
      </c:areaChart>
      <c:dateAx>
        <c:axId val="49097768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90978008"/>
        <c:crosses val="autoZero"/>
        <c:auto val="1"/>
        <c:lblOffset val="100"/>
        <c:baseTimeUnit val="days"/>
        <c:majorUnit val="1"/>
        <c:majorTimeUnit val="years"/>
      </c:dateAx>
      <c:valAx>
        <c:axId val="490978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90977680"/>
        <c:crossesAt val="39835"/>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Peter Lynch Analysis</a:t>
            </a:r>
          </a:p>
        </c:rich>
      </c:tx>
      <c:overlay val="0"/>
    </c:title>
    <c:autoTitleDeleted val="0"/>
    <c:plotArea>
      <c:layout/>
      <c:lineChart>
        <c:grouping val="standard"/>
        <c:varyColors val="1"/>
        <c:ser>
          <c:idx val="0"/>
          <c:order val="0"/>
          <c:tx>
            <c:strRef>
              <c:f>Valuation!$C$47</c:f>
              <c:strCache>
                <c:ptCount val="1"/>
                <c:pt idx="0">
                  <c:v>Stock Price</c:v>
                </c:pt>
              </c:strCache>
            </c:strRef>
          </c:tx>
          <c:spPr>
            <a:ln w="38100" cmpd="sng">
              <a:solidFill>
                <a:srgbClr val="3366CC"/>
              </a:solidFill>
              <a:prstDash val="sysDot"/>
            </a:ln>
          </c:spPr>
          <c:marker>
            <c:symbol val="none"/>
          </c:marker>
          <c:cat>
            <c:numRef>
              <c:f>Valuation!$E$46:$K$46</c:f>
              <c:numCache>
                <c:formatCode>yyyy"-"mm</c:formatCode>
                <c:ptCount val="7"/>
                <c:pt idx="0">
                  <c:v>43004</c:v>
                </c:pt>
                <c:pt idx="1">
                  <c:v>43098</c:v>
                </c:pt>
                <c:pt idx="2">
                  <c:v>43188</c:v>
                </c:pt>
                <c:pt idx="3">
                  <c:v>43279</c:v>
                </c:pt>
                <c:pt idx="4">
                  <c:v>43370</c:v>
                </c:pt>
                <c:pt idx="5">
                  <c:v>43461</c:v>
                </c:pt>
                <c:pt idx="6">
                  <c:v>43552</c:v>
                </c:pt>
              </c:numCache>
            </c:numRef>
          </c:cat>
          <c:val>
            <c:numRef>
              <c:f>Valuation!$E$47:$K$47</c:f>
              <c:numCache>
                <c:formatCode>"$"#,##0.00</c:formatCode>
                <c:ptCount val="7"/>
                <c:pt idx="0">
                  <c:v>30.01</c:v>
                </c:pt>
                <c:pt idx="1">
                  <c:v>37.020000000000003</c:v>
                </c:pt>
                <c:pt idx="2">
                  <c:v>31.35</c:v>
                </c:pt>
                <c:pt idx="3">
                  <c:v>20.09</c:v>
                </c:pt>
                <c:pt idx="4">
                  <c:v>18.579999999999998</c:v>
                </c:pt>
                <c:pt idx="5">
                  <c:v>14.14</c:v>
                </c:pt>
                <c:pt idx="6">
                  <c:v>14.23</c:v>
                </c:pt>
              </c:numCache>
              <c:extLst/>
            </c:numRef>
          </c:val>
          <c:smooth val="1"/>
          <c:extLst>
            <c:ext xmlns:c16="http://schemas.microsoft.com/office/drawing/2014/chart" uri="{C3380CC4-5D6E-409C-BE32-E72D297353CC}">
              <c16:uniqueId val="{00000000-202D-4260-B47E-718CE5A4F509}"/>
            </c:ext>
          </c:extLst>
        </c:ser>
        <c:ser>
          <c:idx val="1"/>
          <c:order val="1"/>
          <c:tx>
            <c:strRef>
              <c:f>Valuation!$C$48</c:f>
              <c:strCache>
                <c:ptCount val="1"/>
                <c:pt idx="0">
                  <c:v>Rolling TTM EPS * 15</c:v>
                </c:pt>
              </c:strCache>
            </c:strRef>
          </c:tx>
          <c:spPr>
            <a:ln w="19050" cmpd="sng">
              <a:solidFill>
                <a:srgbClr val="DC3912"/>
              </a:solidFill>
            </a:ln>
          </c:spPr>
          <c:marker>
            <c:symbol val="none"/>
          </c:marker>
          <c:cat>
            <c:numRef>
              <c:f>Valuation!$E$46:$K$46</c:f>
              <c:numCache>
                <c:formatCode>yyyy"-"mm</c:formatCode>
                <c:ptCount val="7"/>
                <c:pt idx="0">
                  <c:v>43004</c:v>
                </c:pt>
                <c:pt idx="1">
                  <c:v>43098</c:v>
                </c:pt>
                <c:pt idx="2">
                  <c:v>43188</c:v>
                </c:pt>
                <c:pt idx="3">
                  <c:v>43279</c:v>
                </c:pt>
                <c:pt idx="4">
                  <c:v>43370</c:v>
                </c:pt>
                <c:pt idx="5">
                  <c:v>43461</c:v>
                </c:pt>
                <c:pt idx="6">
                  <c:v>43552</c:v>
                </c:pt>
              </c:numCache>
            </c:numRef>
          </c:cat>
          <c:val>
            <c:numRef>
              <c:f>Valuation!$E$48:$K$48</c:f>
              <c:numCache>
                <c:formatCode>0.00</c:formatCode>
                <c:ptCount val="7"/>
                <c:pt idx="0">
                  <c:v>31.510234144780785</c:v>
                </c:pt>
                <c:pt idx="1">
                  <c:v>31.731323737171088</c:v>
                </c:pt>
                <c:pt idx="2">
                  <c:v>15.782239705302917</c:v>
                </c:pt>
                <c:pt idx="3">
                  <c:v>-1.137631041356459</c:v>
                </c:pt>
                <c:pt idx="4">
                  <c:v>-14.507186547058273</c:v>
                </c:pt>
                <c:pt idx="5">
                  <c:v>4.956198604034018</c:v>
                </c:pt>
                <c:pt idx="6">
                  <c:v>2.4651081376823214</c:v>
                </c:pt>
              </c:numCache>
              <c:extLst/>
            </c:numRef>
          </c:val>
          <c:smooth val="1"/>
          <c:extLst>
            <c:ext xmlns:c16="http://schemas.microsoft.com/office/drawing/2014/chart" uri="{C3380CC4-5D6E-409C-BE32-E72D297353CC}">
              <c16:uniqueId val="{00000001-202D-4260-B47E-718CE5A4F509}"/>
            </c:ext>
          </c:extLst>
        </c:ser>
        <c:dLbls>
          <c:showLegendKey val="0"/>
          <c:showVal val="0"/>
          <c:showCatName val="0"/>
          <c:showSerName val="0"/>
          <c:showPercent val="0"/>
          <c:showBubbleSize val="0"/>
        </c:dLbls>
        <c:smooth val="0"/>
        <c:axId val="186568021"/>
        <c:axId val="1295467358"/>
      </c:lineChart>
      <c:dateAx>
        <c:axId val="186568021"/>
        <c:scaling>
          <c:orientation val="minMax"/>
        </c:scaling>
        <c:delete val="0"/>
        <c:axPos val="b"/>
        <c:numFmt formatCode="yyyy&quot;-&quot;mm" sourceLinked="1"/>
        <c:majorTickMark val="none"/>
        <c:minorTickMark val="none"/>
        <c:tickLblPos val="nextTo"/>
        <c:txPr>
          <a:bodyPr/>
          <a:lstStyle/>
          <a:p>
            <a:pPr>
              <a:defRPr sz="800"/>
            </a:pPr>
            <a:endParaRPr lang="en-US"/>
          </a:p>
        </c:txPr>
        <c:crossAx val="1295467358"/>
        <c:crosses val="autoZero"/>
        <c:auto val="1"/>
        <c:lblOffset val="100"/>
        <c:baseTimeUnit val="months"/>
        <c:majorUnit val="6"/>
        <c:majorTimeUnit val="months"/>
      </c:dateAx>
      <c:valAx>
        <c:axId val="1295467358"/>
        <c:scaling>
          <c:orientation val="minMax"/>
        </c:scaling>
        <c:delete val="0"/>
        <c:axPos val="l"/>
        <c:majorGridlines>
          <c:spPr>
            <a:ln>
              <a:solidFill>
                <a:srgbClr val="B7B7B7"/>
              </a:solidFill>
            </a:ln>
          </c:spPr>
        </c:majorGridlines>
        <c:numFmt formatCode="&quot;$&quot;#,##0.00" sourceLinked="1"/>
        <c:majorTickMark val="cross"/>
        <c:minorTickMark val="cross"/>
        <c:tickLblPos val="nextTo"/>
        <c:spPr>
          <a:ln w="47625">
            <a:noFill/>
          </a:ln>
        </c:spPr>
        <c:txPr>
          <a:bodyPr/>
          <a:lstStyle/>
          <a:p>
            <a:pPr>
              <a:defRPr sz="800"/>
            </a:pPr>
            <a:endParaRPr lang="en-US"/>
          </a:p>
        </c:txPr>
        <c:crossAx val="186568021"/>
        <c:crosses val="autoZero"/>
        <c:crossBetween val="between"/>
      </c:valAx>
    </c:plotArea>
    <c:legend>
      <c:legendPos val="b"/>
      <c:overlay val="0"/>
    </c:legend>
    <c:plotVisOnly val="1"/>
    <c:dispBlanksAs val="zero"/>
    <c:showDLblsOverMax val="1"/>
  </c:chart>
  <c:spPr>
    <a:solidFill>
      <a:srgbClr val="FFFFFF">
        <a:alpha val="0"/>
      </a:srgbClr>
    </a:solidFill>
    <a:ln>
      <a:solidFill>
        <a:schemeClr val="tx1"/>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12</xdr:col>
      <xdr:colOff>420077</xdr:colOff>
      <xdr:row>4</xdr:row>
      <xdr:rowOff>19538</xdr:rowOff>
    </xdr:from>
    <xdr:to>
      <xdr:col>14</xdr:col>
      <xdr:colOff>549433</xdr:colOff>
      <xdr:row>11</xdr:row>
      <xdr:rowOff>19538</xdr:rowOff>
    </xdr:to>
    <xdr:pic>
      <xdr:nvPicPr>
        <xdr:cNvPr id="4" name="Picture 3">
          <a:extLst>
            <a:ext uri="{FF2B5EF4-FFF2-40B4-BE49-F238E27FC236}">
              <a16:creationId xmlns:a16="http://schemas.microsoft.com/office/drawing/2014/main" id="{44C539E5-0DCA-E841-BE65-91A9A8CE53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21462" y="722923"/>
          <a:ext cx="1907356" cy="1230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7040</xdr:colOff>
      <xdr:row>20</xdr:row>
      <xdr:rowOff>133350</xdr:rowOff>
    </xdr:from>
    <xdr:ext cx="12641225" cy="2997476"/>
    <xdr:graphicFrame macro="">
      <xdr:nvGraphicFramePr>
        <xdr:cNvPr id="14" name="Chart 2" title="Chart">
          <a:extLst>
            <a:ext uri="{FF2B5EF4-FFF2-40B4-BE49-F238E27FC236}">
              <a16:creationId xmlns:a16="http://schemas.microsoft.com/office/drawing/2014/main" id="{5AD81D2E-20A5-4162-8018-F8975416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2</xdr:col>
      <xdr:colOff>0</xdr:colOff>
      <xdr:row>40</xdr:row>
      <xdr:rowOff>85165</xdr:rowOff>
    </xdr:from>
    <xdr:to>
      <xdr:col>14</xdr:col>
      <xdr:colOff>847725</xdr:colOff>
      <xdr:row>53</xdr:row>
      <xdr:rowOff>67236</xdr:rowOff>
    </xdr:to>
    <xdr:graphicFrame macro="">
      <xdr:nvGraphicFramePr>
        <xdr:cNvPr id="15" name="Chart 4">
          <a:extLst>
            <a:ext uri="{FF2B5EF4-FFF2-40B4-BE49-F238E27FC236}">
              <a16:creationId xmlns:a16="http://schemas.microsoft.com/office/drawing/2014/main" id="{84246001-982F-41A6-95F3-DA512E9E9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11</xdr:col>
      <xdr:colOff>92637</xdr:colOff>
      <xdr:row>44</xdr:row>
      <xdr:rowOff>134469</xdr:rowOff>
    </xdr:from>
    <xdr:ext cx="3582892" cy="1871383"/>
    <xdr:graphicFrame macro="">
      <xdr:nvGraphicFramePr>
        <xdr:cNvPr id="18" name="Chart 3" title="Chart">
          <a:extLst>
            <a:ext uri="{FF2B5EF4-FFF2-40B4-BE49-F238E27FC236}">
              <a16:creationId xmlns:a16="http://schemas.microsoft.com/office/drawing/2014/main" id="{692C27C2-313A-42D8-9729-65DDBFF1C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hogares.telecom.com.a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finance.yahoo.com/news/danaher-corporation-nyse-dhr-strong-135400696.html" TargetMode="External"/><Relationship Id="rId1" Type="http://schemas.openxmlformats.org/officeDocument/2006/relationships/hyperlink" Target="https://tyndallbusinesstimes.com/whats-in-store-for-danaher-corporation-nysedhr-according-to-analysts/12259/"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Q3158"/>
  <sheetViews>
    <sheetView showGridLines="0" tabSelected="1" view="pageBreakPreview" topLeftCell="A13" zoomScale="130" zoomScaleNormal="100" zoomScaleSheetLayoutView="130" workbookViewId="0">
      <selection activeCell="D24" sqref="D24:M24"/>
    </sheetView>
  </sheetViews>
  <sheetFormatPr baseColWidth="10" defaultColWidth="14.5" defaultRowHeight="15.75" customHeight="1"/>
  <cols>
    <col min="1" max="2" width="1.6640625" style="12" customWidth="1"/>
    <col min="3" max="3" width="22.1640625" style="12" customWidth="1"/>
    <col min="4" max="5" width="11.6640625" style="12" customWidth="1"/>
    <col min="6" max="6" width="13.6640625" style="12" bestFit="1" customWidth="1"/>
    <col min="7" max="15" width="11.6640625" style="12" customWidth="1"/>
    <col min="16" max="16" width="1.6640625" style="12" customWidth="1"/>
    <col min="17" max="16384" width="14.5" style="12"/>
  </cols>
  <sheetData>
    <row r="1" spans="1:17" ht="14" customHeight="1">
      <c r="B1" s="13"/>
      <c r="C1" s="11"/>
      <c r="D1" s="11"/>
      <c r="E1" s="11"/>
      <c r="F1" s="11"/>
      <c r="G1" s="11"/>
      <c r="H1" s="11"/>
      <c r="I1" s="11"/>
      <c r="J1" s="11"/>
      <c r="K1" s="11"/>
      <c r="L1" s="11"/>
      <c r="M1" s="11"/>
      <c r="N1" s="11"/>
      <c r="O1" s="11"/>
      <c r="P1" s="14"/>
    </row>
    <row r="2" spans="1:17" ht="14" customHeight="1">
      <c r="A2" s="12" t="s">
        <v>4</v>
      </c>
      <c r="B2" s="13"/>
      <c r="C2" s="11"/>
      <c r="D2" s="11"/>
      <c r="E2" s="11"/>
      <c r="F2" s="11"/>
      <c r="G2" s="11"/>
      <c r="H2" s="11"/>
      <c r="I2" s="11"/>
      <c r="J2" s="11"/>
      <c r="K2" s="11"/>
      <c r="L2" s="11"/>
      <c r="M2" s="11"/>
      <c r="N2" s="11"/>
      <c r="O2" s="11"/>
      <c r="P2" s="14"/>
      <c r="Q2" s="12" t="s">
        <v>4</v>
      </c>
    </row>
    <row r="3" spans="1:17" ht="14" customHeight="1">
      <c r="B3" s="13"/>
      <c r="C3" s="15">
        <f ca="1">TODAY()</f>
        <v>43628</v>
      </c>
      <c r="D3" s="15"/>
      <c r="E3" s="15"/>
      <c r="F3" s="15"/>
      <c r="G3" s="15"/>
      <c r="H3" s="11"/>
      <c r="I3" s="11"/>
      <c r="J3" s="11"/>
      <c r="K3" s="16"/>
      <c r="L3" s="17"/>
      <c r="M3" s="18"/>
      <c r="N3" s="11"/>
      <c r="P3" s="19"/>
    </row>
    <row r="4" spans="1:17" ht="14" customHeight="1">
      <c r="B4" s="13"/>
      <c r="C4" s="58" t="s">
        <v>149</v>
      </c>
      <c r="D4" s="58"/>
      <c r="E4" s="58"/>
      <c r="F4" s="58"/>
      <c r="G4" s="58"/>
      <c r="H4" s="59"/>
      <c r="I4" s="59"/>
      <c r="J4" s="58"/>
      <c r="K4" s="58"/>
      <c r="L4" s="58"/>
      <c r="M4" s="58"/>
      <c r="N4" s="58"/>
      <c r="O4" s="59" t="str">
        <f>CONCATENATE(D5," [",D6,": ",D7,"]")</f>
        <v>Telecom Argentina SA [NYSE: TEO]</v>
      </c>
      <c r="P4" s="20"/>
    </row>
    <row r="5" spans="1:17" ht="14" customHeight="1">
      <c r="B5" s="13"/>
      <c r="C5" s="46" t="s">
        <v>0</v>
      </c>
      <c r="D5" s="21" t="s">
        <v>577</v>
      </c>
      <c r="E5" s="21"/>
      <c r="F5" s="46" t="s">
        <v>2</v>
      </c>
      <c r="H5" s="32" t="s">
        <v>431</v>
      </c>
      <c r="J5" s="11" t="s">
        <v>152</v>
      </c>
      <c r="L5" s="50">
        <f>'Stock Info'!D4*'Stock Info'!D7</f>
        <v>6611.54</v>
      </c>
      <c r="N5" s="11"/>
      <c r="O5" s="11"/>
      <c r="P5" s="14"/>
    </row>
    <row r="6" spans="1:17" ht="14" customHeight="1">
      <c r="B6" s="13"/>
      <c r="C6" s="46" t="s">
        <v>305</v>
      </c>
      <c r="D6" s="21" t="s">
        <v>417</v>
      </c>
      <c r="E6" s="21"/>
      <c r="F6" s="46" t="s">
        <v>3</v>
      </c>
      <c r="H6" s="32" t="s">
        <v>452</v>
      </c>
      <c r="J6" s="11" t="s">
        <v>159</v>
      </c>
      <c r="L6" s="53">
        <v>43811</v>
      </c>
      <c r="N6" s="11"/>
      <c r="O6" s="11"/>
      <c r="P6" s="14"/>
    </row>
    <row r="7" spans="1:17" ht="14" customHeight="1">
      <c r="B7" s="13"/>
      <c r="C7" s="46" t="s">
        <v>1</v>
      </c>
      <c r="D7" s="21" t="s">
        <v>443</v>
      </c>
      <c r="E7" s="21"/>
      <c r="F7" s="46" t="s">
        <v>154</v>
      </c>
      <c r="H7" s="32" t="str">
        <f>H5</f>
        <v>Communication Services</v>
      </c>
      <c r="J7" s="46" t="s">
        <v>157</v>
      </c>
      <c r="L7" s="32" t="s">
        <v>158</v>
      </c>
      <c r="N7" s="11"/>
      <c r="O7" s="11"/>
      <c r="P7" s="14"/>
    </row>
    <row r="8" spans="1:17" ht="14" customHeight="1">
      <c r="B8" s="13"/>
      <c r="C8" s="46" t="s">
        <v>5</v>
      </c>
      <c r="D8" s="291" t="s">
        <v>579</v>
      </c>
      <c r="E8" s="21"/>
      <c r="F8" s="46" t="s">
        <v>6</v>
      </c>
      <c r="H8" s="32" t="s">
        <v>578</v>
      </c>
      <c r="J8" s="46" t="s">
        <v>307</v>
      </c>
      <c r="L8" s="214"/>
      <c r="N8" s="11"/>
      <c r="O8" s="11"/>
      <c r="P8" s="14"/>
    </row>
    <row r="9" spans="1:17" ht="14" customHeight="1">
      <c r="B9" s="13"/>
      <c r="C9" s="46" t="s">
        <v>306</v>
      </c>
      <c r="D9" s="263">
        <v>1990</v>
      </c>
      <c r="E9" s="21"/>
      <c r="F9" s="11" t="s">
        <v>155</v>
      </c>
      <c r="H9" s="288" t="str">
        <f>HYPERLINK("https://institucional.telecom.com.ar/inversores/pdf/Telecom_Presentation_4Q18.pdf","Link")</f>
        <v>Link</v>
      </c>
      <c r="J9" s="46" t="s">
        <v>308</v>
      </c>
      <c r="L9" s="214">
        <v>24908</v>
      </c>
      <c r="N9" s="297"/>
      <c r="O9" s="298"/>
      <c r="P9" s="23"/>
    </row>
    <row r="10" spans="1:17" ht="14" customHeight="1">
      <c r="B10" s="13"/>
      <c r="C10" s="46" t="s">
        <v>7</v>
      </c>
      <c r="D10" s="263">
        <v>1994</v>
      </c>
      <c r="E10" s="21"/>
      <c r="G10" s="207"/>
      <c r="J10" s="11"/>
      <c r="K10" s="11"/>
      <c r="N10" s="297"/>
      <c r="O10" s="298"/>
      <c r="P10" s="23"/>
    </row>
    <row r="11" spans="1:17" ht="14" customHeight="1">
      <c r="B11" s="13"/>
      <c r="N11" s="13"/>
      <c r="O11" s="13"/>
      <c r="P11" s="23"/>
    </row>
    <row r="12" spans="1:17" ht="13">
      <c r="B12" s="13"/>
      <c r="C12" s="36" t="s">
        <v>380</v>
      </c>
      <c r="D12" s="299" t="s">
        <v>580</v>
      </c>
      <c r="E12" s="299"/>
      <c r="F12" s="299"/>
      <c r="G12" s="299"/>
      <c r="H12" s="299"/>
      <c r="I12" s="299"/>
      <c r="J12" s="299"/>
      <c r="K12" s="299"/>
      <c r="L12" s="299"/>
      <c r="M12" s="299"/>
      <c r="N12" s="299"/>
      <c r="O12" s="299"/>
      <c r="P12" s="23"/>
    </row>
    <row r="13" spans="1:17" ht="76.5" customHeight="1">
      <c r="B13" s="13"/>
      <c r="D13" s="299"/>
      <c r="E13" s="299"/>
      <c r="F13" s="299"/>
      <c r="G13" s="299"/>
      <c r="H13" s="299"/>
      <c r="I13" s="299"/>
      <c r="J13" s="299"/>
      <c r="K13" s="299"/>
      <c r="L13" s="299"/>
      <c r="M13" s="299"/>
      <c r="N13" s="299"/>
      <c r="O13" s="299"/>
      <c r="P13" s="23"/>
    </row>
    <row r="14" spans="1:17" ht="14" customHeight="1">
      <c r="B14" s="13"/>
      <c r="C14" s="11"/>
      <c r="D14" s="11"/>
      <c r="E14" s="11"/>
      <c r="F14" s="11"/>
      <c r="G14" s="11"/>
      <c r="H14" s="24"/>
      <c r="I14" s="24"/>
      <c r="J14" s="11"/>
      <c r="K14" s="11"/>
      <c r="L14" s="11"/>
      <c r="M14" s="11"/>
      <c r="N14" s="11"/>
      <c r="O14" s="19"/>
      <c r="P14" s="14"/>
    </row>
    <row r="15" spans="1:17" ht="14" customHeight="1">
      <c r="A15" s="12" t="s">
        <v>4</v>
      </c>
      <c r="B15" s="13"/>
      <c r="C15" s="58" t="s">
        <v>310</v>
      </c>
      <c r="D15" s="58"/>
      <c r="E15" s="58"/>
      <c r="F15" s="58"/>
      <c r="G15" s="58"/>
      <c r="H15" s="58"/>
      <c r="I15" s="58"/>
      <c r="J15" s="58"/>
      <c r="K15" s="58"/>
      <c r="L15" s="58"/>
      <c r="M15" s="58"/>
      <c r="N15" s="58"/>
      <c r="O15" s="60" t="s">
        <v>285</v>
      </c>
      <c r="P15" s="25"/>
    </row>
    <row r="16" spans="1:17" ht="14" customHeight="1">
      <c r="B16" s="13"/>
      <c r="C16" s="26"/>
      <c r="D16" s="26"/>
      <c r="E16" s="26"/>
      <c r="F16" s="26"/>
      <c r="G16" s="26"/>
      <c r="H16" s="27"/>
      <c r="I16" s="27"/>
      <c r="J16" s="26"/>
      <c r="K16" s="27"/>
      <c r="L16" s="26"/>
      <c r="M16" s="27"/>
      <c r="N16" s="11"/>
      <c r="O16" s="11"/>
      <c r="P16" s="28"/>
    </row>
    <row r="17" spans="2:16" ht="14" customHeight="1">
      <c r="B17" s="13"/>
      <c r="C17" s="29" t="s">
        <v>41</v>
      </c>
      <c r="D17" s="29"/>
      <c r="E17" s="29"/>
      <c r="F17" s="29"/>
      <c r="G17" s="29"/>
      <c r="H17" s="30"/>
      <c r="I17" s="30"/>
      <c r="J17" s="11"/>
      <c r="K17" s="11"/>
      <c r="L17" s="11"/>
      <c r="M17" s="11"/>
      <c r="N17" s="30"/>
      <c r="O17" s="11"/>
      <c r="P17" s="31"/>
    </row>
    <row r="18" spans="2:16" ht="14" customHeight="1">
      <c r="B18" s="13"/>
      <c r="C18" s="32" t="s">
        <v>10</v>
      </c>
      <c r="D18" s="298" t="s">
        <v>583</v>
      </c>
      <c r="E18" s="298"/>
      <c r="F18" s="298"/>
      <c r="G18" s="298"/>
      <c r="H18" s="298"/>
      <c r="I18" s="298"/>
      <c r="J18" s="298"/>
      <c r="K18" s="298"/>
      <c r="L18" s="298"/>
      <c r="M18" s="298"/>
      <c r="O18" s="13" t="s">
        <v>419</v>
      </c>
      <c r="P18" s="31"/>
    </row>
    <row r="19" spans="2:16" ht="14" customHeight="1">
      <c r="B19" s="13"/>
      <c r="C19" s="32" t="s">
        <v>15</v>
      </c>
      <c r="D19" s="298" t="s">
        <v>594</v>
      </c>
      <c r="E19" s="298"/>
      <c r="F19" s="298"/>
      <c r="G19" s="298"/>
      <c r="H19" s="298"/>
      <c r="I19" s="298"/>
      <c r="J19" s="298"/>
      <c r="K19" s="298"/>
      <c r="L19" s="298"/>
      <c r="M19" s="298"/>
      <c r="O19" s="13" t="s">
        <v>419</v>
      </c>
      <c r="P19" s="31"/>
    </row>
    <row r="20" spans="2:16" ht="14" customHeight="1">
      <c r="B20" s="13"/>
      <c r="C20" s="32" t="s">
        <v>11</v>
      </c>
      <c r="D20" s="298" t="s">
        <v>595</v>
      </c>
      <c r="E20" s="298"/>
      <c r="F20" s="298"/>
      <c r="G20" s="298"/>
      <c r="H20" s="298"/>
      <c r="I20" s="298"/>
      <c r="J20" s="298"/>
      <c r="K20" s="298"/>
      <c r="L20" s="298"/>
      <c r="M20" s="298"/>
      <c r="O20" s="13" t="s">
        <v>419</v>
      </c>
      <c r="P20" s="31"/>
    </row>
    <row r="21" spans="2:16" ht="14" customHeight="1">
      <c r="B21" s="13"/>
      <c r="C21" s="32" t="s">
        <v>14</v>
      </c>
      <c r="D21" s="298" t="s">
        <v>581</v>
      </c>
      <c r="E21" s="298"/>
      <c r="F21" s="298"/>
      <c r="G21" s="298"/>
      <c r="H21" s="298"/>
      <c r="I21" s="298"/>
      <c r="J21" s="298"/>
      <c r="K21" s="298"/>
      <c r="L21" s="298"/>
      <c r="M21" s="298"/>
      <c r="O21" s="13" t="s">
        <v>419</v>
      </c>
      <c r="P21" s="31"/>
    </row>
    <row r="22" spans="2:16" ht="14" customHeight="1">
      <c r="B22" s="13"/>
      <c r="C22" s="32" t="s">
        <v>42</v>
      </c>
      <c r="D22" s="298" t="s">
        <v>582</v>
      </c>
      <c r="E22" s="298"/>
      <c r="F22" s="298"/>
      <c r="G22" s="298"/>
      <c r="H22" s="298"/>
      <c r="I22" s="298"/>
      <c r="J22" s="298"/>
      <c r="K22" s="298"/>
      <c r="L22" s="298"/>
      <c r="M22" s="298"/>
      <c r="O22" s="13" t="s">
        <v>419</v>
      </c>
      <c r="P22" s="31"/>
    </row>
    <row r="23" spans="2:16" ht="14" customHeight="1">
      <c r="B23" s="13"/>
      <c r="C23" s="32" t="s">
        <v>43</v>
      </c>
      <c r="D23" s="298" t="s">
        <v>596</v>
      </c>
      <c r="E23" s="298"/>
      <c r="F23" s="298"/>
      <c r="G23" s="298"/>
      <c r="H23" s="298"/>
      <c r="I23" s="298"/>
      <c r="J23" s="298"/>
      <c r="K23" s="298"/>
      <c r="L23" s="298"/>
      <c r="M23" s="298"/>
      <c r="O23" s="13" t="s">
        <v>309</v>
      </c>
      <c r="P23" s="28"/>
    </row>
    <row r="24" spans="2:16" ht="14" customHeight="1">
      <c r="B24" s="13"/>
      <c r="C24" s="32" t="s">
        <v>26</v>
      </c>
      <c r="D24" s="298" t="s">
        <v>420</v>
      </c>
      <c r="E24" s="298"/>
      <c r="F24" s="298"/>
      <c r="G24" s="298"/>
      <c r="H24" s="298"/>
      <c r="I24" s="298"/>
      <c r="J24" s="298"/>
      <c r="K24" s="298"/>
      <c r="L24" s="298"/>
      <c r="M24" s="298"/>
      <c r="O24" s="13" t="s">
        <v>419</v>
      </c>
      <c r="P24" s="14"/>
    </row>
    <row r="25" spans="2:16" ht="14" customHeight="1">
      <c r="B25" s="13"/>
      <c r="C25" s="32" t="s">
        <v>44</v>
      </c>
      <c r="D25" s="298" t="s">
        <v>593</v>
      </c>
      <c r="E25" s="298"/>
      <c r="F25" s="298"/>
      <c r="G25" s="298"/>
      <c r="H25" s="298"/>
      <c r="I25" s="298"/>
      <c r="J25" s="298"/>
      <c r="K25" s="298"/>
      <c r="L25" s="298"/>
      <c r="M25" s="298"/>
      <c r="O25" s="13" t="s">
        <v>418</v>
      </c>
      <c r="P25" s="33"/>
    </row>
    <row r="26" spans="2:16" ht="14" customHeight="1">
      <c r="B26" s="13"/>
      <c r="C26" s="32" t="s">
        <v>60</v>
      </c>
      <c r="D26" s="298" t="s">
        <v>590</v>
      </c>
      <c r="E26" s="300"/>
      <c r="F26" s="300"/>
      <c r="G26" s="300"/>
      <c r="H26" s="300"/>
      <c r="I26" s="300"/>
      <c r="J26" s="300"/>
      <c r="K26" s="300"/>
      <c r="L26" s="300"/>
      <c r="M26" s="300"/>
      <c r="O26" s="13" t="s">
        <v>418</v>
      </c>
      <c r="P26" s="14"/>
    </row>
    <row r="27" spans="2:16" ht="14" customHeight="1">
      <c r="B27" s="13"/>
      <c r="C27" s="27"/>
      <c r="P27" s="14"/>
    </row>
    <row r="28" spans="2:16" ht="14" customHeight="1">
      <c r="B28" s="13"/>
      <c r="C28" s="29" t="s">
        <v>45</v>
      </c>
      <c r="P28" s="14"/>
    </row>
    <row r="29" spans="2:16" ht="14" customHeight="1">
      <c r="B29" s="13"/>
      <c r="C29" s="32" t="s">
        <v>46</v>
      </c>
      <c r="D29" s="298" t="s">
        <v>584</v>
      </c>
      <c r="E29" s="298"/>
      <c r="F29" s="298"/>
      <c r="G29" s="298"/>
      <c r="H29" s="298"/>
      <c r="I29" s="298"/>
      <c r="J29" s="298"/>
      <c r="K29" s="298"/>
      <c r="L29" s="298"/>
      <c r="M29" s="298"/>
      <c r="O29" s="13" t="s">
        <v>419</v>
      </c>
      <c r="P29" s="14"/>
    </row>
    <row r="30" spans="2:16" ht="14" customHeight="1">
      <c r="B30" s="13"/>
      <c r="C30" s="32" t="s">
        <v>47</v>
      </c>
      <c r="D30" s="298" t="s">
        <v>585</v>
      </c>
      <c r="E30" s="298"/>
      <c r="F30" s="298"/>
      <c r="G30" s="298"/>
      <c r="H30" s="298"/>
      <c r="I30" s="298"/>
      <c r="J30" s="298"/>
      <c r="K30" s="298"/>
      <c r="L30" s="298"/>
      <c r="M30" s="298"/>
      <c r="O30" s="13" t="s">
        <v>419</v>
      </c>
      <c r="P30" s="14"/>
    </row>
    <row r="31" spans="2:16" ht="14" customHeight="1">
      <c r="B31" s="13"/>
      <c r="C31" s="32" t="s">
        <v>286</v>
      </c>
      <c r="D31" s="298" t="s">
        <v>586</v>
      </c>
      <c r="E31" s="298"/>
      <c r="F31" s="298"/>
      <c r="G31" s="298"/>
      <c r="H31" s="298"/>
      <c r="I31" s="298"/>
      <c r="J31" s="298"/>
      <c r="K31" s="298"/>
      <c r="L31" s="298"/>
      <c r="M31" s="298"/>
      <c r="O31" s="13" t="s">
        <v>419</v>
      </c>
      <c r="P31" s="25"/>
    </row>
    <row r="32" spans="2:16" ht="14" customHeight="1">
      <c r="B32" s="13"/>
      <c r="C32" s="32" t="s">
        <v>48</v>
      </c>
      <c r="D32" s="298" t="s">
        <v>587</v>
      </c>
      <c r="E32" s="298"/>
      <c r="F32" s="298"/>
      <c r="G32" s="298"/>
      <c r="H32" s="298"/>
      <c r="I32" s="298"/>
      <c r="J32" s="298"/>
      <c r="K32" s="298"/>
      <c r="L32" s="298"/>
      <c r="M32" s="298"/>
      <c r="O32" s="13" t="s">
        <v>309</v>
      </c>
      <c r="P32" s="31"/>
    </row>
    <row r="33" spans="1:17" ht="14" customHeight="1">
      <c r="B33" s="13"/>
      <c r="C33" s="32" t="s">
        <v>49</v>
      </c>
      <c r="D33" s="298" t="s">
        <v>592</v>
      </c>
      <c r="E33" s="298"/>
      <c r="F33" s="298"/>
      <c r="G33" s="298"/>
      <c r="H33" s="298"/>
      <c r="I33" s="298"/>
      <c r="J33" s="298"/>
      <c r="K33" s="298"/>
      <c r="L33" s="298"/>
      <c r="M33" s="298"/>
      <c r="O33" s="13" t="s">
        <v>309</v>
      </c>
      <c r="P33" s="31"/>
    </row>
    <row r="34" spans="1:17" ht="14" customHeight="1">
      <c r="B34" s="13"/>
      <c r="C34" s="32" t="s">
        <v>50</v>
      </c>
      <c r="D34" s="298" t="s">
        <v>588</v>
      </c>
      <c r="E34" s="298"/>
      <c r="F34" s="298"/>
      <c r="G34" s="298"/>
      <c r="H34" s="298"/>
      <c r="I34" s="298"/>
      <c r="J34" s="298"/>
      <c r="K34" s="298"/>
      <c r="L34" s="298"/>
      <c r="M34" s="298"/>
      <c r="O34" s="13" t="s">
        <v>419</v>
      </c>
      <c r="P34" s="31"/>
    </row>
    <row r="35" spans="1:17" ht="14" customHeight="1">
      <c r="B35" s="13"/>
      <c r="C35" s="27"/>
      <c r="D35" s="298"/>
      <c r="E35" s="298"/>
      <c r="F35" s="298"/>
      <c r="G35" s="298"/>
      <c r="H35" s="298"/>
      <c r="I35" s="298"/>
      <c r="J35" s="298"/>
      <c r="K35" s="298"/>
      <c r="L35" s="298"/>
      <c r="M35" s="298"/>
      <c r="P35" s="31"/>
    </row>
    <row r="36" spans="1:17" ht="14" customHeight="1">
      <c r="B36" s="13"/>
      <c r="C36" s="29" t="s">
        <v>51</v>
      </c>
      <c r="P36" s="19"/>
    </row>
    <row r="37" spans="1:17" ht="14" customHeight="1">
      <c r="B37" s="13"/>
      <c r="C37" s="32" t="s">
        <v>52</v>
      </c>
      <c r="D37" s="298" t="s">
        <v>453</v>
      </c>
      <c r="E37" s="298"/>
      <c r="F37" s="298"/>
      <c r="G37" s="298"/>
      <c r="H37" s="298"/>
      <c r="I37" s="298"/>
      <c r="J37" s="298"/>
      <c r="K37" s="298"/>
      <c r="L37" s="298"/>
      <c r="M37" s="298"/>
      <c r="O37" s="13" t="s">
        <v>419</v>
      </c>
      <c r="P37" s="28"/>
    </row>
    <row r="38" spans="1:17" ht="14" customHeight="1">
      <c r="B38" s="13"/>
      <c r="C38" s="32" t="s">
        <v>394</v>
      </c>
      <c r="D38" s="298" t="s">
        <v>591</v>
      </c>
      <c r="E38" s="298"/>
      <c r="F38" s="298"/>
      <c r="G38" s="298"/>
      <c r="H38" s="298"/>
      <c r="I38" s="298"/>
      <c r="J38" s="298"/>
      <c r="K38" s="298"/>
      <c r="L38" s="298"/>
      <c r="M38" s="298"/>
      <c r="O38" s="13" t="s">
        <v>309</v>
      </c>
      <c r="P38" s="31"/>
    </row>
    <row r="39" spans="1:17" ht="14" customHeight="1">
      <c r="B39" s="13"/>
      <c r="C39" s="32" t="s">
        <v>53</v>
      </c>
      <c r="D39" s="298" t="s">
        <v>589</v>
      </c>
      <c r="E39" s="298"/>
      <c r="F39" s="298"/>
      <c r="G39" s="298"/>
      <c r="H39" s="298"/>
      <c r="I39" s="298"/>
      <c r="J39" s="298"/>
      <c r="K39" s="298"/>
      <c r="L39" s="298"/>
      <c r="M39" s="298"/>
      <c r="O39" s="13" t="s">
        <v>419</v>
      </c>
      <c r="P39" s="31"/>
    </row>
    <row r="40" spans="1:17" ht="14" customHeight="1">
      <c r="B40" s="13"/>
      <c r="C40" s="32" t="s">
        <v>54</v>
      </c>
      <c r="D40" s="298" t="s">
        <v>454</v>
      </c>
      <c r="E40" s="298"/>
      <c r="F40" s="298"/>
      <c r="G40" s="298"/>
      <c r="H40" s="298"/>
      <c r="I40" s="298"/>
      <c r="J40" s="298"/>
      <c r="K40" s="298"/>
      <c r="L40" s="298"/>
      <c r="M40" s="298"/>
      <c r="O40" s="13" t="s">
        <v>309</v>
      </c>
      <c r="P40" s="31"/>
    </row>
    <row r="41" spans="1:17" ht="14" customHeight="1">
      <c r="P41" s="28"/>
    </row>
    <row r="42" spans="1:17" ht="14" customHeight="1">
      <c r="A42" s="12" t="s">
        <v>4</v>
      </c>
      <c r="P42" s="31"/>
      <c r="Q42" s="12" t="s">
        <v>4</v>
      </c>
    </row>
    <row r="43" spans="1:17" ht="14" customHeight="1">
      <c r="P43" s="31"/>
    </row>
    <row r="44" spans="1:17" ht="14" customHeight="1">
      <c r="P44" s="28"/>
    </row>
    <row r="45" spans="1:17" ht="13">
      <c r="P45" s="14"/>
    </row>
    <row r="46" spans="1:17" ht="13">
      <c r="P46" s="14"/>
    </row>
    <row r="47" spans="1:17" ht="13">
      <c r="P47" s="14"/>
    </row>
    <row r="48" spans="1:17" ht="13">
      <c r="P48" s="14"/>
    </row>
    <row r="49" spans="16:16" ht="13">
      <c r="P49" s="14"/>
    </row>
    <row r="50" spans="16:16" ht="13">
      <c r="P50" s="14"/>
    </row>
    <row r="51" spans="16:16" ht="13">
      <c r="P51" s="14"/>
    </row>
    <row r="52" spans="16:16" ht="13">
      <c r="P52" s="14"/>
    </row>
    <row r="53" spans="16:16" ht="13">
      <c r="P53" s="14"/>
    </row>
    <row r="54" spans="16:16" ht="13">
      <c r="P54" s="14"/>
    </row>
    <row r="55" spans="16:16" ht="13">
      <c r="P55" s="25"/>
    </row>
    <row r="56" spans="16:16" ht="13">
      <c r="P56" s="14"/>
    </row>
    <row r="57" spans="16:16" ht="13">
      <c r="P57" s="14"/>
    </row>
    <row r="58" spans="16:16" ht="13">
      <c r="P58" s="14"/>
    </row>
    <row r="59" spans="16:16" ht="13">
      <c r="P59" s="14"/>
    </row>
    <row r="60" spans="16:16" ht="13">
      <c r="P60" s="14"/>
    </row>
    <row r="61" spans="16:16" ht="13">
      <c r="P61" s="14"/>
    </row>
    <row r="62" spans="16:16" ht="13">
      <c r="P62" s="14"/>
    </row>
    <row r="63" spans="16:16" ht="13">
      <c r="P63" s="14"/>
    </row>
    <row r="64" spans="16:16" ht="13">
      <c r="P64" s="33"/>
    </row>
    <row r="65" spans="16:16" ht="13">
      <c r="P65" s="33"/>
    </row>
    <row r="66" spans="16:16" ht="13">
      <c r="P66" s="33"/>
    </row>
    <row r="67" spans="16:16" ht="13">
      <c r="P67" s="33"/>
    </row>
    <row r="68" spans="16:16" ht="13">
      <c r="P68" s="33"/>
    </row>
    <row r="69" spans="16:16" ht="13">
      <c r="P69" s="33"/>
    </row>
    <row r="70" spans="16:16" ht="13">
      <c r="P70" s="14"/>
    </row>
    <row r="71" spans="16:16" ht="13">
      <c r="P71" s="34"/>
    </row>
    <row r="72" spans="16:16" ht="13">
      <c r="P72" s="14"/>
    </row>
    <row r="73" spans="16:16" ht="13">
      <c r="P73" s="11"/>
    </row>
    <row r="74" spans="16:16" ht="13">
      <c r="P74" s="14"/>
    </row>
    <row r="75" spans="16:16" ht="13">
      <c r="P75" s="14"/>
    </row>
    <row r="76" spans="16:16" ht="13">
      <c r="P76" s="14"/>
    </row>
    <row r="77" spans="16:16" ht="13">
      <c r="P77" s="14"/>
    </row>
    <row r="78" spans="16:16" ht="13">
      <c r="P78" s="14"/>
    </row>
    <row r="79" spans="16:16" ht="13">
      <c r="P79" s="14"/>
    </row>
    <row r="80" spans="16:16" ht="13">
      <c r="P80" s="14"/>
    </row>
    <row r="81" spans="16:16" ht="13">
      <c r="P81" s="14"/>
    </row>
    <row r="82" spans="16:16" ht="13">
      <c r="P82" s="14"/>
    </row>
    <row r="83" spans="16:16" ht="13">
      <c r="P83" s="14"/>
    </row>
    <row r="84" spans="16:16" ht="13">
      <c r="P84" s="14"/>
    </row>
    <row r="85" spans="16:16" ht="13">
      <c r="P85" s="14"/>
    </row>
    <row r="86" spans="16:16" ht="13">
      <c r="P86" s="14"/>
    </row>
    <row r="87" spans="16:16" ht="13">
      <c r="P87" s="14"/>
    </row>
    <row r="88" spans="16:16" ht="13">
      <c r="P88" s="14"/>
    </row>
    <row r="89" spans="16:16" ht="13">
      <c r="P89" s="14"/>
    </row>
    <row r="90" spans="16:16" ht="13">
      <c r="P90" s="14"/>
    </row>
    <row r="91" spans="16:16" ht="13">
      <c r="P91" s="14"/>
    </row>
    <row r="92" spans="16:16" ht="13">
      <c r="P92" s="14"/>
    </row>
    <row r="93" spans="16:16" ht="13">
      <c r="P93" s="33"/>
    </row>
    <row r="94" spans="16:16" ht="13">
      <c r="P94" s="33"/>
    </row>
    <row r="95" spans="16:16" ht="13">
      <c r="P95" s="33"/>
    </row>
    <row r="96" spans="16:16" ht="13">
      <c r="P96" s="14"/>
    </row>
    <row r="97" spans="16:16" ht="13">
      <c r="P97" s="14"/>
    </row>
    <row r="98" spans="16:16" ht="13">
      <c r="P98" s="14"/>
    </row>
    <row r="99" spans="16:16" ht="13">
      <c r="P99" s="14"/>
    </row>
    <row r="100" spans="16:16" ht="13">
      <c r="P100" s="14"/>
    </row>
    <row r="101" spans="16:16" ht="13">
      <c r="P101" s="14"/>
    </row>
    <row r="102" spans="16:16" ht="13">
      <c r="P102" s="14"/>
    </row>
    <row r="103" spans="16:16" ht="13">
      <c r="P103" s="14"/>
    </row>
    <row r="104" spans="16:16" ht="13">
      <c r="P104" s="14"/>
    </row>
    <row r="105" spans="16:16" ht="13">
      <c r="P105" s="14"/>
    </row>
    <row r="106" spans="16:16" ht="13">
      <c r="P106" s="14"/>
    </row>
    <row r="107" spans="16:16" ht="13">
      <c r="P107" s="14"/>
    </row>
    <row r="108" spans="16:16" ht="13">
      <c r="P108" s="14"/>
    </row>
    <row r="109" spans="16:16" ht="13">
      <c r="P109" s="14"/>
    </row>
    <row r="110" spans="16:16" ht="13">
      <c r="P110" s="14"/>
    </row>
    <row r="111" spans="16:16" ht="13">
      <c r="P111" s="14"/>
    </row>
    <row r="112" spans="16:16" ht="13">
      <c r="P112" s="14"/>
    </row>
    <row r="113" spans="16:16" ht="13">
      <c r="P113" s="35"/>
    </row>
    <row r="114" spans="16:16" ht="13">
      <c r="P114" s="14"/>
    </row>
    <row r="115" spans="16:16" ht="13">
      <c r="P115" s="14"/>
    </row>
    <row r="116" spans="16:16" ht="13">
      <c r="P116" s="14"/>
    </row>
    <row r="117" spans="16:16" ht="13">
      <c r="P117" s="14"/>
    </row>
    <row r="118" spans="16:16" ht="13">
      <c r="P118" s="14"/>
    </row>
    <row r="119" spans="16:16" ht="13">
      <c r="P119" s="14"/>
    </row>
    <row r="120" spans="16:16" ht="13">
      <c r="P120" s="14"/>
    </row>
    <row r="121" spans="16:16" ht="13">
      <c r="P121" s="14"/>
    </row>
    <row r="122" spans="16:16" ht="13">
      <c r="P122" s="14"/>
    </row>
    <row r="123" spans="16:16" ht="13">
      <c r="P123" s="14"/>
    </row>
    <row r="124" spans="16:16" ht="13">
      <c r="P124" s="14"/>
    </row>
    <row r="125" spans="16:16" ht="13">
      <c r="P125" s="14"/>
    </row>
    <row r="126" spans="16:16" ht="13">
      <c r="P126" s="14"/>
    </row>
    <row r="127" spans="16:16" ht="13">
      <c r="P127" s="14"/>
    </row>
    <row r="128" spans="16:16" ht="13">
      <c r="P128" s="14"/>
    </row>
    <row r="129" spans="16:16" ht="13">
      <c r="P129" s="14"/>
    </row>
    <row r="130" spans="16:16" ht="13">
      <c r="P130" s="14"/>
    </row>
    <row r="131" spans="16:16" ht="13">
      <c r="P131" s="14"/>
    </row>
    <row r="132" spans="16:16" ht="13">
      <c r="P132" s="14"/>
    </row>
    <row r="133" spans="16:16" ht="13">
      <c r="P133" s="14"/>
    </row>
    <row r="134" spans="16:16" ht="13">
      <c r="P134" s="14"/>
    </row>
    <row r="135" spans="16:16" ht="13">
      <c r="P135" s="14"/>
    </row>
    <row r="136" spans="16:16" ht="13">
      <c r="P136" s="14"/>
    </row>
    <row r="137" spans="16:16" ht="13">
      <c r="P137" s="14"/>
    </row>
    <row r="138" spans="16:16" ht="13">
      <c r="P138" s="14"/>
    </row>
    <row r="139" spans="16:16" ht="13">
      <c r="P139" s="14"/>
    </row>
    <row r="140" spans="16:16" ht="13">
      <c r="P140" s="14"/>
    </row>
    <row r="141" spans="16:16" ht="13">
      <c r="P141" s="14"/>
    </row>
    <row r="142" spans="16:16" ht="13">
      <c r="P142" s="14"/>
    </row>
    <row r="143" spans="16:16" ht="13">
      <c r="P143" s="14"/>
    </row>
    <row r="144" spans="16:16" ht="13">
      <c r="P144" s="14"/>
    </row>
    <row r="145" spans="16:16" ht="13">
      <c r="P145" s="14"/>
    </row>
    <row r="146" spans="16:16" ht="13">
      <c r="P146" s="14"/>
    </row>
    <row r="147" spans="16:16" ht="13">
      <c r="P147" s="14"/>
    </row>
    <row r="148" spans="16:16" ht="13">
      <c r="P148" s="14"/>
    </row>
    <row r="149" spans="16:16" ht="13">
      <c r="P149" s="14"/>
    </row>
    <row r="150" spans="16:16" ht="13">
      <c r="P150" s="14"/>
    </row>
    <row r="151" spans="16:16" ht="13">
      <c r="P151" s="14"/>
    </row>
    <row r="152" spans="16:16" ht="13">
      <c r="P152" s="14"/>
    </row>
    <row r="153" spans="16:16" ht="13">
      <c r="P153" s="14"/>
    </row>
    <row r="154" spans="16:16" ht="13">
      <c r="P154" s="14"/>
    </row>
    <row r="155" spans="16:16" ht="13">
      <c r="P155" s="14"/>
    </row>
    <row r="156" spans="16:16" ht="13">
      <c r="P156" s="14"/>
    </row>
    <row r="157" spans="16:16" ht="13">
      <c r="P157" s="14"/>
    </row>
    <row r="158" spans="16:16" ht="13">
      <c r="P158" s="14"/>
    </row>
    <row r="159" spans="16:16" ht="13">
      <c r="P159" s="14"/>
    </row>
    <row r="160" spans="16:16" ht="13">
      <c r="P160" s="14"/>
    </row>
    <row r="161" spans="2:16" ht="13">
      <c r="P161" s="14"/>
    </row>
    <row r="162" spans="2:16" ht="13">
      <c r="P162" s="14"/>
    </row>
    <row r="163" spans="2:16" ht="13">
      <c r="P163" s="14"/>
    </row>
    <row r="164" spans="2:16" ht="13">
      <c r="P164" s="14"/>
    </row>
    <row r="165" spans="2:16" ht="13">
      <c r="P165" s="14"/>
    </row>
    <row r="166" spans="2:16" ht="13">
      <c r="B166" s="13"/>
      <c r="P166" s="14"/>
    </row>
    <row r="167" spans="2:16" ht="13">
      <c r="B167" s="13"/>
      <c r="P167" s="14"/>
    </row>
    <row r="168" spans="2:16" ht="13">
      <c r="B168" s="13"/>
      <c r="P168" s="14"/>
    </row>
    <row r="169" spans="2:16" ht="13">
      <c r="B169" s="13"/>
      <c r="P169" s="14"/>
    </row>
    <row r="170" spans="2:16" ht="13">
      <c r="B170" s="13"/>
      <c r="P170" s="14"/>
    </row>
    <row r="171" spans="2:16" ht="13">
      <c r="B171" s="13"/>
      <c r="P171" s="14"/>
    </row>
    <row r="172" spans="2:16" ht="13">
      <c r="B172" s="13"/>
      <c r="P172" s="14"/>
    </row>
    <row r="173" spans="2:16" ht="13">
      <c r="B173" s="13"/>
      <c r="P173" s="14"/>
    </row>
    <row r="174" spans="2:16" ht="13">
      <c r="B174" s="13"/>
      <c r="P174" s="14"/>
    </row>
    <row r="175" spans="2:16" ht="13">
      <c r="B175" s="13"/>
      <c r="P175" s="14"/>
    </row>
    <row r="176" spans="2:16" ht="13">
      <c r="B176" s="13"/>
      <c r="P176" s="14"/>
    </row>
    <row r="177" spans="2:16" ht="13">
      <c r="B177" s="13"/>
      <c r="P177" s="14"/>
    </row>
    <row r="178" spans="2:16" ht="13">
      <c r="B178" s="13"/>
      <c r="P178" s="14"/>
    </row>
    <row r="179" spans="2:16" ht="13">
      <c r="B179" s="13"/>
      <c r="P179" s="14"/>
    </row>
    <row r="180" spans="2:16" ht="13">
      <c r="B180" s="13"/>
      <c r="P180" s="14"/>
    </row>
    <row r="181" spans="2:16" ht="13">
      <c r="B181" s="13"/>
      <c r="P181" s="14"/>
    </row>
    <row r="182" spans="2:16" ht="13">
      <c r="B182" s="13"/>
      <c r="P182" s="14"/>
    </row>
    <row r="183" spans="2:16" ht="13">
      <c r="B183" s="13"/>
      <c r="P183" s="14"/>
    </row>
    <row r="184" spans="2:16" ht="13">
      <c r="B184" s="13"/>
      <c r="P184" s="14"/>
    </row>
    <row r="185" spans="2:16" ht="13">
      <c r="B185" s="13"/>
      <c r="P185" s="14"/>
    </row>
    <row r="186" spans="2:16" ht="13">
      <c r="B186" s="13"/>
      <c r="P186" s="14"/>
    </row>
    <row r="187" spans="2:16" ht="13">
      <c r="B187" s="13"/>
      <c r="P187" s="14"/>
    </row>
    <row r="188" spans="2:16" ht="13">
      <c r="B188" s="13"/>
      <c r="P188" s="14"/>
    </row>
    <row r="189" spans="2:16" ht="13">
      <c r="B189" s="13"/>
      <c r="P189" s="14"/>
    </row>
    <row r="190" spans="2:16" ht="13">
      <c r="B190" s="13"/>
      <c r="P190" s="14"/>
    </row>
    <row r="191" spans="2:16" ht="13">
      <c r="B191" s="13"/>
      <c r="P191" s="14"/>
    </row>
    <row r="192" spans="2:16" ht="13">
      <c r="B192" s="13"/>
    </row>
    <row r="193" spans="2:16" ht="13">
      <c r="B193" s="13"/>
    </row>
    <row r="194" spans="2:16" ht="13">
      <c r="B194" s="13"/>
      <c r="P194" s="14"/>
    </row>
    <row r="195" spans="2:16" ht="13">
      <c r="B195" s="13"/>
      <c r="P195" s="14"/>
    </row>
    <row r="196" spans="2:16" ht="13">
      <c r="B196" s="13"/>
      <c r="P196" s="14"/>
    </row>
    <row r="197" spans="2:16" ht="13">
      <c r="B197" s="13"/>
      <c r="P197" s="14"/>
    </row>
    <row r="198" spans="2:16" ht="13">
      <c r="B198" s="13"/>
      <c r="P198" s="14"/>
    </row>
    <row r="199" spans="2:16" ht="13">
      <c r="B199" s="13"/>
      <c r="P199" s="14"/>
    </row>
    <row r="200" spans="2:16" ht="13">
      <c r="B200" s="13"/>
      <c r="P200" s="14"/>
    </row>
    <row r="201" spans="2:16" ht="13">
      <c r="B201" s="13"/>
      <c r="P201" s="14"/>
    </row>
    <row r="202" spans="2:16" ht="13">
      <c r="B202" s="13"/>
      <c r="P202" s="14"/>
    </row>
    <row r="203" spans="2:16" ht="13">
      <c r="B203" s="13"/>
      <c r="P203" s="14"/>
    </row>
    <row r="204" spans="2:16" ht="13">
      <c r="B204" s="13"/>
      <c r="P204" s="14"/>
    </row>
    <row r="205" spans="2:16" ht="13">
      <c r="B205" s="13"/>
      <c r="P205" s="14"/>
    </row>
    <row r="206" spans="2:16" ht="13">
      <c r="B206" s="13"/>
      <c r="P206" s="14"/>
    </row>
    <row r="207" spans="2:16" ht="13">
      <c r="B207" s="13"/>
      <c r="P207" s="14"/>
    </row>
    <row r="208" spans="2:16" ht="13">
      <c r="B208" s="13"/>
      <c r="P208" s="14"/>
    </row>
    <row r="209" spans="2:16" ht="13">
      <c r="B209" s="13"/>
      <c r="P209" s="14"/>
    </row>
    <row r="210" spans="2:16" ht="13">
      <c r="B210" s="13"/>
      <c r="P210" s="14"/>
    </row>
    <row r="211" spans="2:16" ht="13">
      <c r="B211" s="13"/>
      <c r="P211" s="14"/>
    </row>
    <row r="212" spans="2:16" ht="13">
      <c r="B212" s="13"/>
      <c r="P212" s="14"/>
    </row>
    <row r="213" spans="2:16" ht="13">
      <c r="B213" s="13"/>
      <c r="P213" s="14"/>
    </row>
    <row r="214" spans="2:16" ht="13">
      <c r="B214" s="13"/>
      <c r="P214" s="14"/>
    </row>
    <row r="215" spans="2:16" ht="13">
      <c r="B215" s="13"/>
      <c r="P215" s="14"/>
    </row>
    <row r="216" spans="2:16" ht="13">
      <c r="B216" s="13"/>
      <c r="P216" s="14"/>
    </row>
    <row r="217" spans="2:16" ht="13">
      <c r="B217" s="13"/>
      <c r="P217" s="14"/>
    </row>
    <row r="218" spans="2:16" ht="13">
      <c r="B218" s="13"/>
      <c r="P218" s="14"/>
    </row>
    <row r="219" spans="2:16" ht="13">
      <c r="B219" s="13"/>
      <c r="P219" s="14"/>
    </row>
    <row r="220" spans="2:16" ht="13">
      <c r="B220" s="13"/>
      <c r="P220" s="14"/>
    </row>
    <row r="221" spans="2:16" ht="13">
      <c r="B221" s="13"/>
      <c r="P221" s="14"/>
    </row>
    <row r="222" spans="2:16" ht="13">
      <c r="B222" s="13"/>
      <c r="P222" s="14"/>
    </row>
    <row r="223" spans="2:16" ht="13">
      <c r="B223" s="13"/>
      <c r="P223" s="14"/>
    </row>
    <row r="224" spans="2:16" ht="13">
      <c r="B224" s="13"/>
      <c r="P224" s="14"/>
    </row>
    <row r="225" spans="2:16" ht="13">
      <c r="B225" s="13"/>
      <c r="P225" s="14"/>
    </row>
    <row r="226" spans="2:16" ht="13">
      <c r="B226" s="13"/>
      <c r="P226" s="14"/>
    </row>
    <row r="227" spans="2:16" ht="13">
      <c r="B227" s="13"/>
      <c r="P227" s="14"/>
    </row>
    <row r="228" spans="2:16" ht="13">
      <c r="B228" s="13"/>
      <c r="P228" s="14"/>
    </row>
    <row r="229" spans="2:16" ht="13">
      <c r="P229" s="35"/>
    </row>
    <row r="230" spans="2:16" ht="13">
      <c r="P230" s="14"/>
    </row>
    <row r="231" spans="2:16" ht="13">
      <c r="P231" s="14"/>
    </row>
    <row r="232" spans="2:16" ht="13">
      <c r="P232" s="14"/>
    </row>
    <row r="233" spans="2:16" ht="13">
      <c r="P233" s="14"/>
    </row>
    <row r="234" spans="2:16" ht="13">
      <c r="P234" s="14"/>
    </row>
    <row r="235" spans="2:16" ht="13">
      <c r="P235" s="14"/>
    </row>
    <row r="236" spans="2:16" ht="13">
      <c r="P236" s="14"/>
    </row>
    <row r="237" spans="2:16" ht="13">
      <c r="P237" s="14"/>
    </row>
    <row r="238" spans="2:16" ht="13">
      <c r="P238" s="14"/>
    </row>
    <row r="239" spans="2:16" ht="13">
      <c r="P239" s="14"/>
    </row>
    <row r="240" spans="2:16" ht="13">
      <c r="P240" s="14"/>
    </row>
    <row r="241" spans="2:16" ht="13">
      <c r="P241" s="14"/>
    </row>
    <row r="242" spans="2:16" ht="13">
      <c r="P242" s="14"/>
    </row>
    <row r="243" spans="2:16" ht="13">
      <c r="P243" s="14"/>
    </row>
    <row r="244" spans="2:16" ht="13">
      <c r="P244" s="14"/>
    </row>
    <row r="245" spans="2:16" ht="13">
      <c r="P245" s="14"/>
    </row>
    <row r="246" spans="2:16" ht="13">
      <c r="P246" s="14"/>
    </row>
    <row r="247" spans="2:16" ht="13">
      <c r="P247" s="14"/>
    </row>
    <row r="248" spans="2:16" ht="13">
      <c r="P248" s="14"/>
    </row>
    <row r="249" spans="2:16" ht="13">
      <c r="P249" s="14"/>
    </row>
    <row r="250" spans="2:16" ht="13">
      <c r="P250" s="14"/>
    </row>
    <row r="251" spans="2:16" ht="13">
      <c r="P251" s="14"/>
    </row>
    <row r="252" spans="2:16" ht="13">
      <c r="P252" s="14"/>
    </row>
    <row r="253" spans="2:16" ht="13">
      <c r="P253" s="14"/>
    </row>
    <row r="254" spans="2:16" ht="13">
      <c r="P254" s="14"/>
    </row>
    <row r="255" spans="2:16" ht="13">
      <c r="P255" s="14"/>
    </row>
    <row r="256" spans="2:16" ht="13">
      <c r="B256" s="13"/>
      <c r="C256" s="11"/>
      <c r="D256" s="11"/>
      <c r="E256" s="11"/>
      <c r="F256" s="11"/>
      <c r="G256" s="11"/>
      <c r="H256" s="11"/>
      <c r="I256" s="11"/>
      <c r="J256" s="11"/>
      <c r="K256" s="11"/>
      <c r="L256" s="11"/>
      <c r="M256" s="11"/>
      <c r="N256" s="11"/>
      <c r="O256" s="11"/>
      <c r="P256" s="14"/>
    </row>
    <row r="257" spans="16:16" ht="13">
      <c r="P257" s="35"/>
    </row>
    <row r="258" spans="16:16" ht="13">
      <c r="P258" s="14"/>
    </row>
    <row r="259" spans="16:16" ht="13">
      <c r="P259" s="14"/>
    </row>
    <row r="260" spans="16:16" ht="13">
      <c r="P260" s="14"/>
    </row>
    <row r="261" spans="16:16" ht="13">
      <c r="P261" s="14"/>
    </row>
    <row r="262" spans="16:16" ht="13">
      <c r="P262" s="14"/>
    </row>
    <row r="263" spans="16:16" ht="13">
      <c r="P263" s="14"/>
    </row>
    <row r="264" spans="16:16" ht="13">
      <c r="P264" s="14"/>
    </row>
    <row r="265" spans="16:16" ht="13">
      <c r="P265" s="14"/>
    </row>
    <row r="266" spans="16:16" ht="13">
      <c r="P266" s="14"/>
    </row>
    <row r="267" spans="16:16" ht="13">
      <c r="P267" s="14"/>
    </row>
    <row r="268" spans="16:16" ht="13">
      <c r="P268" s="14"/>
    </row>
    <row r="269" spans="16:16" ht="13">
      <c r="P269" s="14"/>
    </row>
    <row r="270" spans="16:16" ht="13">
      <c r="P270" s="14"/>
    </row>
    <row r="271" spans="16:16" ht="13">
      <c r="P271" s="14"/>
    </row>
    <row r="272" spans="16:16" ht="13">
      <c r="P272" s="14"/>
    </row>
    <row r="273" spans="2:16" ht="13">
      <c r="P273" s="14"/>
    </row>
    <row r="274" spans="2:16" ht="13">
      <c r="P274" s="14"/>
    </row>
    <row r="275" spans="2:16" ht="13">
      <c r="P275" s="14"/>
    </row>
    <row r="276" spans="2:16" ht="13">
      <c r="P276" s="14"/>
    </row>
    <row r="277" spans="2:16" ht="13">
      <c r="P277" s="14"/>
    </row>
    <row r="278" spans="2:16" ht="13">
      <c r="P278" s="14"/>
    </row>
    <row r="279" spans="2:16" ht="13">
      <c r="P279" s="14"/>
    </row>
    <row r="280" spans="2:16" ht="13">
      <c r="P280" s="14"/>
    </row>
    <row r="281" spans="2:16" ht="13">
      <c r="P281" s="14"/>
    </row>
    <row r="282" spans="2:16" ht="13">
      <c r="P282" s="14"/>
    </row>
    <row r="283" spans="2:16" ht="13">
      <c r="P283" s="14"/>
    </row>
    <row r="284" spans="2:16" ht="13">
      <c r="P284" s="14"/>
    </row>
    <row r="285" spans="2:16" ht="13">
      <c r="P285" s="14"/>
    </row>
    <row r="286" spans="2:16" ht="13">
      <c r="B286" s="13"/>
      <c r="C286" s="11"/>
      <c r="D286" s="11"/>
      <c r="E286" s="11"/>
      <c r="F286" s="11"/>
      <c r="G286" s="11"/>
      <c r="H286" s="11"/>
      <c r="I286" s="11"/>
      <c r="J286" s="11"/>
      <c r="K286" s="11"/>
      <c r="L286" s="11"/>
      <c r="M286" s="11"/>
      <c r="N286" s="11"/>
      <c r="O286" s="11"/>
      <c r="P286" s="14"/>
    </row>
    <row r="287" spans="2:16" ht="13">
      <c r="B287" s="13"/>
      <c r="P287" s="35"/>
    </row>
    <row r="288" spans="2:16" ht="13">
      <c r="B288" s="36"/>
      <c r="P288" s="35"/>
    </row>
    <row r="289" spans="2:16" ht="13">
      <c r="B289" s="36"/>
      <c r="P289" s="35"/>
    </row>
    <row r="290" spans="2:16" ht="13">
      <c r="B290" s="36"/>
      <c r="P290" s="35"/>
    </row>
    <row r="291" spans="2:16" ht="13">
      <c r="B291" s="36"/>
      <c r="P291" s="35"/>
    </row>
    <row r="292" spans="2:16" ht="13">
      <c r="B292" s="36"/>
      <c r="P292" s="35"/>
    </row>
    <row r="293" spans="2:16" ht="13">
      <c r="B293" s="36"/>
      <c r="P293" s="35"/>
    </row>
    <row r="294" spans="2:16" ht="13">
      <c r="B294" s="36"/>
      <c r="P294" s="35"/>
    </row>
    <row r="295" spans="2:16" ht="13">
      <c r="B295" s="36"/>
      <c r="P295" s="35"/>
    </row>
    <row r="296" spans="2:16" ht="13">
      <c r="B296" s="36"/>
      <c r="P296" s="35"/>
    </row>
    <row r="297" spans="2:16" ht="13">
      <c r="B297" s="36"/>
      <c r="P297" s="35"/>
    </row>
    <row r="298" spans="2:16" ht="13">
      <c r="B298" s="36"/>
      <c r="P298" s="35"/>
    </row>
    <row r="299" spans="2:16" ht="13">
      <c r="B299" s="36"/>
      <c r="P299" s="35"/>
    </row>
    <row r="300" spans="2:16" ht="13">
      <c r="B300" s="36"/>
      <c r="P300" s="35"/>
    </row>
    <row r="301" spans="2:16" ht="13">
      <c r="B301" s="36"/>
      <c r="P301" s="35"/>
    </row>
    <row r="302" spans="2:16" ht="13">
      <c r="B302" s="13"/>
      <c r="C302" s="11"/>
      <c r="D302" s="11"/>
      <c r="E302" s="11"/>
      <c r="F302" s="11"/>
      <c r="G302" s="11"/>
      <c r="H302" s="11"/>
      <c r="I302" s="11"/>
      <c r="J302" s="11"/>
      <c r="K302" s="11"/>
      <c r="L302" s="11"/>
      <c r="M302" s="11"/>
      <c r="N302" s="11"/>
      <c r="O302" s="11"/>
      <c r="P302" s="35"/>
    </row>
    <row r="303" spans="2:16" ht="13">
      <c r="P303" s="35"/>
    </row>
    <row r="304" spans="2:16" ht="13">
      <c r="P304" s="14"/>
    </row>
    <row r="305" spans="2:16" ht="13">
      <c r="P305" s="14"/>
    </row>
    <row r="306" spans="2:16" ht="13">
      <c r="P306" s="14"/>
    </row>
    <row r="307" spans="2:16" ht="13">
      <c r="P307" s="14"/>
    </row>
    <row r="308" spans="2:16" ht="13">
      <c r="P308" s="14"/>
    </row>
    <row r="309" spans="2:16" ht="13">
      <c r="P309" s="14"/>
    </row>
    <row r="310" spans="2:16" ht="13">
      <c r="P310" s="14"/>
    </row>
    <row r="311" spans="2:16" ht="13">
      <c r="P311" s="14"/>
    </row>
    <row r="312" spans="2:16" ht="13">
      <c r="P312" s="14"/>
    </row>
    <row r="313" spans="2:16" ht="13">
      <c r="P313" s="14"/>
    </row>
    <row r="314" spans="2:16" ht="13">
      <c r="P314" s="14"/>
    </row>
    <row r="315" spans="2:16" ht="13">
      <c r="P315" s="14"/>
    </row>
    <row r="316" spans="2:16" ht="13">
      <c r="P316" s="14"/>
    </row>
    <row r="317" spans="2:16" ht="13">
      <c r="P317" s="14"/>
    </row>
    <row r="318" spans="2:16" ht="13">
      <c r="P318" s="14"/>
    </row>
    <row r="319" spans="2:16" ht="13">
      <c r="P319" s="14"/>
    </row>
    <row r="320" spans="2:16" ht="13">
      <c r="B320" s="13"/>
      <c r="C320" s="11"/>
      <c r="D320" s="11"/>
      <c r="E320" s="11"/>
      <c r="F320" s="11"/>
      <c r="G320" s="11"/>
      <c r="H320" s="11"/>
      <c r="I320" s="11"/>
      <c r="J320" s="11"/>
      <c r="K320" s="11"/>
      <c r="L320" s="11"/>
      <c r="M320" s="11"/>
      <c r="N320" s="11"/>
      <c r="O320" s="11"/>
      <c r="P320" s="14"/>
    </row>
    <row r="321" spans="16:16" ht="13">
      <c r="P321" s="35"/>
    </row>
    <row r="322" spans="16:16" ht="13">
      <c r="P322" s="14"/>
    </row>
    <row r="323" spans="16:16" ht="13">
      <c r="P323" s="14"/>
    </row>
    <row r="324" spans="16:16" ht="13">
      <c r="P324" s="14"/>
    </row>
    <row r="325" spans="16:16" ht="13">
      <c r="P325" s="14"/>
    </row>
    <row r="326" spans="16:16" ht="13">
      <c r="P326" s="14"/>
    </row>
    <row r="327" spans="16:16" ht="13">
      <c r="P327" s="14"/>
    </row>
    <row r="328" spans="16:16" ht="13">
      <c r="P328" s="14"/>
    </row>
    <row r="329" spans="16:16" ht="13">
      <c r="P329" s="14"/>
    </row>
    <row r="330" spans="16:16" ht="13">
      <c r="P330" s="14"/>
    </row>
    <row r="331" spans="16:16" ht="13">
      <c r="P331" s="14"/>
    </row>
    <row r="332" spans="16:16" ht="13">
      <c r="P332" s="14"/>
    </row>
    <row r="333" spans="16:16" ht="13">
      <c r="P333" s="14"/>
    </row>
    <row r="334" spans="16:16" ht="13">
      <c r="P334" s="14"/>
    </row>
    <row r="335" spans="16:16" ht="13">
      <c r="P335" s="14"/>
    </row>
    <row r="336" spans="16:16" ht="13">
      <c r="P336" s="14"/>
    </row>
    <row r="337" spans="2:16" ht="13">
      <c r="P337" s="14"/>
    </row>
    <row r="338" spans="2:16" ht="13">
      <c r="P338" s="14"/>
    </row>
    <row r="339" spans="2:16" ht="13">
      <c r="P339" s="14"/>
    </row>
    <row r="340" spans="2:16" ht="13">
      <c r="P340" s="14"/>
    </row>
    <row r="341" spans="2:16" ht="13">
      <c r="P341" s="14"/>
    </row>
    <row r="342" spans="2:16" ht="13">
      <c r="P342" s="14"/>
    </row>
    <row r="343" spans="2:16" ht="13">
      <c r="P343" s="14"/>
    </row>
    <row r="344" spans="2:16" ht="13">
      <c r="P344" s="14"/>
    </row>
    <row r="345" spans="2:16" ht="13">
      <c r="P345" s="14"/>
    </row>
    <row r="346" spans="2:16" ht="13">
      <c r="P346" s="14"/>
    </row>
    <row r="347" spans="2:16" ht="13">
      <c r="B347" s="13"/>
      <c r="C347" s="11"/>
      <c r="D347" s="37"/>
      <c r="E347" s="37"/>
      <c r="F347" s="38"/>
      <c r="G347" s="38"/>
      <c r="H347" s="38"/>
      <c r="I347" s="38"/>
      <c r="J347" s="38"/>
      <c r="K347" s="38"/>
      <c r="L347" s="38"/>
      <c r="M347" s="38"/>
      <c r="N347" s="38"/>
      <c r="O347" s="11"/>
      <c r="P347" s="14"/>
    </row>
    <row r="348" spans="2:16" ht="13">
      <c r="O348" s="11"/>
      <c r="P348" s="14"/>
    </row>
    <row r="349" spans="2:16" ht="13">
      <c r="O349" s="11"/>
      <c r="P349" s="14"/>
    </row>
    <row r="350" spans="2:16" ht="13">
      <c r="O350" s="11"/>
      <c r="P350" s="14"/>
    </row>
    <row r="351" spans="2:16" ht="15" customHeight="1">
      <c r="O351" s="11"/>
      <c r="P351" s="14"/>
    </row>
    <row r="352" spans="2:16" ht="13">
      <c r="O352" s="16"/>
      <c r="P352" s="39"/>
    </row>
    <row r="353" spans="15:16" ht="13">
      <c r="O353" s="11"/>
      <c r="P353" s="14"/>
    </row>
    <row r="354" spans="15:16" ht="13">
      <c r="O354" s="11"/>
      <c r="P354" s="14"/>
    </row>
    <row r="355" spans="15:16" ht="13">
      <c r="O355" s="11"/>
      <c r="P355" s="14"/>
    </row>
    <row r="356" spans="15:16" ht="13">
      <c r="O356" s="11"/>
      <c r="P356" s="14"/>
    </row>
    <row r="357" spans="15:16" ht="13">
      <c r="O357" s="11"/>
      <c r="P357" s="14"/>
    </row>
    <row r="358" spans="15:16" ht="13">
      <c r="O358" s="11"/>
      <c r="P358" s="14"/>
    </row>
    <row r="359" spans="15:16" ht="13">
      <c r="O359" s="11"/>
      <c r="P359" s="14"/>
    </row>
    <row r="360" spans="15:16" ht="13">
      <c r="O360" s="11"/>
      <c r="P360" s="14"/>
    </row>
    <row r="361" spans="15:16" ht="13">
      <c r="O361" s="11"/>
      <c r="P361" s="14"/>
    </row>
    <row r="362" spans="15:16" ht="13">
      <c r="O362" s="11"/>
      <c r="P362" s="14"/>
    </row>
    <row r="363" spans="15:16" ht="13">
      <c r="O363" s="11"/>
      <c r="P363" s="14"/>
    </row>
    <row r="364" spans="15:16" ht="13">
      <c r="O364" s="11"/>
      <c r="P364" s="14"/>
    </row>
    <row r="365" spans="15:16" ht="13">
      <c r="O365" s="16"/>
      <c r="P365" s="39"/>
    </row>
    <row r="366" spans="15:16" ht="13">
      <c r="O366" s="11"/>
      <c r="P366" s="14"/>
    </row>
    <row r="367" spans="15:16" ht="13">
      <c r="O367" s="11"/>
      <c r="P367" s="14"/>
    </row>
    <row r="368" spans="15:16" ht="13">
      <c r="O368" s="16"/>
      <c r="P368" s="39"/>
    </row>
    <row r="369" spans="15:16" ht="13">
      <c r="O369" s="11"/>
      <c r="P369" s="14"/>
    </row>
    <row r="370" spans="15:16" ht="13">
      <c r="O370" s="16"/>
      <c r="P370" s="39"/>
    </row>
    <row r="371" spans="15:16" ht="13">
      <c r="O371" s="11"/>
      <c r="P371" s="14"/>
    </row>
    <row r="372" spans="15:16" ht="13">
      <c r="O372" s="11"/>
      <c r="P372" s="14"/>
    </row>
    <row r="373" spans="15:16" ht="13">
      <c r="O373" s="11"/>
      <c r="P373" s="14"/>
    </row>
    <row r="374" spans="15:16" ht="13">
      <c r="O374" s="16"/>
      <c r="P374" s="39"/>
    </row>
    <row r="375" spans="15:16" ht="13">
      <c r="O375" s="11"/>
      <c r="P375" s="14"/>
    </row>
    <row r="376" spans="15:16" ht="13">
      <c r="O376" s="11"/>
      <c r="P376" s="14"/>
    </row>
    <row r="377" spans="15:16" ht="13">
      <c r="O377" s="16"/>
      <c r="P377" s="39"/>
    </row>
    <row r="378" spans="15:16" ht="13">
      <c r="O378" s="11"/>
      <c r="P378" s="14"/>
    </row>
    <row r="379" spans="15:16" ht="13">
      <c r="O379" s="11"/>
      <c r="P379" s="14"/>
    </row>
    <row r="380" spans="15:16" ht="13">
      <c r="O380" s="11"/>
      <c r="P380" s="14"/>
    </row>
    <row r="381" spans="15:16" ht="13">
      <c r="O381" s="11"/>
      <c r="P381" s="14"/>
    </row>
    <row r="382" spans="15:16" ht="13">
      <c r="O382" s="11"/>
      <c r="P382" s="14"/>
    </row>
    <row r="383" spans="15:16" ht="13">
      <c r="O383" s="11"/>
      <c r="P383" s="14"/>
    </row>
    <row r="384" spans="15:16" ht="13">
      <c r="O384" s="11"/>
      <c r="P384" s="14"/>
    </row>
    <row r="385" spans="15:16" ht="13">
      <c r="O385" s="11"/>
      <c r="P385" s="14"/>
    </row>
    <row r="386" spans="15:16" ht="13">
      <c r="O386" s="11"/>
      <c r="P386" s="14"/>
    </row>
    <row r="387" spans="15:16" ht="13">
      <c r="O387" s="11"/>
      <c r="P387" s="14"/>
    </row>
    <row r="388" spans="15:16" ht="13">
      <c r="O388" s="11"/>
      <c r="P388" s="14"/>
    </row>
    <row r="389" spans="15:16" ht="13">
      <c r="O389" s="16"/>
      <c r="P389" s="39"/>
    </row>
    <row r="390" spans="15:16" ht="13">
      <c r="O390" s="11"/>
      <c r="P390" s="14"/>
    </row>
    <row r="391" spans="15:16" ht="13">
      <c r="O391" s="16"/>
      <c r="P391" s="39"/>
    </row>
    <row r="392" spans="15:16" ht="13">
      <c r="O392" s="16"/>
      <c r="P392" s="39"/>
    </row>
    <row r="393" spans="15:16" ht="13">
      <c r="O393" s="16"/>
      <c r="P393" s="39"/>
    </row>
    <row r="394" spans="15:16" ht="13">
      <c r="O394" s="11"/>
      <c r="P394" s="14"/>
    </row>
    <row r="395" spans="15:16" ht="13">
      <c r="O395" s="11"/>
      <c r="P395" s="14"/>
    </row>
    <row r="396" spans="15:16" ht="13">
      <c r="O396" s="16"/>
      <c r="P396" s="39"/>
    </row>
    <row r="397" spans="15:16" ht="13">
      <c r="O397" s="16"/>
      <c r="P397" s="39"/>
    </row>
    <row r="398" spans="15:16" ht="13">
      <c r="O398" s="11"/>
      <c r="P398" s="14"/>
    </row>
    <row r="399" spans="15:16" ht="13">
      <c r="O399" s="11"/>
      <c r="P399" s="14"/>
    </row>
    <row r="400" spans="15:16" ht="13">
      <c r="O400" s="11"/>
      <c r="P400" s="14"/>
    </row>
    <row r="401" spans="2:16" ht="13">
      <c r="O401" s="11"/>
      <c r="P401" s="14"/>
    </row>
    <row r="402" spans="2:16" ht="13">
      <c r="O402" s="11"/>
      <c r="P402" s="14"/>
    </row>
    <row r="403" spans="2:16" ht="13">
      <c r="B403" s="13"/>
      <c r="C403" s="11"/>
      <c r="D403" s="11"/>
      <c r="E403" s="11"/>
      <c r="F403" s="11"/>
      <c r="G403" s="11"/>
      <c r="H403" s="11"/>
      <c r="I403" s="11"/>
      <c r="J403" s="11"/>
      <c r="K403" s="11"/>
      <c r="L403" s="11"/>
      <c r="M403" s="11"/>
      <c r="N403" s="11"/>
      <c r="O403" s="11"/>
      <c r="P403" s="14"/>
    </row>
    <row r="404" spans="2:16" ht="13">
      <c r="B404" s="13"/>
      <c r="C404" s="40"/>
      <c r="D404" s="40"/>
      <c r="E404" s="40"/>
      <c r="F404" s="40"/>
      <c r="G404" s="40"/>
      <c r="H404" s="40"/>
      <c r="I404" s="40"/>
      <c r="J404" s="40"/>
      <c r="K404" s="40"/>
      <c r="L404" s="40"/>
      <c r="M404" s="40"/>
      <c r="N404" s="40"/>
      <c r="O404" s="40"/>
      <c r="P404" s="40"/>
    </row>
    <row r="405" spans="2:16" ht="13">
      <c r="P405" s="40"/>
    </row>
    <row r="406" spans="2:16" ht="13">
      <c r="P406" s="40"/>
    </row>
    <row r="407" spans="2:16" ht="13">
      <c r="P407" s="40"/>
    </row>
    <row r="408" spans="2:16" ht="13">
      <c r="P408" s="40"/>
    </row>
    <row r="409" spans="2:16" ht="13">
      <c r="P409" s="40"/>
    </row>
    <row r="410" spans="2:16" ht="13">
      <c r="P410" s="40"/>
    </row>
    <row r="411" spans="2:16" ht="13">
      <c r="P411" s="40"/>
    </row>
    <row r="412" spans="2:16" ht="13">
      <c r="P412" s="40"/>
    </row>
    <row r="413" spans="2:16" ht="13">
      <c r="P413" s="40"/>
    </row>
    <row r="414" spans="2:16" ht="13">
      <c r="P414" s="40"/>
    </row>
    <row r="415" spans="2:16" ht="13">
      <c r="P415" s="40"/>
    </row>
    <row r="416" spans="2:16" ht="13">
      <c r="P416" s="40"/>
    </row>
    <row r="417" spans="16:16" ht="13">
      <c r="P417" s="40"/>
    </row>
    <row r="418" spans="16:16" ht="13">
      <c r="P418" s="40"/>
    </row>
    <row r="419" spans="16:16" ht="13">
      <c r="P419" s="40"/>
    </row>
    <row r="420" spans="16:16" ht="13">
      <c r="P420" s="40"/>
    </row>
    <row r="421" spans="16:16" ht="13">
      <c r="P421" s="40"/>
    </row>
    <row r="422" spans="16:16" ht="13">
      <c r="P422" s="40"/>
    </row>
    <row r="423" spans="16:16" ht="13">
      <c r="P423" s="40"/>
    </row>
    <row r="424" spans="16:16" ht="13">
      <c r="P424" s="40"/>
    </row>
    <row r="425" spans="16:16" ht="13">
      <c r="P425" s="40"/>
    </row>
    <row r="426" spans="16:16" ht="13">
      <c r="P426" s="40"/>
    </row>
    <row r="427" spans="16:16" ht="13">
      <c r="P427" s="40"/>
    </row>
    <row r="428" spans="16:16" ht="13">
      <c r="P428" s="40"/>
    </row>
    <row r="429" spans="16:16" ht="13">
      <c r="P429" s="40"/>
    </row>
    <row r="430" spans="16:16" ht="13">
      <c r="P430" s="40"/>
    </row>
    <row r="431" spans="16:16" ht="13">
      <c r="P431" s="40"/>
    </row>
    <row r="432" spans="16:16" ht="13">
      <c r="P432" s="40"/>
    </row>
    <row r="433" spans="16:16" ht="13">
      <c r="P433" s="40"/>
    </row>
    <row r="434" spans="16:16" ht="13">
      <c r="P434" s="40"/>
    </row>
    <row r="435" spans="16:16" ht="13">
      <c r="P435" s="40"/>
    </row>
    <row r="436" spans="16:16" ht="13">
      <c r="P436" s="40"/>
    </row>
    <row r="437" spans="16:16" ht="13">
      <c r="P437" s="40"/>
    </row>
    <row r="438" spans="16:16" ht="13">
      <c r="P438" s="40"/>
    </row>
    <row r="439" spans="16:16" ht="13">
      <c r="P439" s="40"/>
    </row>
    <row r="440" spans="16:16" ht="13">
      <c r="P440" s="40"/>
    </row>
    <row r="441" spans="16:16" ht="13">
      <c r="P441" s="40"/>
    </row>
    <row r="442" spans="16:16" ht="13">
      <c r="P442" s="40"/>
    </row>
    <row r="443" spans="16:16" ht="13">
      <c r="P443" s="40"/>
    </row>
    <row r="444" spans="16:16" ht="13">
      <c r="P444" s="40"/>
    </row>
    <row r="445" spans="16:16" ht="13">
      <c r="P445" s="40"/>
    </row>
    <row r="446" spans="16:16" ht="13">
      <c r="P446" s="40"/>
    </row>
    <row r="447" spans="16:16" ht="13">
      <c r="P447" s="40"/>
    </row>
    <row r="448" spans="16:16" ht="13">
      <c r="P448" s="40"/>
    </row>
    <row r="449" spans="16:16" ht="13">
      <c r="P449" s="40"/>
    </row>
    <row r="450" spans="16:16" ht="13">
      <c r="P450" s="40"/>
    </row>
    <row r="451" spans="16:16" ht="13">
      <c r="P451" s="40"/>
    </row>
    <row r="452" spans="16:16" ht="13">
      <c r="P452" s="40"/>
    </row>
    <row r="453" spans="16:16" ht="13">
      <c r="P453" s="40"/>
    </row>
    <row r="454" spans="16:16" ht="13">
      <c r="P454" s="40"/>
    </row>
    <row r="455" spans="16:16" ht="13">
      <c r="P455" s="40"/>
    </row>
    <row r="456" spans="16:16" ht="13">
      <c r="P456" s="40"/>
    </row>
    <row r="457" spans="16:16" ht="13">
      <c r="P457" s="40"/>
    </row>
    <row r="458" spans="16:16" ht="13">
      <c r="P458" s="40"/>
    </row>
    <row r="459" spans="16:16" ht="13">
      <c r="P459" s="40"/>
    </row>
    <row r="460" spans="16:16" ht="13">
      <c r="P460" s="40"/>
    </row>
    <row r="461" spans="16:16" ht="13">
      <c r="P461" s="40"/>
    </row>
    <row r="462" spans="16:16" ht="13">
      <c r="P462" s="40"/>
    </row>
    <row r="463" spans="16:16" ht="13">
      <c r="P463" s="40"/>
    </row>
    <row r="464" spans="16:16" ht="13">
      <c r="P464" s="40"/>
    </row>
    <row r="465" spans="16:16" ht="13">
      <c r="P465" s="40"/>
    </row>
    <row r="466" spans="16:16" ht="13">
      <c r="P466" s="40"/>
    </row>
    <row r="467" spans="16:16" ht="13">
      <c r="P467" s="40"/>
    </row>
    <row r="468" spans="16:16" ht="13">
      <c r="P468" s="40"/>
    </row>
    <row r="469" spans="16:16" ht="13">
      <c r="P469" s="40"/>
    </row>
    <row r="470" spans="16:16" ht="13">
      <c r="P470" s="40"/>
    </row>
    <row r="471" spans="16:16" ht="13">
      <c r="P471" s="40"/>
    </row>
    <row r="472" spans="16:16" ht="13">
      <c r="P472" s="40"/>
    </row>
    <row r="473" spans="16:16" ht="13">
      <c r="P473" s="40"/>
    </row>
    <row r="474" spans="16:16" ht="13">
      <c r="P474" s="40"/>
    </row>
    <row r="475" spans="16:16" ht="13">
      <c r="P475" s="40"/>
    </row>
    <row r="476" spans="16:16" ht="13">
      <c r="P476" s="40"/>
    </row>
    <row r="477" spans="16:16" ht="13">
      <c r="P477" s="40"/>
    </row>
    <row r="478" spans="16:16" ht="13">
      <c r="P478" s="40"/>
    </row>
    <row r="479" spans="16:16" ht="13">
      <c r="P479" s="40"/>
    </row>
    <row r="480" spans="16:16" ht="13">
      <c r="P480" s="40"/>
    </row>
    <row r="481" spans="16:16" ht="13">
      <c r="P481" s="40"/>
    </row>
    <row r="482" spans="16:16" ht="13">
      <c r="P482" s="40"/>
    </row>
    <row r="483" spans="16:16" ht="13">
      <c r="P483" s="40"/>
    </row>
    <row r="484" spans="16:16" ht="13">
      <c r="P484" s="40"/>
    </row>
    <row r="485" spans="16:16" ht="13">
      <c r="P485" s="40"/>
    </row>
    <row r="486" spans="16:16" ht="13">
      <c r="P486" s="40"/>
    </row>
    <row r="487" spans="16:16" ht="13">
      <c r="P487" s="40"/>
    </row>
    <row r="488" spans="16:16" ht="13">
      <c r="P488" s="40"/>
    </row>
    <row r="489" spans="16:16" ht="13">
      <c r="P489" s="40"/>
    </row>
    <row r="490" spans="16:16" ht="13">
      <c r="P490" s="40"/>
    </row>
    <row r="491" spans="16:16" ht="13">
      <c r="P491" s="40"/>
    </row>
    <row r="492" spans="16:16" ht="13">
      <c r="P492" s="40"/>
    </row>
    <row r="493" spans="16:16" ht="13">
      <c r="P493" s="40"/>
    </row>
    <row r="494" spans="16:16" ht="13">
      <c r="P494" s="40"/>
    </row>
    <row r="495" spans="16:16" ht="13">
      <c r="P495" s="40"/>
    </row>
    <row r="496" spans="16:16" ht="13">
      <c r="P496" s="40"/>
    </row>
    <row r="497" spans="16:16" ht="13">
      <c r="P497" s="40"/>
    </row>
    <row r="498" spans="16:16" ht="13">
      <c r="P498" s="40"/>
    </row>
    <row r="499" spans="16:16" ht="13">
      <c r="P499" s="40"/>
    </row>
    <row r="500" spans="16:16" ht="13">
      <c r="P500" s="40"/>
    </row>
    <row r="501" spans="16:16" ht="13">
      <c r="P501" s="40"/>
    </row>
    <row r="502" spans="16:16" ht="13">
      <c r="P502" s="40"/>
    </row>
    <row r="503" spans="16:16" ht="13">
      <c r="P503" s="40"/>
    </row>
    <row r="504" spans="16:16" ht="13">
      <c r="P504" s="40"/>
    </row>
    <row r="505" spans="16:16" ht="13">
      <c r="P505" s="40"/>
    </row>
    <row r="506" spans="16:16" ht="13">
      <c r="P506" s="40"/>
    </row>
    <row r="507" spans="16:16" ht="13">
      <c r="P507" s="40"/>
    </row>
    <row r="508" spans="16:16" ht="13">
      <c r="P508" s="40"/>
    </row>
    <row r="509" spans="16:16" ht="13">
      <c r="P509" s="40"/>
    </row>
    <row r="510" spans="16:16" ht="13">
      <c r="P510" s="40"/>
    </row>
    <row r="511" spans="16:16" ht="13">
      <c r="P511" s="40"/>
    </row>
    <row r="512" spans="16:16" ht="13">
      <c r="P512" s="40"/>
    </row>
    <row r="513" spans="15:16" ht="13">
      <c r="P513" s="40"/>
    </row>
    <row r="514" spans="15:16" ht="13">
      <c r="P514" s="40"/>
    </row>
    <row r="515" spans="15:16" ht="13">
      <c r="P515" s="40"/>
    </row>
    <row r="516" spans="15:16" ht="13">
      <c r="P516" s="40"/>
    </row>
    <row r="517" spans="15:16" ht="13">
      <c r="P517" s="40"/>
    </row>
    <row r="518" spans="15:16" ht="13">
      <c r="P518" s="40"/>
    </row>
    <row r="519" spans="15:16" ht="13">
      <c r="P519" s="40"/>
    </row>
    <row r="520" spans="15:16" ht="13">
      <c r="O520" s="40"/>
      <c r="P520" s="40"/>
    </row>
    <row r="521" spans="15:16" ht="13">
      <c r="O521" s="40"/>
      <c r="P521" s="40"/>
    </row>
    <row r="522" spans="15:16" ht="13">
      <c r="O522" s="40"/>
      <c r="P522" s="40"/>
    </row>
    <row r="523" spans="15:16" ht="13">
      <c r="O523" s="40"/>
      <c r="P523" s="40"/>
    </row>
    <row r="524" spans="15:16" ht="13">
      <c r="O524" s="40"/>
      <c r="P524" s="40"/>
    </row>
    <row r="525" spans="15:16" ht="13">
      <c r="O525" s="40"/>
      <c r="P525" s="40"/>
    </row>
    <row r="526" spans="15:16" ht="13">
      <c r="O526" s="40"/>
      <c r="P526" s="40"/>
    </row>
    <row r="527" spans="15:16" ht="13">
      <c r="O527" s="40"/>
      <c r="P527" s="40"/>
    </row>
    <row r="528" spans="15:16" ht="13">
      <c r="O528" s="40"/>
      <c r="P528" s="40"/>
    </row>
    <row r="529" spans="15:16" ht="13">
      <c r="O529" s="40"/>
      <c r="P529" s="40"/>
    </row>
    <row r="530" spans="15:16" ht="13">
      <c r="O530" s="40"/>
      <c r="P530" s="40"/>
    </row>
    <row r="531" spans="15:16" ht="13">
      <c r="O531" s="40"/>
      <c r="P531" s="40"/>
    </row>
    <row r="532" spans="15:16" ht="13">
      <c r="O532" s="40"/>
      <c r="P532" s="40"/>
    </row>
    <row r="533" spans="15:16" ht="13">
      <c r="O533" s="40"/>
      <c r="P533" s="40"/>
    </row>
    <row r="534" spans="15:16" ht="13">
      <c r="O534" s="40"/>
      <c r="P534" s="40"/>
    </row>
    <row r="535" spans="15:16" ht="13">
      <c r="O535" s="40"/>
      <c r="P535" s="40"/>
    </row>
    <row r="536" spans="15:16" ht="13">
      <c r="O536" s="40"/>
      <c r="P536" s="40"/>
    </row>
    <row r="537" spans="15:16" ht="13">
      <c r="O537" s="40"/>
      <c r="P537" s="40"/>
    </row>
    <row r="538" spans="15:16" ht="13">
      <c r="O538" s="40"/>
      <c r="P538" s="40"/>
    </row>
    <row r="539" spans="15:16" ht="13">
      <c r="O539" s="40"/>
      <c r="P539" s="40"/>
    </row>
    <row r="540" spans="15:16" ht="13">
      <c r="O540" s="40"/>
      <c r="P540" s="40"/>
    </row>
    <row r="541" spans="15:16" ht="13">
      <c r="O541" s="40"/>
      <c r="P541" s="40"/>
    </row>
    <row r="542" spans="15:16" ht="13">
      <c r="O542" s="40"/>
      <c r="P542" s="40"/>
    </row>
    <row r="543" spans="15:16" ht="13">
      <c r="O543" s="40"/>
      <c r="P543" s="40"/>
    </row>
    <row r="544" spans="15:16" ht="13">
      <c r="O544" s="40"/>
      <c r="P544" s="40"/>
    </row>
    <row r="545" spans="15:16" ht="13">
      <c r="O545" s="40"/>
      <c r="P545" s="40"/>
    </row>
    <row r="546" spans="15:16" ht="13">
      <c r="O546" s="40"/>
      <c r="P546" s="40"/>
    </row>
    <row r="547" spans="15:16" ht="13">
      <c r="O547" s="40"/>
      <c r="P547" s="40"/>
    </row>
    <row r="548" spans="15:16" ht="13">
      <c r="O548" s="40"/>
      <c r="P548" s="40"/>
    </row>
    <row r="549" spans="15:16" ht="13">
      <c r="O549" s="40"/>
      <c r="P549" s="40"/>
    </row>
    <row r="550" spans="15:16" ht="13">
      <c r="O550" s="40"/>
      <c r="P550" s="40"/>
    </row>
    <row r="551" spans="15:16" ht="13">
      <c r="O551" s="40"/>
      <c r="P551" s="40"/>
    </row>
    <row r="552" spans="15:16" ht="13">
      <c r="O552" s="40"/>
      <c r="P552" s="40"/>
    </row>
    <row r="553" spans="15:16" ht="13">
      <c r="O553" s="40"/>
      <c r="P553" s="40"/>
    </row>
    <row r="554" spans="15:16" ht="13">
      <c r="O554" s="40"/>
      <c r="P554" s="40"/>
    </row>
    <row r="555" spans="15:16" ht="13">
      <c r="O555" s="40"/>
      <c r="P555" s="40"/>
    </row>
    <row r="556" spans="15:16" ht="13">
      <c r="O556" s="40"/>
    </row>
    <row r="557" spans="15:16" ht="13">
      <c r="O557" s="40"/>
      <c r="P557" s="40"/>
    </row>
    <row r="558" spans="15:16" ht="13">
      <c r="O558" s="40"/>
      <c r="P558" s="40"/>
    </row>
    <row r="559" spans="15:16" ht="13">
      <c r="O559" s="40"/>
      <c r="P559" s="40"/>
    </row>
    <row r="560" spans="15:16" ht="13">
      <c r="O560" s="40"/>
      <c r="P560" s="40"/>
    </row>
    <row r="561" spans="15:16" ht="13">
      <c r="O561" s="40"/>
      <c r="P561" s="40"/>
    </row>
    <row r="562" spans="15:16" ht="13">
      <c r="O562" s="40"/>
      <c r="P562" s="40"/>
    </row>
    <row r="563" spans="15:16" ht="13">
      <c r="O563" s="40"/>
      <c r="P563" s="40"/>
    </row>
    <row r="564" spans="15:16" ht="13">
      <c r="O564" s="40"/>
      <c r="P564" s="40"/>
    </row>
    <row r="565" spans="15:16" ht="13">
      <c r="O565" s="40"/>
      <c r="P565" s="40"/>
    </row>
    <row r="566" spans="15:16" ht="13">
      <c r="O566" s="40"/>
      <c r="P566" s="40"/>
    </row>
    <row r="567" spans="15:16" ht="13">
      <c r="O567" s="40"/>
      <c r="P567" s="40"/>
    </row>
    <row r="568" spans="15:16" ht="13">
      <c r="O568" s="40"/>
      <c r="P568" s="40"/>
    </row>
    <row r="569" spans="15:16" ht="13">
      <c r="O569" s="40"/>
    </row>
    <row r="570" spans="15:16" ht="13">
      <c r="O570" s="40"/>
      <c r="P570" s="40"/>
    </row>
    <row r="571" spans="15:16" ht="13">
      <c r="O571" s="40"/>
      <c r="P571" s="40"/>
    </row>
    <row r="572" spans="15:16" ht="13">
      <c r="O572" s="40"/>
      <c r="P572" s="40"/>
    </row>
    <row r="573" spans="15:16" ht="13">
      <c r="O573" s="40"/>
      <c r="P573" s="40"/>
    </row>
    <row r="574" spans="15:16" ht="13">
      <c r="O574" s="40"/>
    </row>
    <row r="575" spans="15:16" ht="13">
      <c r="O575" s="40"/>
      <c r="P575" s="40"/>
    </row>
    <row r="576" spans="15:16" ht="13">
      <c r="O576" s="40"/>
    </row>
    <row r="577" spans="15:16" ht="13">
      <c r="O577" s="40"/>
      <c r="P577" s="40"/>
    </row>
    <row r="578" spans="15:16" ht="13">
      <c r="O578" s="40"/>
      <c r="P578" s="40"/>
    </row>
    <row r="579" spans="15:16" ht="13">
      <c r="O579" s="40"/>
      <c r="P579" s="40"/>
    </row>
    <row r="580" spans="15:16" ht="13">
      <c r="O580" s="40"/>
      <c r="P580" s="40"/>
    </row>
    <row r="581" spans="15:16" ht="13">
      <c r="O581" s="40"/>
    </row>
    <row r="582" spans="15:16" ht="13">
      <c r="O582" s="40"/>
      <c r="P582" s="40"/>
    </row>
    <row r="583" spans="15:16" ht="13">
      <c r="O583" s="40"/>
      <c r="P583" s="40"/>
    </row>
    <row r="584" spans="15:16" ht="13">
      <c r="O584" s="40"/>
      <c r="P584" s="40"/>
    </row>
    <row r="585" spans="15:16" ht="13">
      <c r="O585" s="40"/>
    </row>
    <row r="586" spans="15:16" ht="13">
      <c r="O586" s="40"/>
      <c r="P586" s="40"/>
    </row>
    <row r="587" spans="15:16" ht="13">
      <c r="O587" s="40"/>
      <c r="P587" s="40"/>
    </row>
    <row r="588" spans="15:16" ht="13">
      <c r="O588" s="40"/>
      <c r="P588" s="40"/>
    </row>
    <row r="589" spans="15:16" ht="13">
      <c r="O589" s="40"/>
      <c r="P589" s="40"/>
    </row>
    <row r="590" spans="15:16" ht="13">
      <c r="O590" s="40"/>
      <c r="P590" s="40"/>
    </row>
    <row r="591" spans="15:16" ht="13">
      <c r="O591" s="40"/>
      <c r="P591" s="40"/>
    </row>
    <row r="592" spans="15:16" ht="13">
      <c r="O592" s="40"/>
      <c r="P592" s="40"/>
    </row>
    <row r="593" spans="15:16" ht="13">
      <c r="O593" s="40"/>
      <c r="P593" s="40"/>
    </row>
    <row r="594" spans="15:16" ht="13">
      <c r="O594" s="40"/>
      <c r="P594" s="40"/>
    </row>
    <row r="595" spans="15:16" ht="13">
      <c r="O595" s="40"/>
      <c r="P595" s="40"/>
    </row>
    <row r="596" spans="15:16" ht="13">
      <c r="O596" s="40"/>
      <c r="P596" s="40"/>
    </row>
    <row r="597" spans="15:16" ht="13">
      <c r="O597" s="40"/>
      <c r="P597" s="40"/>
    </row>
    <row r="598" spans="15:16" ht="13">
      <c r="O598" s="40"/>
      <c r="P598" s="40"/>
    </row>
    <row r="599" spans="15:16" ht="13">
      <c r="O599" s="40"/>
      <c r="P599" s="40"/>
    </row>
    <row r="600" spans="15:16" ht="13">
      <c r="O600" s="40"/>
      <c r="P600" s="40"/>
    </row>
    <row r="601" spans="15:16" ht="13">
      <c r="O601" s="40"/>
      <c r="P601" s="40"/>
    </row>
    <row r="602" spans="15:16" ht="13">
      <c r="O602" s="40"/>
      <c r="P602" s="40"/>
    </row>
    <row r="603" spans="15:16" ht="13">
      <c r="O603" s="40"/>
      <c r="P603" s="40"/>
    </row>
    <row r="604" spans="15:16" ht="13">
      <c r="O604" s="40"/>
      <c r="P604" s="40"/>
    </row>
    <row r="605" spans="15:16" ht="13">
      <c r="O605" s="40"/>
      <c r="P605" s="40"/>
    </row>
    <row r="606" spans="15:16" ht="13">
      <c r="O606" s="40"/>
      <c r="P606" s="40"/>
    </row>
    <row r="607" spans="15:16" ht="13">
      <c r="O607" s="40"/>
      <c r="P607" s="40"/>
    </row>
    <row r="608" spans="15:16" ht="13">
      <c r="O608" s="40"/>
      <c r="P608" s="40"/>
    </row>
    <row r="609" spans="15:16" ht="13">
      <c r="O609" s="40"/>
      <c r="P609" s="40"/>
    </row>
    <row r="610" spans="15:16" ht="13">
      <c r="O610" s="40"/>
      <c r="P610" s="40"/>
    </row>
    <row r="611" spans="15:16" ht="13">
      <c r="O611" s="40"/>
      <c r="P611" s="40"/>
    </row>
    <row r="612" spans="15:16" ht="13">
      <c r="O612" s="40"/>
      <c r="P612" s="40"/>
    </row>
    <row r="613" spans="15:16" ht="13">
      <c r="O613" s="40"/>
      <c r="P613" s="40"/>
    </row>
    <row r="614" spans="15:16" ht="13">
      <c r="O614" s="40"/>
      <c r="P614" s="40"/>
    </row>
    <row r="615" spans="15:16" ht="13">
      <c r="O615" s="40"/>
      <c r="P615" s="40"/>
    </row>
    <row r="616" spans="15:16" ht="13">
      <c r="O616" s="40"/>
      <c r="P616" s="40"/>
    </row>
    <row r="617" spans="15:16" ht="13">
      <c r="O617" s="40"/>
      <c r="P617" s="40"/>
    </row>
    <row r="618" spans="15:16" ht="13">
      <c r="O618" s="40"/>
      <c r="P618" s="40"/>
    </row>
    <row r="619" spans="15:16" ht="13">
      <c r="O619" s="40"/>
      <c r="P619" s="40"/>
    </row>
    <row r="620" spans="15:16" ht="13">
      <c r="O620" s="40"/>
      <c r="P620" s="40"/>
    </row>
    <row r="621" spans="15:16" ht="13">
      <c r="O621" s="40"/>
      <c r="P621" s="40"/>
    </row>
    <row r="622" spans="15:16" ht="13">
      <c r="O622" s="40"/>
      <c r="P622" s="40"/>
    </row>
    <row r="623" spans="15:16" ht="13">
      <c r="O623" s="40"/>
      <c r="P623" s="40"/>
    </row>
    <row r="624" spans="15:16" ht="13">
      <c r="O624" s="40"/>
      <c r="P624" s="40"/>
    </row>
    <row r="625" spans="15:16" ht="13">
      <c r="O625" s="40"/>
      <c r="P625" s="40"/>
    </row>
    <row r="626" spans="15:16" ht="13">
      <c r="O626" s="40"/>
      <c r="P626" s="40"/>
    </row>
    <row r="627" spans="15:16" ht="13">
      <c r="O627" s="40"/>
      <c r="P627" s="40"/>
    </row>
    <row r="628" spans="15:16" ht="13">
      <c r="O628" s="40"/>
      <c r="P628" s="40"/>
    </row>
    <row r="629" spans="15:16" ht="13">
      <c r="O629" s="40"/>
      <c r="P629" s="40"/>
    </row>
    <row r="630" spans="15:16" ht="13">
      <c r="O630" s="40"/>
      <c r="P630" s="40"/>
    </row>
    <row r="631" spans="15:16" ht="13">
      <c r="O631" s="40"/>
      <c r="P631" s="40"/>
    </row>
    <row r="632" spans="15:16" ht="13">
      <c r="O632" s="40"/>
      <c r="P632" s="40"/>
    </row>
    <row r="633" spans="15:16" ht="13">
      <c r="O633" s="40"/>
      <c r="P633" s="40"/>
    </row>
    <row r="634" spans="15:16" ht="13">
      <c r="O634" s="40"/>
      <c r="P634" s="40"/>
    </row>
    <row r="635" spans="15:16" ht="13">
      <c r="O635" s="40"/>
      <c r="P635" s="40"/>
    </row>
    <row r="636" spans="15:16" ht="13">
      <c r="O636" s="40"/>
      <c r="P636" s="40"/>
    </row>
    <row r="637" spans="15:16" ht="13"/>
    <row r="638" spans="15:16" ht="13"/>
    <row r="639" spans="15:16" ht="13"/>
    <row r="640" spans="15:16" ht="20.25" customHeight="1"/>
    <row r="641" spans="2:2" ht="13"/>
    <row r="642" spans="2:2" ht="13"/>
    <row r="643" spans="2:2" ht="13"/>
    <row r="644" spans="2:2" ht="13"/>
    <row r="645" spans="2:2" ht="13"/>
    <row r="646" spans="2:2" ht="13"/>
    <row r="647" spans="2:2" ht="13"/>
    <row r="648" spans="2:2" ht="13"/>
    <row r="649" spans="2:2" ht="13"/>
    <row r="650" spans="2:2" ht="13"/>
    <row r="651" spans="2:2" ht="13">
      <c r="B651" s="13"/>
    </row>
    <row r="652" spans="2:2" ht="13">
      <c r="B652" s="13"/>
    </row>
    <row r="653" spans="2:2" ht="13">
      <c r="B653" s="13"/>
    </row>
    <row r="654" spans="2:2" ht="13">
      <c r="B654" s="13"/>
    </row>
    <row r="655" spans="2:2" ht="13">
      <c r="B655" s="13"/>
    </row>
    <row r="656" spans="2:2" ht="13">
      <c r="B656" s="13"/>
    </row>
    <row r="657" spans="2:2" ht="13">
      <c r="B657" s="13"/>
    </row>
    <row r="658" spans="2:2" ht="13">
      <c r="B658" s="13"/>
    </row>
    <row r="659" spans="2:2" ht="13">
      <c r="B659" s="13"/>
    </row>
    <row r="660" spans="2:2" ht="13">
      <c r="B660" s="13"/>
    </row>
    <row r="661" spans="2:2" ht="13">
      <c r="B661" s="13"/>
    </row>
    <row r="662" spans="2:2" ht="13">
      <c r="B662" s="13"/>
    </row>
    <row r="663" spans="2:2" ht="13">
      <c r="B663" s="13"/>
    </row>
    <row r="664" spans="2:2" ht="13">
      <c r="B664" s="13"/>
    </row>
    <row r="665" spans="2:2" ht="13">
      <c r="B665" s="13"/>
    </row>
    <row r="666" spans="2:2" ht="13">
      <c r="B666" s="13"/>
    </row>
    <row r="667" spans="2:2" ht="13">
      <c r="B667" s="13"/>
    </row>
    <row r="668" spans="2:2" ht="13">
      <c r="B668" s="13"/>
    </row>
    <row r="669" spans="2:2" ht="13">
      <c r="B669" s="13"/>
    </row>
    <row r="670" spans="2:2" ht="13">
      <c r="B670" s="13"/>
    </row>
    <row r="671" spans="2:2" ht="13">
      <c r="B671" s="13"/>
    </row>
    <row r="672" spans="2:2" ht="13">
      <c r="B672" s="13"/>
    </row>
    <row r="673" spans="2:2" ht="13">
      <c r="B673" s="13"/>
    </row>
    <row r="674" spans="2:2" ht="13">
      <c r="B674" s="13"/>
    </row>
    <row r="675" spans="2:2" ht="13">
      <c r="B675" s="13"/>
    </row>
    <row r="676" spans="2:2" ht="13">
      <c r="B676" s="13"/>
    </row>
    <row r="677" spans="2:2" ht="13">
      <c r="B677" s="13"/>
    </row>
    <row r="678" spans="2:2" ht="13">
      <c r="B678" s="13"/>
    </row>
    <row r="679" spans="2:2" ht="13">
      <c r="B679" s="13"/>
    </row>
    <row r="680" spans="2:2" ht="13">
      <c r="B680" s="13"/>
    </row>
    <row r="681" spans="2:2" ht="13">
      <c r="B681" s="13"/>
    </row>
    <row r="682" spans="2:2" ht="13">
      <c r="B682" s="13"/>
    </row>
    <row r="683" spans="2:2" ht="13">
      <c r="B683" s="13"/>
    </row>
    <row r="684" spans="2:2" ht="13">
      <c r="B684" s="13"/>
    </row>
    <row r="685" spans="2:2" ht="13">
      <c r="B685" s="13"/>
    </row>
    <row r="686" spans="2:2" ht="13">
      <c r="B686" s="13"/>
    </row>
    <row r="687" spans="2:2" ht="13">
      <c r="B687" s="13"/>
    </row>
    <row r="688" spans="2:2" ht="13">
      <c r="B688" s="13"/>
    </row>
    <row r="689" spans="2:2" ht="13">
      <c r="B689" s="13"/>
    </row>
    <row r="690" spans="2:2" ht="13">
      <c r="B690" s="13"/>
    </row>
    <row r="691" spans="2:2" ht="13">
      <c r="B691" s="13"/>
    </row>
    <row r="692" spans="2:2" ht="13">
      <c r="B692" s="13"/>
    </row>
    <row r="693" spans="2:2" ht="13">
      <c r="B693" s="13"/>
    </row>
    <row r="694" spans="2:2" ht="13">
      <c r="B694" s="13"/>
    </row>
    <row r="695" spans="2:2" ht="13">
      <c r="B695" s="13"/>
    </row>
    <row r="696" spans="2:2" ht="13">
      <c r="B696" s="13"/>
    </row>
    <row r="697" spans="2:2" ht="13">
      <c r="B697" s="13"/>
    </row>
    <row r="698" spans="2:2" ht="13">
      <c r="B698" s="13"/>
    </row>
    <row r="699" spans="2:2" ht="13">
      <c r="B699" s="13"/>
    </row>
    <row r="700" spans="2:2" ht="13">
      <c r="B700" s="13"/>
    </row>
    <row r="701" spans="2:2" ht="13">
      <c r="B701" s="13"/>
    </row>
    <row r="702" spans="2:2" ht="13">
      <c r="B702" s="13"/>
    </row>
    <row r="703" spans="2:2" ht="13">
      <c r="B703" s="13"/>
    </row>
    <row r="704" spans="2:2" ht="13">
      <c r="B704" s="13"/>
    </row>
    <row r="705" spans="2:2" ht="13">
      <c r="B705" s="13"/>
    </row>
    <row r="706" spans="2:2" ht="13">
      <c r="B706" s="13"/>
    </row>
    <row r="707" spans="2:2" ht="13">
      <c r="B707" s="13"/>
    </row>
    <row r="708" spans="2:2" ht="13">
      <c r="B708" s="13"/>
    </row>
    <row r="709" spans="2:2" ht="13">
      <c r="B709" s="13"/>
    </row>
    <row r="710" spans="2:2" ht="13">
      <c r="B710" s="13"/>
    </row>
    <row r="711" spans="2:2" ht="13">
      <c r="B711" s="13"/>
    </row>
    <row r="712" spans="2:2" ht="13">
      <c r="B712" s="13"/>
    </row>
    <row r="713" spans="2:2" ht="13">
      <c r="B713" s="13"/>
    </row>
    <row r="714" spans="2:2" ht="13">
      <c r="B714" s="13"/>
    </row>
    <row r="715" spans="2:2" ht="13">
      <c r="B715" s="13"/>
    </row>
    <row r="716" spans="2:2" ht="13">
      <c r="B716" s="13"/>
    </row>
    <row r="717" spans="2:2" ht="13">
      <c r="B717" s="13"/>
    </row>
    <row r="718" spans="2:2" ht="13">
      <c r="B718" s="13"/>
    </row>
    <row r="719" spans="2:2" ht="13">
      <c r="B719" s="13"/>
    </row>
    <row r="720" spans="2:2" ht="13">
      <c r="B720" s="13"/>
    </row>
    <row r="721" spans="2:2" ht="13">
      <c r="B721" s="13"/>
    </row>
    <row r="722" spans="2:2" ht="13">
      <c r="B722" s="13"/>
    </row>
    <row r="723" spans="2:2" ht="13">
      <c r="B723" s="13"/>
    </row>
    <row r="724" spans="2:2" ht="13">
      <c r="B724" s="13"/>
    </row>
    <row r="725" spans="2:2" ht="13">
      <c r="B725" s="13"/>
    </row>
    <row r="726" spans="2:2" ht="13">
      <c r="B726" s="13"/>
    </row>
    <row r="727" spans="2:2" ht="13">
      <c r="B727" s="13"/>
    </row>
    <row r="728" spans="2:2" ht="13">
      <c r="B728" s="13"/>
    </row>
    <row r="729" spans="2:2" ht="13">
      <c r="B729" s="13"/>
    </row>
    <row r="730" spans="2:2" ht="13">
      <c r="B730" s="13"/>
    </row>
    <row r="731" spans="2:2" ht="13">
      <c r="B731" s="13"/>
    </row>
    <row r="732" spans="2:2" ht="13">
      <c r="B732" s="13"/>
    </row>
    <row r="733" spans="2:2" ht="13">
      <c r="B733" s="13"/>
    </row>
    <row r="734" spans="2:2" ht="13">
      <c r="B734" s="13"/>
    </row>
    <row r="735" spans="2:2" ht="13">
      <c r="B735" s="13"/>
    </row>
    <row r="736" spans="2:2" ht="13">
      <c r="B736" s="13"/>
    </row>
    <row r="737" spans="2:2" ht="13">
      <c r="B737" s="13"/>
    </row>
    <row r="738" spans="2:2" ht="13">
      <c r="B738" s="13"/>
    </row>
    <row r="739" spans="2:2" ht="13">
      <c r="B739" s="13"/>
    </row>
    <row r="740" spans="2:2" ht="13">
      <c r="B740" s="13"/>
    </row>
    <row r="741" spans="2:2" ht="13">
      <c r="B741" s="13"/>
    </row>
    <row r="742" spans="2:2" ht="13">
      <c r="B742" s="13"/>
    </row>
    <row r="743" spans="2:2" ht="13">
      <c r="B743" s="13"/>
    </row>
    <row r="744" spans="2:2" ht="13">
      <c r="B744" s="13"/>
    </row>
    <row r="745" spans="2:2" ht="13">
      <c r="B745" s="13"/>
    </row>
    <row r="746" spans="2:2" ht="13">
      <c r="B746" s="13"/>
    </row>
    <row r="747" spans="2:2" ht="13">
      <c r="B747" s="13"/>
    </row>
    <row r="748" spans="2:2" ht="13">
      <c r="B748" s="13"/>
    </row>
    <row r="749" spans="2:2" ht="13">
      <c r="B749" s="13"/>
    </row>
    <row r="750" spans="2:2" ht="13">
      <c r="B750" s="13"/>
    </row>
    <row r="751" spans="2:2" ht="13">
      <c r="B751" s="13"/>
    </row>
    <row r="752" spans="2:2" ht="13">
      <c r="B752" s="13"/>
    </row>
    <row r="753" spans="2:2" ht="13">
      <c r="B753" s="13"/>
    </row>
    <row r="754" spans="2:2" ht="13">
      <c r="B754" s="13"/>
    </row>
    <row r="755" spans="2:2" ht="13">
      <c r="B755" s="13"/>
    </row>
    <row r="756" spans="2:2" ht="13">
      <c r="B756" s="13"/>
    </row>
    <row r="757" spans="2:2" ht="13">
      <c r="B757" s="13"/>
    </row>
    <row r="758" spans="2:2" ht="13">
      <c r="B758" s="13"/>
    </row>
    <row r="759" spans="2:2" ht="13">
      <c r="B759" s="13"/>
    </row>
    <row r="760" spans="2:2" ht="13">
      <c r="B760" s="13"/>
    </row>
    <row r="761" spans="2:2" ht="13">
      <c r="B761" s="13"/>
    </row>
    <row r="762" spans="2:2" ht="13">
      <c r="B762" s="13"/>
    </row>
    <row r="763" spans="2:2" ht="13">
      <c r="B763" s="13"/>
    </row>
    <row r="764" spans="2:2" ht="13">
      <c r="B764" s="13"/>
    </row>
    <row r="765" spans="2:2" ht="13">
      <c r="B765" s="13"/>
    </row>
    <row r="766" spans="2:2" ht="13">
      <c r="B766" s="13"/>
    </row>
    <row r="767" spans="2:2" ht="13">
      <c r="B767" s="13"/>
    </row>
    <row r="768" spans="2:2" ht="13">
      <c r="B768" s="13"/>
    </row>
    <row r="769" spans="2:2" ht="13">
      <c r="B769" s="13"/>
    </row>
    <row r="770" spans="2:2" ht="13">
      <c r="B770" s="13"/>
    </row>
    <row r="771" spans="2:2" ht="13">
      <c r="B771" s="13"/>
    </row>
    <row r="772" spans="2:2" ht="13">
      <c r="B772" s="13"/>
    </row>
    <row r="773" spans="2:2" ht="13">
      <c r="B773" s="13"/>
    </row>
    <row r="774" spans="2:2" ht="13">
      <c r="B774" s="13"/>
    </row>
    <row r="775" spans="2:2" ht="13">
      <c r="B775" s="13"/>
    </row>
    <row r="776" spans="2:2" ht="13">
      <c r="B776" s="13"/>
    </row>
    <row r="777" spans="2:2" ht="13">
      <c r="B777" s="13"/>
    </row>
    <row r="778" spans="2:2" ht="13">
      <c r="B778" s="13"/>
    </row>
    <row r="779" spans="2:2" ht="13">
      <c r="B779" s="13"/>
    </row>
    <row r="780" spans="2:2" ht="13">
      <c r="B780" s="13"/>
    </row>
    <row r="781" spans="2:2" ht="13">
      <c r="B781" s="13"/>
    </row>
    <row r="782" spans="2:2" ht="13">
      <c r="B782" s="13"/>
    </row>
    <row r="783" spans="2:2" ht="13">
      <c r="B783" s="13"/>
    </row>
    <row r="784" spans="2:2" ht="13">
      <c r="B784" s="13"/>
    </row>
    <row r="785" spans="2:2" ht="13">
      <c r="B785" s="13"/>
    </row>
    <row r="786" spans="2:2" ht="13">
      <c r="B786" s="13"/>
    </row>
    <row r="787" spans="2:2" ht="13">
      <c r="B787" s="13"/>
    </row>
    <row r="788" spans="2:2" ht="13">
      <c r="B788" s="13"/>
    </row>
    <row r="789" spans="2:2" ht="13">
      <c r="B789" s="13"/>
    </row>
    <row r="790" spans="2:2" ht="13">
      <c r="B790" s="13"/>
    </row>
    <row r="791" spans="2:2" ht="13">
      <c r="B791" s="13"/>
    </row>
    <row r="792" spans="2:2" ht="13">
      <c r="B792" s="13"/>
    </row>
    <row r="793" spans="2:2" ht="13">
      <c r="B793" s="13"/>
    </row>
    <row r="794" spans="2:2" ht="13">
      <c r="B794" s="13"/>
    </row>
    <row r="795" spans="2:2" ht="13">
      <c r="B795" s="13"/>
    </row>
    <row r="796" spans="2:2" ht="13">
      <c r="B796" s="13"/>
    </row>
    <row r="797" spans="2:2" ht="13">
      <c r="B797" s="13"/>
    </row>
    <row r="798" spans="2:2" ht="13">
      <c r="B798" s="13"/>
    </row>
    <row r="799" spans="2:2" ht="13">
      <c r="B799" s="13"/>
    </row>
    <row r="800" spans="2:2" ht="13">
      <c r="B800" s="13"/>
    </row>
    <row r="801" spans="2:2" ht="13">
      <c r="B801" s="13"/>
    </row>
    <row r="802" spans="2:2" ht="13">
      <c r="B802" s="13"/>
    </row>
    <row r="803" spans="2:2" ht="13">
      <c r="B803" s="13"/>
    </row>
    <row r="804" spans="2:2" ht="13">
      <c r="B804" s="13"/>
    </row>
    <row r="805" spans="2:2" ht="13">
      <c r="B805" s="13"/>
    </row>
    <row r="806" spans="2:2" ht="13">
      <c r="B806" s="13"/>
    </row>
    <row r="807" spans="2:2" ht="13">
      <c r="B807" s="13"/>
    </row>
    <row r="808" spans="2:2" ht="13">
      <c r="B808" s="13"/>
    </row>
    <row r="809" spans="2:2" ht="13">
      <c r="B809" s="13"/>
    </row>
    <row r="810" spans="2:2" ht="13">
      <c r="B810" s="13"/>
    </row>
    <row r="811" spans="2:2" ht="13">
      <c r="B811" s="13"/>
    </row>
    <row r="812" spans="2:2" ht="13">
      <c r="B812" s="13"/>
    </row>
    <row r="813" spans="2:2" ht="13">
      <c r="B813" s="13"/>
    </row>
    <row r="814" spans="2:2" ht="13">
      <c r="B814" s="13"/>
    </row>
    <row r="815" spans="2:2" ht="13">
      <c r="B815" s="13"/>
    </row>
    <row r="816" spans="2:2" ht="13">
      <c r="B816" s="13"/>
    </row>
    <row r="817" spans="2:2" ht="13">
      <c r="B817" s="13"/>
    </row>
    <row r="818" spans="2:2" ht="13">
      <c r="B818" s="13"/>
    </row>
    <row r="819" spans="2:2" ht="13">
      <c r="B819" s="13"/>
    </row>
    <row r="820" spans="2:2" ht="13">
      <c r="B820" s="13"/>
    </row>
    <row r="821" spans="2:2" ht="13">
      <c r="B821" s="13"/>
    </row>
    <row r="822" spans="2:2" ht="13">
      <c r="B822" s="13"/>
    </row>
    <row r="823" spans="2:2" ht="13">
      <c r="B823" s="13"/>
    </row>
    <row r="824" spans="2:2" ht="13">
      <c r="B824" s="13"/>
    </row>
    <row r="825" spans="2:2" ht="13">
      <c r="B825" s="13"/>
    </row>
    <row r="826" spans="2:2" ht="13">
      <c r="B826" s="13"/>
    </row>
    <row r="827" spans="2:2" ht="13">
      <c r="B827" s="13"/>
    </row>
    <row r="828" spans="2:2" ht="13">
      <c r="B828" s="13"/>
    </row>
    <row r="829" spans="2:2" ht="13">
      <c r="B829" s="13"/>
    </row>
    <row r="830" spans="2:2" ht="13">
      <c r="B830" s="13"/>
    </row>
    <row r="831" spans="2:2" ht="13">
      <c r="B831" s="13"/>
    </row>
    <row r="832" spans="2:2" ht="13">
      <c r="B832" s="13"/>
    </row>
    <row r="833" spans="2:2" ht="13">
      <c r="B833" s="13"/>
    </row>
    <row r="834" spans="2:2" ht="13">
      <c r="B834" s="13"/>
    </row>
    <row r="835" spans="2:2" ht="13">
      <c r="B835" s="13"/>
    </row>
    <row r="836" spans="2:2" ht="13">
      <c r="B836" s="13"/>
    </row>
    <row r="837" spans="2:2" ht="13">
      <c r="B837" s="13"/>
    </row>
    <row r="838" spans="2:2" ht="13">
      <c r="B838" s="13"/>
    </row>
    <row r="839" spans="2:2" ht="13">
      <c r="B839" s="13"/>
    </row>
    <row r="840" spans="2:2" ht="13">
      <c r="B840" s="13"/>
    </row>
    <row r="841" spans="2:2" ht="13">
      <c r="B841" s="13"/>
    </row>
    <row r="842" spans="2:2" ht="13">
      <c r="B842" s="13"/>
    </row>
    <row r="843" spans="2:2" ht="13">
      <c r="B843" s="13"/>
    </row>
    <row r="844" spans="2:2" ht="13">
      <c r="B844" s="13"/>
    </row>
    <row r="845" spans="2:2" ht="13">
      <c r="B845" s="13"/>
    </row>
    <row r="846" spans="2:2" ht="13">
      <c r="B846" s="13"/>
    </row>
    <row r="847" spans="2:2" ht="13">
      <c r="B847" s="13"/>
    </row>
    <row r="848" spans="2:2" ht="13">
      <c r="B848" s="13"/>
    </row>
    <row r="849" spans="2:2" ht="13">
      <c r="B849" s="13"/>
    </row>
    <row r="850" spans="2:2" ht="13">
      <c r="B850" s="13"/>
    </row>
    <row r="851" spans="2:2" ht="13">
      <c r="B851" s="13"/>
    </row>
    <row r="852" spans="2:2" ht="13">
      <c r="B852" s="13"/>
    </row>
    <row r="853" spans="2:2" ht="13">
      <c r="B853" s="13"/>
    </row>
    <row r="854" spans="2:2" ht="13">
      <c r="B854" s="13"/>
    </row>
    <row r="855" spans="2:2" ht="13">
      <c r="B855" s="13"/>
    </row>
    <row r="856" spans="2:2" ht="13">
      <c r="B856" s="13"/>
    </row>
    <row r="857" spans="2:2" ht="13">
      <c r="B857" s="13"/>
    </row>
    <row r="858" spans="2:2" ht="13">
      <c r="B858" s="13"/>
    </row>
    <row r="859" spans="2:2" ht="13">
      <c r="B859" s="13"/>
    </row>
    <row r="860" spans="2:2" ht="13">
      <c r="B860" s="13"/>
    </row>
    <row r="861" spans="2:2" ht="13">
      <c r="B861" s="13"/>
    </row>
    <row r="862" spans="2:2" ht="13">
      <c r="B862" s="13"/>
    </row>
    <row r="863" spans="2:2" ht="13">
      <c r="B863" s="13"/>
    </row>
    <row r="864" spans="2:2" ht="13">
      <c r="B864" s="13"/>
    </row>
    <row r="865" spans="2:2" ht="13">
      <c r="B865" s="13"/>
    </row>
    <row r="866" spans="2:2" ht="13">
      <c r="B866" s="13"/>
    </row>
    <row r="867" spans="2:2" ht="13">
      <c r="B867" s="13"/>
    </row>
    <row r="868" spans="2:2" ht="13">
      <c r="B868" s="13"/>
    </row>
    <row r="869" spans="2:2" ht="13">
      <c r="B869" s="13"/>
    </row>
    <row r="870" spans="2:2" ht="13">
      <c r="B870" s="13"/>
    </row>
    <row r="871" spans="2:2" ht="13">
      <c r="B871" s="13"/>
    </row>
    <row r="872" spans="2:2" ht="13">
      <c r="B872" s="13"/>
    </row>
    <row r="873" spans="2:2" ht="13">
      <c r="B873" s="13"/>
    </row>
    <row r="874" spans="2:2" ht="13">
      <c r="B874" s="13"/>
    </row>
    <row r="875" spans="2:2" ht="13">
      <c r="B875" s="13"/>
    </row>
    <row r="876" spans="2:2" ht="13">
      <c r="B876" s="13"/>
    </row>
    <row r="877" spans="2:2" ht="13">
      <c r="B877" s="13"/>
    </row>
    <row r="878" spans="2:2" ht="13">
      <c r="B878" s="13"/>
    </row>
    <row r="879" spans="2:2" ht="13">
      <c r="B879" s="13"/>
    </row>
    <row r="880" spans="2:2" ht="13">
      <c r="B880" s="13"/>
    </row>
    <row r="881" spans="2:2" ht="13">
      <c r="B881" s="13"/>
    </row>
    <row r="882" spans="2:2" ht="13">
      <c r="B882" s="13"/>
    </row>
    <row r="883" spans="2:2" ht="13">
      <c r="B883" s="13"/>
    </row>
    <row r="884" spans="2:2" ht="13">
      <c r="B884" s="13"/>
    </row>
    <row r="885" spans="2:2" ht="13">
      <c r="B885" s="13"/>
    </row>
    <row r="886" spans="2:2" ht="13">
      <c r="B886" s="13"/>
    </row>
    <row r="887" spans="2:2" ht="13">
      <c r="B887" s="13"/>
    </row>
    <row r="888" spans="2:2" ht="13">
      <c r="B888" s="13"/>
    </row>
    <row r="889" spans="2:2" ht="13">
      <c r="B889" s="13"/>
    </row>
    <row r="890" spans="2:2" ht="13">
      <c r="B890" s="13"/>
    </row>
    <row r="891" spans="2:2" ht="13">
      <c r="B891" s="13"/>
    </row>
    <row r="892" spans="2:2" ht="13">
      <c r="B892" s="13"/>
    </row>
    <row r="893" spans="2:2" ht="13">
      <c r="B893" s="13"/>
    </row>
    <row r="894" spans="2:2" ht="13">
      <c r="B894" s="13"/>
    </row>
    <row r="895" spans="2:2" ht="13">
      <c r="B895" s="13"/>
    </row>
    <row r="896" spans="2:2" ht="13">
      <c r="B896" s="13"/>
    </row>
    <row r="897" spans="2:2" ht="13">
      <c r="B897" s="13"/>
    </row>
    <row r="898" spans="2:2" ht="13">
      <c r="B898" s="13"/>
    </row>
    <row r="899" spans="2:2" ht="13">
      <c r="B899" s="13"/>
    </row>
    <row r="900" spans="2:2" ht="13">
      <c r="B900" s="13"/>
    </row>
    <row r="901" spans="2:2" ht="13">
      <c r="B901" s="13"/>
    </row>
    <row r="902" spans="2:2" ht="13">
      <c r="B902" s="13"/>
    </row>
    <row r="903" spans="2:2" ht="13">
      <c r="B903" s="13"/>
    </row>
    <row r="904" spans="2:2" ht="13">
      <c r="B904" s="13"/>
    </row>
    <row r="905" spans="2:2" ht="13">
      <c r="B905" s="13"/>
    </row>
    <row r="906" spans="2:2" ht="13">
      <c r="B906" s="13"/>
    </row>
    <row r="907" spans="2:2" ht="13">
      <c r="B907" s="13"/>
    </row>
    <row r="908" spans="2:2" ht="13">
      <c r="B908" s="13"/>
    </row>
    <row r="909" spans="2:2" ht="13">
      <c r="B909" s="13"/>
    </row>
    <row r="910" spans="2:2" ht="13">
      <c r="B910" s="13"/>
    </row>
    <row r="911" spans="2:2" ht="13">
      <c r="B911" s="13"/>
    </row>
    <row r="912" spans="2:2" ht="13">
      <c r="B912" s="13"/>
    </row>
    <row r="913" spans="2:2" ht="13">
      <c r="B913" s="13"/>
    </row>
    <row r="914" spans="2:2" ht="13">
      <c r="B914" s="13"/>
    </row>
    <row r="915" spans="2:2" ht="13">
      <c r="B915" s="13"/>
    </row>
    <row r="916" spans="2:2" ht="13">
      <c r="B916" s="13"/>
    </row>
    <row r="917" spans="2:2" ht="13">
      <c r="B917" s="13"/>
    </row>
    <row r="918" spans="2:2" ht="13">
      <c r="B918" s="13"/>
    </row>
    <row r="919" spans="2:2" ht="13">
      <c r="B919" s="13"/>
    </row>
    <row r="920" spans="2:2" ht="13">
      <c r="B920" s="13"/>
    </row>
    <row r="921" spans="2:2" ht="13">
      <c r="B921" s="13"/>
    </row>
    <row r="922" spans="2:2" ht="13">
      <c r="B922" s="13"/>
    </row>
    <row r="923" spans="2:2" ht="13">
      <c r="B923" s="13"/>
    </row>
    <row r="924" spans="2:2" ht="13">
      <c r="B924" s="13"/>
    </row>
    <row r="925" spans="2:2" ht="13">
      <c r="B925" s="13"/>
    </row>
    <row r="926" spans="2:2" ht="13">
      <c r="B926" s="13"/>
    </row>
    <row r="927" spans="2:2" ht="13">
      <c r="B927" s="13"/>
    </row>
    <row r="928" spans="2:2" ht="13">
      <c r="B928" s="13"/>
    </row>
    <row r="929" spans="2:2" ht="13">
      <c r="B929" s="13"/>
    </row>
    <row r="930" spans="2:2" ht="13">
      <c r="B930" s="13"/>
    </row>
    <row r="931" spans="2:2" ht="13">
      <c r="B931" s="13"/>
    </row>
    <row r="932" spans="2:2" ht="13">
      <c r="B932" s="13"/>
    </row>
    <row r="933" spans="2:2" ht="13">
      <c r="B933" s="13"/>
    </row>
    <row r="934" spans="2:2" ht="13">
      <c r="B934" s="13"/>
    </row>
    <row r="935" spans="2:2" ht="13">
      <c r="B935" s="13"/>
    </row>
    <row r="936" spans="2:2" ht="13">
      <c r="B936" s="13"/>
    </row>
    <row r="937" spans="2:2" ht="13">
      <c r="B937" s="13"/>
    </row>
    <row r="938" spans="2:2" ht="13">
      <c r="B938" s="13"/>
    </row>
    <row r="939" spans="2:2" ht="13">
      <c r="B939" s="13"/>
    </row>
    <row r="940" spans="2:2" ht="13">
      <c r="B940" s="13"/>
    </row>
    <row r="941" spans="2:2" ht="13">
      <c r="B941" s="13"/>
    </row>
    <row r="942" spans="2:2" ht="13">
      <c r="B942" s="13"/>
    </row>
    <row r="943" spans="2:2" ht="13">
      <c r="B943" s="13"/>
    </row>
    <row r="944" spans="2:2" ht="13">
      <c r="B944" s="13"/>
    </row>
    <row r="945" spans="2:2" ht="13">
      <c r="B945" s="13"/>
    </row>
    <row r="946" spans="2:2" ht="13">
      <c r="B946" s="13"/>
    </row>
    <row r="947" spans="2:2" ht="13">
      <c r="B947" s="13"/>
    </row>
    <row r="948" spans="2:2" ht="13">
      <c r="B948" s="13"/>
    </row>
    <row r="949" spans="2:2" ht="13">
      <c r="B949" s="13"/>
    </row>
    <row r="950" spans="2:2" ht="13">
      <c r="B950" s="13"/>
    </row>
    <row r="951" spans="2:2" ht="13">
      <c r="B951" s="13"/>
    </row>
    <row r="952" spans="2:2" ht="13">
      <c r="B952" s="13"/>
    </row>
    <row r="953" spans="2:2" ht="13">
      <c r="B953" s="13"/>
    </row>
    <row r="954" spans="2:2" ht="13">
      <c r="B954" s="13"/>
    </row>
    <row r="955" spans="2:2" ht="13">
      <c r="B955" s="13"/>
    </row>
    <row r="956" spans="2:2" ht="13">
      <c r="B956" s="13"/>
    </row>
    <row r="957" spans="2:2" ht="13">
      <c r="B957" s="13"/>
    </row>
    <row r="958" spans="2:2" ht="13">
      <c r="B958" s="13"/>
    </row>
    <row r="959" spans="2:2" ht="13">
      <c r="B959" s="13"/>
    </row>
    <row r="960" spans="2:2" ht="13">
      <c r="B960" s="13"/>
    </row>
    <row r="961" spans="2:2" ht="13">
      <c r="B961" s="13"/>
    </row>
    <row r="962" spans="2:2" ht="13">
      <c r="B962" s="13"/>
    </row>
    <row r="963" spans="2:2" ht="13">
      <c r="B963" s="13"/>
    </row>
    <row r="964" spans="2:2" ht="13">
      <c r="B964" s="13"/>
    </row>
    <row r="965" spans="2:2" ht="13">
      <c r="B965" s="13"/>
    </row>
    <row r="966" spans="2:2" ht="13">
      <c r="B966" s="13"/>
    </row>
    <row r="967" spans="2:2" ht="13">
      <c r="B967" s="13"/>
    </row>
    <row r="968" spans="2:2" ht="13">
      <c r="B968" s="13"/>
    </row>
    <row r="969" spans="2:2" ht="13">
      <c r="B969" s="13"/>
    </row>
    <row r="970" spans="2:2" ht="13">
      <c r="B970" s="13"/>
    </row>
    <row r="971" spans="2:2" ht="13">
      <c r="B971" s="13"/>
    </row>
    <row r="972" spans="2:2" ht="13">
      <c r="B972" s="13"/>
    </row>
    <row r="973" spans="2:2" ht="13">
      <c r="B973" s="13"/>
    </row>
    <row r="974" spans="2:2" ht="13">
      <c r="B974" s="13"/>
    </row>
    <row r="975" spans="2:2" ht="13">
      <c r="B975" s="13"/>
    </row>
    <row r="976" spans="2:2" ht="13">
      <c r="B976" s="13"/>
    </row>
    <row r="977" spans="2:2" ht="13">
      <c r="B977" s="13"/>
    </row>
    <row r="978" spans="2:2" ht="13">
      <c r="B978" s="13"/>
    </row>
    <row r="979" spans="2:2" ht="13">
      <c r="B979" s="13"/>
    </row>
    <row r="980" spans="2:2" ht="13">
      <c r="B980" s="13"/>
    </row>
    <row r="981" spans="2:2" ht="13">
      <c r="B981" s="13"/>
    </row>
    <row r="982" spans="2:2" ht="13">
      <c r="B982" s="13"/>
    </row>
    <row r="983" spans="2:2" ht="13">
      <c r="B983" s="13"/>
    </row>
    <row r="984" spans="2:2" ht="13">
      <c r="B984" s="13"/>
    </row>
    <row r="985" spans="2:2" ht="13">
      <c r="B985" s="13"/>
    </row>
    <row r="986" spans="2:2" ht="13">
      <c r="B986" s="13"/>
    </row>
    <row r="987" spans="2:2" ht="13">
      <c r="B987" s="13"/>
    </row>
    <row r="988" spans="2:2" ht="13">
      <c r="B988" s="13"/>
    </row>
    <row r="989" spans="2:2" ht="13">
      <c r="B989" s="13"/>
    </row>
    <row r="990" spans="2:2" ht="13">
      <c r="B990" s="13"/>
    </row>
    <row r="991" spans="2:2" ht="13">
      <c r="B991" s="13"/>
    </row>
    <row r="992" spans="2:2" ht="13">
      <c r="B992" s="13"/>
    </row>
    <row r="993" spans="2:2" ht="13">
      <c r="B993" s="13"/>
    </row>
    <row r="994" spans="2:2" ht="13">
      <c r="B994" s="13"/>
    </row>
    <row r="995" spans="2:2" ht="13">
      <c r="B995" s="13"/>
    </row>
    <row r="996" spans="2:2" ht="13">
      <c r="B996" s="13"/>
    </row>
    <row r="997" spans="2:2" ht="13">
      <c r="B997" s="13"/>
    </row>
    <row r="998" spans="2:2" ht="13">
      <c r="B998" s="13"/>
    </row>
    <row r="999" spans="2:2" ht="13">
      <c r="B999" s="13"/>
    </row>
    <row r="1000" spans="2:2" ht="13">
      <c r="B1000" s="13"/>
    </row>
    <row r="1001" spans="2:2" ht="13">
      <c r="B1001" s="13"/>
    </row>
    <row r="1002" spans="2:2" ht="13">
      <c r="B1002" s="13"/>
    </row>
    <row r="1003" spans="2:2" ht="13">
      <c r="B1003" s="13"/>
    </row>
    <row r="1004" spans="2:2" ht="13">
      <c r="B1004" s="13"/>
    </row>
    <row r="1005" spans="2:2" ht="13">
      <c r="B1005" s="13"/>
    </row>
    <row r="1006" spans="2:2" ht="13">
      <c r="B1006" s="13"/>
    </row>
    <row r="1007" spans="2:2" ht="13">
      <c r="B1007" s="13"/>
    </row>
    <row r="1008" spans="2:2" ht="13">
      <c r="B1008" s="13"/>
    </row>
    <row r="1009" spans="2:2" ht="13">
      <c r="B1009" s="13"/>
    </row>
    <row r="1010" spans="2:2" ht="13">
      <c r="B1010" s="13"/>
    </row>
    <row r="1011" spans="2:2" ht="13">
      <c r="B1011" s="13"/>
    </row>
    <row r="1012" spans="2:2" ht="13">
      <c r="B1012" s="13"/>
    </row>
    <row r="1013" spans="2:2" ht="13">
      <c r="B1013" s="13"/>
    </row>
    <row r="1014" spans="2:2" ht="13">
      <c r="B1014" s="13"/>
    </row>
    <row r="1015" spans="2:2" ht="13">
      <c r="B1015" s="13"/>
    </row>
    <row r="1016" spans="2:2" ht="13">
      <c r="B1016" s="13"/>
    </row>
    <row r="1017" spans="2:2" ht="13">
      <c r="B1017" s="13"/>
    </row>
    <row r="1018" spans="2:2" ht="13">
      <c r="B1018" s="13"/>
    </row>
    <row r="1019" spans="2:2" ht="13">
      <c r="B1019" s="13"/>
    </row>
    <row r="1020" spans="2:2" ht="13">
      <c r="B1020" s="13"/>
    </row>
    <row r="1021" spans="2:2" ht="13">
      <c r="B1021" s="13"/>
    </row>
    <row r="1022" spans="2:2" ht="13">
      <c r="B1022" s="13"/>
    </row>
    <row r="1023" spans="2:2" ht="13">
      <c r="B1023" s="13"/>
    </row>
    <row r="1024" spans="2:2" ht="13">
      <c r="B1024" s="13"/>
    </row>
    <row r="1025" spans="2:2" ht="13">
      <c r="B1025" s="13"/>
    </row>
    <row r="1026" spans="2:2" ht="13">
      <c r="B1026" s="13"/>
    </row>
    <row r="1027" spans="2:2" ht="13">
      <c r="B1027" s="13"/>
    </row>
    <row r="1028" spans="2:2" ht="13">
      <c r="B1028" s="13"/>
    </row>
    <row r="1029" spans="2:2" ht="13">
      <c r="B1029" s="13"/>
    </row>
    <row r="1030" spans="2:2" ht="13">
      <c r="B1030" s="13"/>
    </row>
    <row r="1031" spans="2:2" ht="13">
      <c r="B1031" s="13"/>
    </row>
    <row r="1032" spans="2:2" ht="13">
      <c r="B1032" s="13"/>
    </row>
    <row r="1033" spans="2:2" ht="13">
      <c r="B1033" s="13"/>
    </row>
    <row r="1034" spans="2:2" ht="13">
      <c r="B1034" s="13"/>
    </row>
    <row r="1035" spans="2:2" ht="13">
      <c r="B1035" s="13"/>
    </row>
    <row r="1036" spans="2:2" ht="13">
      <c r="B1036" s="13"/>
    </row>
    <row r="1037" spans="2:2" ht="13">
      <c r="B1037" s="13"/>
    </row>
    <row r="1038" spans="2:2" ht="13">
      <c r="B1038" s="13"/>
    </row>
    <row r="1039" spans="2:2" ht="13">
      <c r="B1039" s="13"/>
    </row>
    <row r="1040" spans="2:2" ht="13">
      <c r="B1040" s="13"/>
    </row>
    <row r="1041" spans="2:2" ht="13">
      <c r="B1041" s="13"/>
    </row>
    <row r="1042" spans="2:2" ht="13">
      <c r="B1042" s="13"/>
    </row>
    <row r="1043" spans="2:2" ht="13">
      <c r="B1043" s="13"/>
    </row>
    <row r="1044" spans="2:2" ht="13">
      <c r="B1044" s="13"/>
    </row>
    <row r="1045" spans="2:2" ht="13">
      <c r="B1045" s="13"/>
    </row>
    <row r="1046" spans="2:2" ht="13">
      <c r="B1046" s="13"/>
    </row>
    <row r="1047" spans="2:2" ht="13">
      <c r="B1047" s="13"/>
    </row>
    <row r="1048" spans="2:2" ht="13">
      <c r="B1048" s="13"/>
    </row>
    <row r="1049" spans="2:2" ht="13">
      <c r="B1049" s="13"/>
    </row>
    <row r="1050" spans="2:2" ht="13">
      <c r="B1050" s="13"/>
    </row>
    <row r="1051" spans="2:2" ht="13">
      <c r="B1051" s="13"/>
    </row>
    <row r="1052" spans="2:2" ht="13">
      <c r="B1052" s="13"/>
    </row>
    <row r="1053" spans="2:2" ht="13">
      <c r="B1053" s="13"/>
    </row>
    <row r="1054" spans="2:2" ht="13">
      <c r="B1054" s="13"/>
    </row>
    <row r="1055" spans="2:2" ht="13">
      <c r="B1055" s="13"/>
    </row>
    <row r="1056" spans="2:2" ht="13">
      <c r="B1056" s="13"/>
    </row>
    <row r="1057" spans="2:2" ht="13">
      <c r="B1057" s="13"/>
    </row>
    <row r="1058" spans="2:2" ht="13">
      <c r="B1058" s="13"/>
    </row>
    <row r="1059" spans="2:2" ht="13">
      <c r="B1059" s="13"/>
    </row>
    <row r="1060" spans="2:2" ht="13">
      <c r="B1060" s="13"/>
    </row>
    <row r="1061" spans="2:2" ht="13">
      <c r="B1061" s="13"/>
    </row>
    <row r="1062" spans="2:2" ht="13">
      <c r="B1062" s="13"/>
    </row>
    <row r="1063" spans="2:2" ht="13">
      <c r="B1063" s="13"/>
    </row>
    <row r="1064" spans="2:2" ht="13">
      <c r="B1064" s="13"/>
    </row>
    <row r="1065" spans="2:2" ht="13">
      <c r="B1065" s="13"/>
    </row>
    <row r="1066" spans="2:2" ht="13">
      <c r="B1066" s="13"/>
    </row>
    <row r="1067" spans="2:2" ht="13">
      <c r="B1067" s="13"/>
    </row>
    <row r="1068" spans="2:2" ht="13">
      <c r="B1068" s="13"/>
    </row>
    <row r="1069" spans="2:2" ht="13">
      <c r="B1069" s="13"/>
    </row>
    <row r="1070" spans="2:2" ht="13">
      <c r="B1070" s="13"/>
    </row>
    <row r="1071" spans="2:2" ht="13">
      <c r="B1071" s="13"/>
    </row>
    <row r="1072" spans="2:2" ht="13">
      <c r="B1072" s="13"/>
    </row>
    <row r="1073" spans="2:2" ht="13">
      <c r="B1073" s="13"/>
    </row>
    <row r="1074" spans="2:2" ht="13">
      <c r="B1074" s="13"/>
    </row>
    <row r="1075" spans="2:2" ht="13">
      <c r="B1075" s="13"/>
    </row>
    <row r="1076" spans="2:2" ht="13">
      <c r="B1076" s="13"/>
    </row>
    <row r="1077" spans="2:2" ht="13">
      <c r="B1077" s="13"/>
    </row>
    <row r="1078" spans="2:2" ht="13">
      <c r="B1078" s="13"/>
    </row>
    <row r="1079" spans="2:2" ht="13">
      <c r="B1079" s="13"/>
    </row>
    <row r="1080" spans="2:2" ht="13">
      <c r="B1080" s="13"/>
    </row>
    <row r="1081" spans="2:2" ht="13">
      <c r="B1081" s="13"/>
    </row>
    <row r="1082" spans="2:2" ht="13">
      <c r="B1082" s="13"/>
    </row>
    <row r="1083" spans="2:2" ht="13">
      <c r="B1083" s="13"/>
    </row>
    <row r="1084" spans="2:2" ht="13">
      <c r="B1084" s="13"/>
    </row>
    <row r="1085" spans="2:2" ht="13">
      <c r="B1085" s="13"/>
    </row>
    <row r="1086" spans="2:2" ht="13">
      <c r="B1086" s="13"/>
    </row>
    <row r="1087" spans="2:2" ht="13">
      <c r="B1087" s="13"/>
    </row>
    <row r="1088" spans="2:2" ht="13">
      <c r="B1088" s="13"/>
    </row>
    <row r="1089" spans="2:2" ht="13">
      <c r="B1089" s="13"/>
    </row>
    <row r="1090" spans="2:2" ht="13">
      <c r="B1090" s="13"/>
    </row>
    <row r="1091" spans="2:2" ht="13">
      <c r="B1091" s="13"/>
    </row>
    <row r="1092" spans="2:2" ht="13">
      <c r="B1092" s="13"/>
    </row>
    <row r="1093" spans="2:2" ht="13">
      <c r="B1093" s="13"/>
    </row>
    <row r="1094" spans="2:2" ht="13">
      <c r="B1094" s="13"/>
    </row>
    <row r="1095" spans="2:2" ht="13">
      <c r="B1095" s="13"/>
    </row>
    <row r="1096" spans="2:2" ht="13">
      <c r="B1096" s="13"/>
    </row>
    <row r="1097" spans="2:2" ht="13">
      <c r="B1097" s="13"/>
    </row>
    <row r="1098" spans="2:2" ht="13">
      <c r="B1098" s="13"/>
    </row>
    <row r="1099" spans="2:2" ht="13">
      <c r="B1099" s="13"/>
    </row>
    <row r="1100" spans="2:2" ht="13">
      <c r="B1100" s="13"/>
    </row>
    <row r="1101" spans="2:2" ht="13">
      <c r="B1101" s="13"/>
    </row>
    <row r="1102" spans="2:2" ht="13">
      <c r="B1102" s="13"/>
    </row>
    <row r="1103" spans="2:2" ht="13">
      <c r="B1103" s="13"/>
    </row>
    <row r="1104" spans="2:2" ht="13">
      <c r="B1104" s="13"/>
    </row>
    <row r="1105" spans="2:2" ht="13">
      <c r="B1105" s="13"/>
    </row>
    <row r="1106" spans="2:2" ht="13">
      <c r="B1106" s="13"/>
    </row>
    <row r="1107" spans="2:2" ht="13">
      <c r="B1107" s="13"/>
    </row>
    <row r="1108" spans="2:2" ht="13">
      <c r="B1108" s="13"/>
    </row>
    <row r="1109" spans="2:2" ht="13">
      <c r="B1109" s="13"/>
    </row>
    <row r="1110" spans="2:2" ht="13">
      <c r="B1110" s="13"/>
    </row>
    <row r="1111" spans="2:2" ht="13">
      <c r="B1111" s="13"/>
    </row>
    <row r="1112" spans="2:2" ht="13">
      <c r="B1112" s="13"/>
    </row>
    <row r="1113" spans="2:2" ht="13">
      <c r="B1113" s="13"/>
    </row>
    <row r="1114" spans="2:2" ht="13">
      <c r="B1114" s="13"/>
    </row>
    <row r="1115" spans="2:2" ht="13">
      <c r="B1115" s="13"/>
    </row>
    <row r="1116" spans="2:2" ht="13">
      <c r="B1116" s="13"/>
    </row>
    <row r="1117" spans="2:2" ht="13">
      <c r="B1117" s="13"/>
    </row>
    <row r="1118" spans="2:2" ht="13">
      <c r="B1118" s="13"/>
    </row>
    <row r="1119" spans="2:2" ht="13">
      <c r="B1119" s="13"/>
    </row>
    <row r="1120" spans="2:2" ht="13">
      <c r="B1120" s="13"/>
    </row>
    <row r="1121" spans="2:2" ht="13">
      <c r="B1121" s="13"/>
    </row>
    <row r="1122" spans="2:2" ht="13">
      <c r="B1122" s="13"/>
    </row>
    <row r="1123" spans="2:2" ht="13">
      <c r="B1123" s="13"/>
    </row>
    <row r="1124" spans="2:2" ht="13">
      <c r="B1124" s="13"/>
    </row>
    <row r="1125" spans="2:2" ht="13">
      <c r="B1125" s="13"/>
    </row>
    <row r="1126" spans="2:2" ht="13">
      <c r="B1126" s="13"/>
    </row>
    <row r="1127" spans="2:2" ht="13">
      <c r="B1127" s="13"/>
    </row>
    <row r="1128" spans="2:2" ht="13">
      <c r="B1128" s="13"/>
    </row>
    <row r="1129" spans="2:2" ht="13">
      <c r="B1129" s="13"/>
    </row>
    <row r="1130" spans="2:2" ht="13">
      <c r="B1130" s="13"/>
    </row>
    <row r="1131" spans="2:2" ht="13">
      <c r="B1131" s="13"/>
    </row>
    <row r="1132" spans="2:2" ht="13">
      <c r="B1132" s="13"/>
    </row>
    <row r="1133" spans="2:2" ht="13">
      <c r="B1133" s="13"/>
    </row>
    <row r="1134" spans="2:2" ht="13">
      <c r="B1134" s="13"/>
    </row>
    <row r="1135" spans="2:2" ht="13">
      <c r="B1135" s="13"/>
    </row>
    <row r="1136" spans="2:2" ht="13">
      <c r="B1136" s="13"/>
    </row>
    <row r="1137" spans="2:2" ht="13">
      <c r="B1137" s="13"/>
    </row>
    <row r="1138" spans="2:2" ht="13">
      <c r="B1138" s="13"/>
    </row>
    <row r="1139" spans="2:2" ht="13">
      <c r="B1139" s="13"/>
    </row>
    <row r="1140" spans="2:2" ht="13">
      <c r="B1140" s="13"/>
    </row>
    <row r="1141" spans="2:2" ht="13">
      <c r="B1141" s="13"/>
    </row>
    <row r="1142" spans="2:2" ht="13">
      <c r="B1142" s="13"/>
    </row>
    <row r="1143" spans="2:2" ht="13">
      <c r="B1143" s="13"/>
    </row>
    <row r="1144" spans="2:2" ht="13">
      <c r="B1144" s="13"/>
    </row>
    <row r="1145" spans="2:2" ht="13">
      <c r="B1145" s="13"/>
    </row>
    <row r="1146" spans="2:2" ht="13">
      <c r="B1146" s="13"/>
    </row>
    <row r="1147" spans="2:2" ht="13">
      <c r="B1147" s="13"/>
    </row>
    <row r="1148" spans="2:2" ht="13">
      <c r="B1148" s="13"/>
    </row>
    <row r="1149" spans="2:2" ht="13">
      <c r="B1149" s="13"/>
    </row>
    <row r="1150" spans="2:2" ht="13">
      <c r="B1150" s="13"/>
    </row>
    <row r="1151" spans="2:2" ht="13">
      <c r="B1151" s="13"/>
    </row>
    <row r="1152" spans="2:2" ht="13">
      <c r="B1152" s="13"/>
    </row>
    <row r="1153" spans="2:2" ht="13">
      <c r="B1153" s="13"/>
    </row>
    <row r="1154" spans="2:2" ht="13">
      <c r="B1154" s="13"/>
    </row>
    <row r="1155" spans="2:2" ht="13">
      <c r="B1155" s="13"/>
    </row>
    <row r="1156" spans="2:2" ht="13">
      <c r="B1156" s="13"/>
    </row>
    <row r="1157" spans="2:2" ht="13">
      <c r="B1157" s="13"/>
    </row>
    <row r="1158" spans="2:2" ht="13">
      <c r="B1158" s="13"/>
    </row>
    <row r="1159" spans="2:2" ht="13">
      <c r="B1159" s="13"/>
    </row>
    <row r="1160" spans="2:2" ht="13">
      <c r="B1160" s="13"/>
    </row>
    <row r="1161" spans="2:2" ht="13">
      <c r="B1161" s="13"/>
    </row>
    <row r="1162" spans="2:2" ht="13">
      <c r="B1162" s="13"/>
    </row>
    <row r="1163" spans="2:2" ht="13">
      <c r="B1163" s="13"/>
    </row>
    <row r="1164" spans="2:2" ht="13">
      <c r="B1164" s="13"/>
    </row>
    <row r="1165" spans="2:2" ht="13">
      <c r="B1165" s="13"/>
    </row>
    <row r="1166" spans="2:2" ht="13">
      <c r="B1166" s="13"/>
    </row>
    <row r="1167" spans="2:2" ht="13">
      <c r="B1167" s="13"/>
    </row>
    <row r="1168" spans="2:2" ht="13">
      <c r="B1168" s="13"/>
    </row>
    <row r="1169" spans="2:2" ht="13">
      <c r="B1169" s="13"/>
    </row>
    <row r="1170" spans="2:2" ht="13">
      <c r="B1170" s="13"/>
    </row>
    <row r="1171" spans="2:2" ht="13">
      <c r="B1171" s="13"/>
    </row>
    <row r="1172" spans="2:2" ht="13">
      <c r="B1172" s="13"/>
    </row>
    <row r="1173" spans="2:2" ht="13">
      <c r="B1173" s="13"/>
    </row>
    <row r="1174" spans="2:2" ht="13">
      <c r="B1174" s="13"/>
    </row>
    <row r="1175" spans="2:2" ht="13">
      <c r="B1175" s="13"/>
    </row>
    <row r="1176" spans="2:2" ht="13">
      <c r="B1176" s="13"/>
    </row>
    <row r="1177" spans="2:2" ht="13">
      <c r="B1177" s="13"/>
    </row>
    <row r="1178" spans="2:2" ht="13">
      <c r="B1178" s="13"/>
    </row>
    <row r="1179" spans="2:2" ht="13">
      <c r="B1179" s="13"/>
    </row>
    <row r="1180" spans="2:2" ht="13">
      <c r="B1180" s="13"/>
    </row>
    <row r="1181" spans="2:2" ht="13">
      <c r="B1181" s="13"/>
    </row>
    <row r="1182" spans="2:2" ht="13">
      <c r="B1182" s="13"/>
    </row>
    <row r="1183" spans="2:2" ht="13">
      <c r="B1183" s="13"/>
    </row>
    <row r="1184" spans="2:2" ht="13">
      <c r="B1184" s="13"/>
    </row>
    <row r="1185" spans="2:2" ht="13">
      <c r="B1185" s="13"/>
    </row>
    <row r="1186" spans="2:2" ht="13">
      <c r="B1186" s="13"/>
    </row>
    <row r="1187" spans="2:2" ht="13">
      <c r="B1187" s="13"/>
    </row>
    <row r="1188" spans="2:2" ht="13">
      <c r="B1188" s="13"/>
    </row>
    <row r="1189" spans="2:2" ht="13">
      <c r="B1189" s="13"/>
    </row>
    <row r="1190" spans="2:2" ht="13">
      <c r="B1190" s="13"/>
    </row>
    <row r="1191" spans="2:2" ht="13">
      <c r="B1191" s="13"/>
    </row>
    <row r="1192" spans="2:2" ht="13">
      <c r="B1192" s="13"/>
    </row>
    <row r="1193" spans="2:2" ht="13">
      <c r="B1193" s="13"/>
    </row>
    <row r="1194" spans="2:2" ht="13">
      <c r="B1194" s="13"/>
    </row>
    <row r="1195" spans="2:2" ht="13">
      <c r="B1195" s="13"/>
    </row>
    <row r="1196" spans="2:2" ht="13">
      <c r="B1196" s="13"/>
    </row>
    <row r="1197" spans="2:2" ht="13">
      <c r="B1197" s="13"/>
    </row>
    <row r="1198" spans="2:2" ht="13">
      <c r="B1198" s="13"/>
    </row>
    <row r="1199" spans="2:2" ht="13">
      <c r="B1199" s="13"/>
    </row>
    <row r="1200" spans="2:2" ht="13">
      <c r="B1200" s="13"/>
    </row>
    <row r="1201" spans="2:2" ht="13">
      <c r="B1201" s="13"/>
    </row>
    <row r="1202" spans="2:2" ht="13">
      <c r="B1202" s="13"/>
    </row>
    <row r="1203" spans="2:2" ht="13">
      <c r="B1203" s="13"/>
    </row>
    <row r="1204" spans="2:2" ht="13">
      <c r="B1204" s="13"/>
    </row>
    <row r="1205" spans="2:2" ht="13">
      <c r="B1205" s="13"/>
    </row>
    <row r="1206" spans="2:2" ht="13">
      <c r="B1206" s="13"/>
    </row>
    <row r="1207" spans="2:2" ht="13">
      <c r="B1207" s="13"/>
    </row>
    <row r="1208" spans="2:2" ht="13">
      <c r="B1208" s="13"/>
    </row>
    <row r="1209" spans="2:2" ht="13">
      <c r="B1209" s="13"/>
    </row>
    <row r="1210" spans="2:2" ht="13">
      <c r="B1210" s="13"/>
    </row>
    <row r="1211" spans="2:2" ht="13">
      <c r="B1211" s="13"/>
    </row>
    <row r="1212" spans="2:2" ht="13">
      <c r="B1212" s="13"/>
    </row>
    <row r="1213" spans="2:2" ht="13">
      <c r="B1213" s="13"/>
    </row>
    <row r="1214" spans="2:2" ht="13">
      <c r="B1214" s="13"/>
    </row>
    <row r="1215" spans="2:2" ht="13">
      <c r="B1215" s="13"/>
    </row>
    <row r="1216" spans="2:2" ht="13">
      <c r="B1216" s="13"/>
    </row>
    <row r="1217" spans="2:2" ht="13">
      <c r="B1217" s="13"/>
    </row>
    <row r="1218" spans="2:2" ht="13">
      <c r="B1218" s="13"/>
    </row>
    <row r="1219" spans="2:2" ht="13">
      <c r="B1219" s="13"/>
    </row>
    <row r="1220" spans="2:2" ht="13">
      <c r="B1220" s="13"/>
    </row>
    <row r="1221" spans="2:2" ht="13">
      <c r="B1221" s="13"/>
    </row>
    <row r="1222" spans="2:2" ht="13">
      <c r="B1222" s="13"/>
    </row>
    <row r="1223" spans="2:2" ht="13">
      <c r="B1223" s="13"/>
    </row>
    <row r="1224" spans="2:2" ht="13">
      <c r="B1224" s="13"/>
    </row>
    <row r="1225" spans="2:2" ht="13">
      <c r="B1225" s="13"/>
    </row>
    <row r="1226" spans="2:2" ht="13">
      <c r="B1226" s="13"/>
    </row>
    <row r="1227" spans="2:2" ht="13">
      <c r="B1227" s="13"/>
    </row>
    <row r="1228" spans="2:2" ht="13">
      <c r="B1228" s="13"/>
    </row>
    <row r="1229" spans="2:2" ht="13">
      <c r="B1229" s="13"/>
    </row>
    <row r="1230" spans="2:2" ht="13">
      <c r="B1230" s="13"/>
    </row>
    <row r="1231" spans="2:2" ht="13">
      <c r="B1231" s="13"/>
    </row>
    <row r="1232" spans="2:2" ht="13">
      <c r="B1232" s="13"/>
    </row>
    <row r="1233" spans="2:2" ht="13">
      <c r="B1233" s="13"/>
    </row>
    <row r="1234" spans="2:2" ht="13">
      <c r="B1234" s="13"/>
    </row>
    <row r="1235" spans="2:2" ht="13">
      <c r="B1235" s="13"/>
    </row>
    <row r="1236" spans="2:2" ht="13">
      <c r="B1236" s="13"/>
    </row>
    <row r="1237" spans="2:2" ht="13">
      <c r="B1237" s="13"/>
    </row>
    <row r="1238" spans="2:2" ht="13">
      <c r="B1238" s="13"/>
    </row>
    <row r="1239" spans="2:2" ht="13">
      <c r="B1239" s="13"/>
    </row>
    <row r="1240" spans="2:2" ht="13">
      <c r="B1240" s="13"/>
    </row>
    <row r="1241" spans="2:2" ht="13">
      <c r="B1241" s="13"/>
    </row>
    <row r="1242" spans="2:2" ht="13">
      <c r="B1242" s="13"/>
    </row>
    <row r="1243" spans="2:2" ht="13">
      <c r="B1243" s="13"/>
    </row>
    <row r="1244" spans="2:2" ht="13">
      <c r="B1244" s="13"/>
    </row>
    <row r="1245" spans="2:2" ht="13">
      <c r="B1245" s="13"/>
    </row>
    <row r="1246" spans="2:2" ht="13">
      <c r="B1246" s="13"/>
    </row>
    <row r="1247" spans="2:2" ht="13">
      <c r="B1247" s="13"/>
    </row>
    <row r="1248" spans="2:2" ht="13">
      <c r="B1248" s="13"/>
    </row>
    <row r="1249" spans="2:2" ht="13">
      <c r="B1249" s="13"/>
    </row>
    <row r="1250" spans="2:2" ht="13">
      <c r="B1250" s="13"/>
    </row>
    <row r="1251" spans="2:2" ht="13">
      <c r="B1251" s="13"/>
    </row>
    <row r="1252" spans="2:2" ht="13">
      <c r="B1252" s="13"/>
    </row>
    <row r="1253" spans="2:2" ht="13">
      <c r="B1253" s="13"/>
    </row>
    <row r="1254" spans="2:2" ht="13">
      <c r="B1254" s="13"/>
    </row>
    <row r="1255" spans="2:2" ht="13">
      <c r="B1255" s="13"/>
    </row>
    <row r="1256" spans="2:2" ht="13">
      <c r="B1256" s="13"/>
    </row>
    <row r="1257" spans="2:2" ht="13">
      <c r="B1257" s="13"/>
    </row>
    <row r="1258" spans="2:2" ht="13">
      <c r="B1258" s="13"/>
    </row>
    <row r="1259" spans="2:2" ht="13">
      <c r="B1259" s="13"/>
    </row>
    <row r="1260" spans="2:2" ht="13">
      <c r="B1260" s="13"/>
    </row>
    <row r="1261" spans="2:2" ht="13">
      <c r="B1261" s="13"/>
    </row>
    <row r="1262" spans="2:2" ht="13">
      <c r="B1262" s="13"/>
    </row>
    <row r="1263" spans="2:2" ht="13">
      <c r="B1263" s="13"/>
    </row>
    <row r="1264" spans="2:2" ht="13">
      <c r="B1264" s="13"/>
    </row>
    <row r="1265" spans="2:2" ht="13">
      <c r="B1265" s="13"/>
    </row>
    <row r="1266" spans="2:2" ht="13">
      <c r="B1266" s="13"/>
    </row>
    <row r="1267" spans="2:2" ht="13">
      <c r="B1267" s="13"/>
    </row>
    <row r="1268" spans="2:2" ht="13">
      <c r="B1268" s="13"/>
    </row>
    <row r="1269" spans="2:2" ht="13">
      <c r="B1269" s="13"/>
    </row>
    <row r="1270" spans="2:2" ht="13">
      <c r="B1270" s="13"/>
    </row>
    <row r="1271" spans="2:2" ht="13">
      <c r="B1271" s="13"/>
    </row>
    <row r="1272" spans="2:2" ht="13">
      <c r="B1272" s="13"/>
    </row>
    <row r="1273" spans="2:2" ht="13">
      <c r="B1273" s="13"/>
    </row>
    <row r="1274" spans="2:2" ht="13">
      <c r="B1274" s="13"/>
    </row>
    <row r="1275" spans="2:2" ht="13">
      <c r="B1275" s="13"/>
    </row>
    <row r="1276" spans="2:2" ht="13">
      <c r="B1276" s="13"/>
    </row>
    <row r="1277" spans="2:2" ht="13">
      <c r="B1277" s="13"/>
    </row>
    <row r="1278" spans="2:2" ht="13">
      <c r="B1278" s="13"/>
    </row>
    <row r="1279" spans="2:2" ht="13">
      <c r="B1279" s="13"/>
    </row>
    <row r="1280" spans="2:2" ht="13">
      <c r="B1280" s="13"/>
    </row>
    <row r="1281" spans="2:2" ht="13">
      <c r="B1281" s="13"/>
    </row>
    <row r="1282" spans="2:2" ht="13">
      <c r="B1282" s="13"/>
    </row>
    <row r="1283" spans="2:2" ht="13">
      <c r="B1283" s="13"/>
    </row>
    <row r="1284" spans="2:2" ht="13">
      <c r="B1284" s="13"/>
    </row>
    <row r="1285" spans="2:2" ht="13">
      <c r="B1285" s="13"/>
    </row>
    <row r="1286" spans="2:2" ht="13">
      <c r="B1286" s="13"/>
    </row>
    <row r="1287" spans="2:2" ht="13">
      <c r="B1287" s="13"/>
    </row>
    <row r="1288" spans="2:2" ht="13">
      <c r="B1288" s="13"/>
    </row>
    <row r="1289" spans="2:2" ht="13">
      <c r="B1289" s="13"/>
    </row>
    <row r="1290" spans="2:2" ht="13">
      <c r="B1290" s="13"/>
    </row>
    <row r="1291" spans="2:2" ht="13">
      <c r="B1291" s="13"/>
    </row>
    <row r="1292" spans="2:2" ht="13">
      <c r="B1292" s="13"/>
    </row>
    <row r="1293" spans="2:2" ht="13">
      <c r="B1293" s="13"/>
    </row>
    <row r="1294" spans="2:2" ht="13">
      <c r="B1294" s="13"/>
    </row>
    <row r="1295" spans="2:2" ht="13">
      <c r="B1295" s="13"/>
    </row>
    <row r="1296" spans="2:2" ht="13">
      <c r="B1296" s="13"/>
    </row>
    <row r="1297" spans="2:2" ht="13">
      <c r="B1297" s="13"/>
    </row>
    <row r="1298" spans="2:2" ht="13">
      <c r="B1298" s="13"/>
    </row>
    <row r="1299" spans="2:2" ht="13">
      <c r="B1299" s="13"/>
    </row>
    <row r="1300" spans="2:2" ht="13">
      <c r="B1300" s="13"/>
    </row>
    <row r="1301" spans="2:2" ht="13">
      <c r="B1301" s="13"/>
    </row>
    <row r="1302" spans="2:2" ht="13">
      <c r="B1302" s="13"/>
    </row>
    <row r="1303" spans="2:2" ht="13">
      <c r="B1303" s="13"/>
    </row>
    <row r="1304" spans="2:2" ht="13">
      <c r="B1304" s="13"/>
    </row>
    <row r="1305" spans="2:2" ht="13">
      <c r="B1305" s="13"/>
    </row>
    <row r="1306" spans="2:2" ht="13">
      <c r="B1306" s="13"/>
    </row>
    <row r="1307" spans="2:2" ht="13">
      <c r="B1307" s="13"/>
    </row>
    <row r="1308" spans="2:2" ht="13">
      <c r="B1308" s="13"/>
    </row>
    <row r="1309" spans="2:2" ht="13">
      <c r="B1309" s="13"/>
    </row>
    <row r="1310" spans="2:2" ht="13">
      <c r="B1310" s="13"/>
    </row>
    <row r="1311" spans="2:2" ht="13">
      <c r="B1311" s="13"/>
    </row>
    <row r="1312" spans="2:2" ht="13">
      <c r="B1312" s="13"/>
    </row>
    <row r="1313" spans="2:2" ht="13">
      <c r="B1313" s="13"/>
    </row>
    <row r="1314" spans="2:2" ht="13">
      <c r="B1314" s="13"/>
    </row>
    <row r="1315" spans="2:2" ht="13">
      <c r="B1315" s="13"/>
    </row>
    <row r="1316" spans="2:2" ht="13">
      <c r="B1316" s="13"/>
    </row>
    <row r="1317" spans="2:2" ht="13">
      <c r="B1317" s="13"/>
    </row>
    <row r="1318" spans="2:2" ht="13">
      <c r="B1318" s="13"/>
    </row>
    <row r="1319" spans="2:2" ht="13">
      <c r="B1319" s="13"/>
    </row>
    <row r="1320" spans="2:2" ht="13">
      <c r="B1320" s="13"/>
    </row>
    <row r="1321" spans="2:2" ht="13">
      <c r="B1321" s="13"/>
    </row>
    <row r="1322" spans="2:2" ht="13">
      <c r="B1322" s="13"/>
    </row>
    <row r="1323" spans="2:2" ht="13">
      <c r="B1323" s="13"/>
    </row>
    <row r="1324" spans="2:2" ht="13">
      <c r="B1324" s="13"/>
    </row>
    <row r="1325" spans="2:2" ht="13">
      <c r="B1325" s="13"/>
    </row>
    <row r="1326" spans="2:2" ht="13">
      <c r="B1326" s="13"/>
    </row>
    <row r="1327" spans="2:2" ht="13">
      <c r="B1327" s="13"/>
    </row>
    <row r="1328" spans="2:2" ht="13">
      <c r="B1328" s="13"/>
    </row>
    <row r="1329" spans="2:2" ht="13">
      <c r="B1329" s="13"/>
    </row>
    <row r="1330" spans="2:2" ht="13">
      <c r="B1330" s="13"/>
    </row>
    <row r="1331" spans="2:2" ht="13">
      <c r="B1331" s="13"/>
    </row>
    <row r="1332" spans="2:2" ht="13">
      <c r="B1332" s="13"/>
    </row>
    <row r="1333" spans="2:2" ht="13">
      <c r="B1333" s="13"/>
    </row>
    <row r="1334" spans="2:2" ht="13">
      <c r="B1334" s="13"/>
    </row>
    <row r="1335" spans="2:2" ht="13">
      <c r="B1335" s="13"/>
    </row>
    <row r="1336" spans="2:2" ht="13">
      <c r="B1336" s="13"/>
    </row>
    <row r="1337" spans="2:2" ht="13">
      <c r="B1337" s="13"/>
    </row>
    <row r="1338" spans="2:2" ht="13">
      <c r="B1338" s="13"/>
    </row>
    <row r="1339" spans="2:2" ht="13">
      <c r="B1339" s="13"/>
    </row>
    <row r="1340" spans="2:2" ht="13">
      <c r="B1340" s="13"/>
    </row>
    <row r="1341" spans="2:2" ht="13">
      <c r="B1341" s="13"/>
    </row>
    <row r="1342" spans="2:2" ht="13">
      <c r="B1342" s="13"/>
    </row>
    <row r="1343" spans="2:2" ht="13">
      <c r="B1343" s="13"/>
    </row>
    <row r="1344" spans="2:2" ht="13">
      <c r="B1344" s="13"/>
    </row>
    <row r="1345" spans="2:2" ht="13">
      <c r="B1345" s="13"/>
    </row>
    <row r="1346" spans="2:2" ht="13">
      <c r="B1346" s="13"/>
    </row>
    <row r="1347" spans="2:2" ht="13">
      <c r="B1347" s="13"/>
    </row>
    <row r="1348" spans="2:2" ht="13">
      <c r="B1348" s="13"/>
    </row>
    <row r="1349" spans="2:2" ht="13">
      <c r="B1349" s="13"/>
    </row>
    <row r="1350" spans="2:2" ht="13">
      <c r="B1350" s="13"/>
    </row>
    <row r="1351" spans="2:2" ht="13">
      <c r="B1351" s="13"/>
    </row>
    <row r="1352" spans="2:2" ht="13">
      <c r="B1352" s="13"/>
    </row>
    <row r="1353" spans="2:2" ht="13">
      <c r="B1353" s="13"/>
    </row>
    <row r="1354" spans="2:2" ht="13">
      <c r="B1354" s="13"/>
    </row>
    <row r="1355" spans="2:2" ht="13">
      <c r="B1355" s="13"/>
    </row>
    <row r="1356" spans="2:2" ht="13">
      <c r="B1356" s="13"/>
    </row>
    <row r="1357" spans="2:2" ht="13">
      <c r="B1357" s="13"/>
    </row>
    <row r="1358" spans="2:2" ht="13">
      <c r="B1358" s="13"/>
    </row>
    <row r="1359" spans="2:2" ht="13">
      <c r="B1359" s="13"/>
    </row>
    <row r="1360" spans="2:2" ht="13">
      <c r="B1360" s="13"/>
    </row>
    <row r="1361" spans="2:2" ht="13">
      <c r="B1361" s="13"/>
    </row>
    <row r="1362" spans="2:2" ht="13">
      <c r="B1362" s="13"/>
    </row>
    <row r="1363" spans="2:2" ht="13">
      <c r="B1363" s="13"/>
    </row>
    <row r="1364" spans="2:2" ht="13">
      <c r="B1364" s="13"/>
    </row>
    <row r="1365" spans="2:2" ht="13">
      <c r="B1365" s="13"/>
    </row>
    <row r="1366" spans="2:2" ht="13">
      <c r="B1366" s="13"/>
    </row>
    <row r="1367" spans="2:2" ht="13">
      <c r="B1367" s="13"/>
    </row>
    <row r="1368" spans="2:2" ht="13">
      <c r="B1368" s="13"/>
    </row>
    <row r="1369" spans="2:2" ht="13">
      <c r="B1369" s="13"/>
    </row>
    <row r="1370" spans="2:2" ht="13">
      <c r="B1370" s="13"/>
    </row>
    <row r="1371" spans="2:2" ht="13">
      <c r="B1371" s="13"/>
    </row>
    <row r="1372" spans="2:2" ht="13">
      <c r="B1372" s="13"/>
    </row>
    <row r="1373" spans="2:2" ht="13">
      <c r="B1373" s="13"/>
    </row>
    <row r="1374" spans="2:2" ht="13">
      <c r="B1374" s="13"/>
    </row>
    <row r="1375" spans="2:2" ht="13">
      <c r="B1375" s="13"/>
    </row>
    <row r="1376" spans="2:2" ht="13">
      <c r="B1376" s="13"/>
    </row>
    <row r="1377" spans="2:2" ht="13">
      <c r="B1377" s="13"/>
    </row>
    <row r="1378" spans="2:2" ht="13">
      <c r="B1378" s="13"/>
    </row>
    <row r="1379" spans="2:2" ht="13">
      <c r="B1379" s="13"/>
    </row>
    <row r="1380" spans="2:2" ht="13">
      <c r="B1380" s="13"/>
    </row>
    <row r="1381" spans="2:2" ht="13">
      <c r="B1381" s="13"/>
    </row>
    <row r="1382" spans="2:2" ht="13">
      <c r="B1382" s="13"/>
    </row>
    <row r="1383" spans="2:2" ht="13">
      <c r="B1383" s="13"/>
    </row>
    <row r="1384" spans="2:2" ht="13">
      <c r="B1384" s="13"/>
    </row>
    <row r="1385" spans="2:2" ht="13">
      <c r="B1385" s="13"/>
    </row>
    <row r="1386" spans="2:2" ht="13">
      <c r="B1386" s="13"/>
    </row>
    <row r="1387" spans="2:2" ht="13">
      <c r="B1387" s="13"/>
    </row>
    <row r="1388" spans="2:2" ht="13">
      <c r="B1388" s="13"/>
    </row>
    <row r="1389" spans="2:2" ht="13">
      <c r="B1389" s="13"/>
    </row>
    <row r="1390" spans="2:2" ht="13">
      <c r="B1390" s="13"/>
    </row>
    <row r="1391" spans="2:2" ht="13">
      <c r="B1391" s="13"/>
    </row>
    <row r="1392" spans="2:2" ht="13">
      <c r="B1392" s="13"/>
    </row>
    <row r="1393" spans="2:2" ht="13">
      <c r="B1393" s="13"/>
    </row>
    <row r="1394" spans="2:2" ht="13">
      <c r="B1394" s="13"/>
    </row>
    <row r="1395" spans="2:2" ht="13">
      <c r="B1395" s="13"/>
    </row>
    <row r="1396" spans="2:2" ht="13">
      <c r="B1396" s="13"/>
    </row>
    <row r="1397" spans="2:2" ht="13">
      <c r="B1397" s="13"/>
    </row>
    <row r="1398" spans="2:2" ht="13">
      <c r="B1398" s="13"/>
    </row>
    <row r="1399" spans="2:2" ht="13">
      <c r="B1399" s="13"/>
    </row>
    <row r="1400" spans="2:2" ht="13">
      <c r="B1400" s="13"/>
    </row>
    <row r="1401" spans="2:2" ht="13">
      <c r="B1401" s="13"/>
    </row>
    <row r="1402" spans="2:2" ht="13">
      <c r="B1402" s="13"/>
    </row>
    <row r="1403" spans="2:2" ht="13">
      <c r="B1403" s="13"/>
    </row>
    <row r="1404" spans="2:2" ht="13">
      <c r="B1404" s="13"/>
    </row>
    <row r="1405" spans="2:2" ht="13">
      <c r="B1405" s="13"/>
    </row>
    <row r="1406" spans="2:2" ht="13">
      <c r="B1406" s="13"/>
    </row>
    <row r="1407" spans="2:2" ht="13">
      <c r="B1407" s="13"/>
    </row>
    <row r="1408" spans="2:2" ht="13">
      <c r="B1408" s="13"/>
    </row>
    <row r="1409" spans="2:2" ht="13">
      <c r="B1409" s="13"/>
    </row>
    <row r="1410" spans="2:2" ht="13">
      <c r="B1410" s="13"/>
    </row>
    <row r="1411" spans="2:2" ht="13">
      <c r="B1411" s="13"/>
    </row>
    <row r="1412" spans="2:2" ht="13">
      <c r="B1412" s="13"/>
    </row>
    <row r="1413" spans="2:2" ht="13">
      <c r="B1413" s="13"/>
    </row>
    <row r="1414" spans="2:2" ht="13">
      <c r="B1414" s="13"/>
    </row>
    <row r="1415" spans="2:2" ht="13">
      <c r="B1415" s="13"/>
    </row>
    <row r="1416" spans="2:2" ht="13">
      <c r="B1416" s="13"/>
    </row>
    <row r="1417" spans="2:2" ht="13">
      <c r="B1417" s="13"/>
    </row>
    <row r="1418" spans="2:2" ht="13">
      <c r="B1418" s="13"/>
    </row>
    <row r="1419" spans="2:2" ht="13">
      <c r="B1419" s="13"/>
    </row>
    <row r="1420" spans="2:2" ht="13">
      <c r="B1420" s="13"/>
    </row>
    <row r="1421" spans="2:2" ht="13">
      <c r="B1421" s="13"/>
    </row>
    <row r="1422" spans="2:2" ht="13">
      <c r="B1422" s="13"/>
    </row>
    <row r="1423" spans="2:2" ht="13">
      <c r="B1423" s="13"/>
    </row>
    <row r="1424" spans="2:2" ht="13">
      <c r="B1424" s="13"/>
    </row>
    <row r="1425" spans="2:2" ht="13">
      <c r="B1425" s="13"/>
    </row>
    <row r="1426" spans="2:2" ht="13">
      <c r="B1426" s="13"/>
    </row>
    <row r="1427" spans="2:2" ht="13">
      <c r="B1427" s="13"/>
    </row>
    <row r="1428" spans="2:2" ht="13">
      <c r="B1428" s="13"/>
    </row>
    <row r="1429" spans="2:2" ht="13">
      <c r="B1429" s="13"/>
    </row>
    <row r="1430" spans="2:2" ht="13">
      <c r="B1430" s="13"/>
    </row>
    <row r="1431" spans="2:2" ht="13">
      <c r="B1431" s="13"/>
    </row>
    <row r="1432" spans="2:2" ht="13">
      <c r="B1432" s="13"/>
    </row>
    <row r="1433" spans="2:2" ht="13">
      <c r="B1433" s="13"/>
    </row>
    <row r="1434" spans="2:2" ht="13">
      <c r="B1434" s="13"/>
    </row>
    <row r="1435" spans="2:2" ht="13">
      <c r="B1435" s="13"/>
    </row>
    <row r="1436" spans="2:2" ht="13">
      <c r="B1436" s="13"/>
    </row>
    <row r="1437" spans="2:2" ht="13">
      <c r="B1437" s="13"/>
    </row>
    <row r="1438" spans="2:2" ht="13">
      <c r="B1438" s="13"/>
    </row>
    <row r="1439" spans="2:2" ht="13">
      <c r="B1439" s="13"/>
    </row>
    <row r="1440" spans="2:2" ht="13">
      <c r="B1440" s="13"/>
    </row>
    <row r="1441" spans="2:2" ht="13">
      <c r="B1441" s="13"/>
    </row>
    <row r="1442" spans="2:2" ht="13">
      <c r="B1442" s="13"/>
    </row>
    <row r="1443" spans="2:2" ht="13">
      <c r="B1443" s="13"/>
    </row>
    <row r="1444" spans="2:2" ht="13">
      <c r="B1444" s="13"/>
    </row>
    <row r="1445" spans="2:2" ht="13">
      <c r="B1445" s="13"/>
    </row>
    <row r="1446" spans="2:2" ht="13">
      <c r="B1446" s="13"/>
    </row>
    <row r="1447" spans="2:2" ht="13">
      <c r="B1447" s="13"/>
    </row>
    <row r="1448" spans="2:2" ht="13">
      <c r="B1448" s="13"/>
    </row>
    <row r="1449" spans="2:2" ht="13">
      <c r="B1449" s="13"/>
    </row>
    <row r="1450" spans="2:2" ht="13">
      <c r="B1450" s="13"/>
    </row>
    <row r="1451" spans="2:2" ht="13">
      <c r="B1451" s="13"/>
    </row>
    <row r="1452" spans="2:2" ht="13">
      <c r="B1452" s="13"/>
    </row>
    <row r="1453" spans="2:2" ht="13">
      <c r="B1453" s="13"/>
    </row>
    <row r="1454" spans="2:2" ht="13">
      <c r="B1454" s="13"/>
    </row>
    <row r="1455" spans="2:2" ht="13">
      <c r="B1455" s="13"/>
    </row>
    <row r="1456" spans="2:2" ht="13">
      <c r="B1456" s="13"/>
    </row>
    <row r="1457" spans="2:2" ht="13">
      <c r="B1457" s="13"/>
    </row>
    <row r="1458" spans="2:2" ht="13">
      <c r="B1458" s="13"/>
    </row>
    <row r="1459" spans="2:2" ht="13">
      <c r="B1459" s="13"/>
    </row>
    <row r="1460" spans="2:2" ht="13">
      <c r="B1460" s="13"/>
    </row>
    <row r="1461" spans="2:2" ht="13">
      <c r="B1461" s="13"/>
    </row>
    <row r="1462" spans="2:2" ht="13">
      <c r="B1462" s="13"/>
    </row>
    <row r="1463" spans="2:2" ht="13">
      <c r="B1463" s="13"/>
    </row>
    <row r="1464" spans="2:2" ht="13">
      <c r="B1464" s="13"/>
    </row>
    <row r="1465" spans="2:2" ht="13">
      <c r="B1465" s="13"/>
    </row>
    <row r="1466" spans="2:2" ht="13">
      <c r="B1466" s="13"/>
    </row>
    <row r="1467" spans="2:2" ht="13">
      <c r="B1467" s="13"/>
    </row>
    <row r="1468" spans="2:2" ht="13">
      <c r="B1468" s="13"/>
    </row>
    <row r="1469" spans="2:2" ht="13">
      <c r="B1469" s="13"/>
    </row>
    <row r="1470" spans="2:2" ht="13">
      <c r="B1470" s="13"/>
    </row>
    <row r="1471" spans="2:2" ht="13">
      <c r="B1471" s="13"/>
    </row>
    <row r="1472" spans="2:2" ht="13">
      <c r="B1472" s="13"/>
    </row>
    <row r="1473" spans="2:2" ht="13">
      <c r="B1473" s="13"/>
    </row>
    <row r="1474" spans="2:2" ht="13">
      <c r="B1474" s="13"/>
    </row>
    <row r="1475" spans="2:2" ht="13">
      <c r="B1475" s="13"/>
    </row>
    <row r="1476" spans="2:2" ht="13">
      <c r="B1476" s="13"/>
    </row>
    <row r="1477" spans="2:2" ht="13">
      <c r="B1477" s="13"/>
    </row>
    <row r="1478" spans="2:2" ht="13">
      <c r="B1478" s="13"/>
    </row>
    <row r="1479" spans="2:2" ht="13">
      <c r="B1479" s="13"/>
    </row>
    <row r="1480" spans="2:2" ht="13">
      <c r="B1480" s="13"/>
    </row>
    <row r="1481" spans="2:2" ht="13">
      <c r="B1481" s="13"/>
    </row>
    <row r="1482" spans="2:2" ht="13">
      <c r="B1482" s="13"/>
    </row>
    <row r="1483" spans="2:2" ht="13">
      <c r="B1483" s="13"/>
    </row>
    <row r="1484" spans="2:2" ht="13">
      <c r="B1484" s="13"/>
    </row>
    <row r="1485" spans="2:2" ht="13">
      <c r="B1485" s="13"/>
    </row>
    <row r="1486" spans="2:2" ht="13">
      <c r="B1486" s="13"/>
    </row>
    <row r="1487" spans="2:2" ht="13">
      <c r="B1487" s="13"/>
    </row>
    <row r="1488" spans="2:2" ht="13">
      <c r="B1488" s="13"/>
    </row>
    <row r="1489" spans="2:2" ht="13">
      <c r="B1489" s="13"/>
    </row>
    <row r="1490" spans="2:2" ht="13">
      <c r="B1490" s="13"/>
    </row>
    <row r="1491" spans="2:2" ht="13">
      <c r="B1491" s="13"/>
    </row>
    <row r="1492" spans="2:2" ht="13">
      <c r="B1492" s="13"/>
    </row>
    <row r="1493" spans="2:2" ht="13">
      <c r="B1493" s="13"/>
    </row>
    <row r="1494" spans="2:2" ht="13">
      <c r="B1494" s="13"/>
    </row>
    <row r="1495" spans="2:2" ht="13">
      <c r="B1495" s="13"/>
    </row>
    <row r="1496" spans="2:2" ht="13">
      <c r="B1496" s="13"/>
    </row>
    <row r="1497" spans="2:2" ht="13">
      <c r="B1497" s="13"/>
    </row>
    <row r="1498" spans="2:2" ht="13">
      <c r="B1498" s="13"/>
    </row>
    <row r="1499" spans="2:2" ht="13">
      <c r="B1499" s="13"/>
    </row>
    <row r="1500" spans="2:2" ht="13">
      <c r="B1500" s="13"/>
    </row>
    <row r="1501" spans="2:2" ht="13">
      <c r="B1501" s="13"/>
    </row>
    <row r="1502" spans="2:2" ht="13">
      <c r="B1502" s="13"/>
    </row>
    <row r="1503" spans="2:2" ht="13">
      <c r="B1503" s="13"/>
    </row>
    <row r="1504" spans="2:2" ht="13">
      <c r="B1504" s="13"/>
    </row>
    <row r="1505" spans="2:2" ht="13">
      <c r="B1505" s="13"/>
    </row>
    <row r="1506" spans="2:2" ht="13">
      <c r="B1506" s="13"/>
    </row>
    <row r="1507" spans="2:2" ht="13">
      <c r="B1507" s="13"/>
    </row>
    <row r="1508" spans="2:2" ht="13">
      <c r="B1508" s="13"/>
    </row>
    <row r="1509" spans="2:2" ht="13">
      <c r="B1509" s="13"/>
    </row>
    <row r="1510" spans="2:2" ht="13">
      <c r="B1510" s="13"/>
    </row>
    <row r="1511" spans="2:2" ht="13">
      <c r="B1511" s="13"/>
    </row>
    <row r="1512" spans="2:2" ht="13">
      <c r="B1512" s="13"/>
    </row>
    <row r="1513" spans="2:2" ht="13">
      <c r="B1513" s="13"/>
    </row>
    <row r="1514" spans="2:2" ht="13">
      <c r="B1514" s="13"/>
    </row>
    <row r="1515" spans="2:2" ht="13">
      <c r="B1515" s="13"/>
    </row>
    <row r="1516" spans="2:2" ht="13">
      <c r="B1516" s="13"/>
    </row>
    <row r="1517" spans="2:2" ht="13">
      <c r="B1517" s="13"/>
    </row>
    <row r="1518" spans="2:2" ht="13">
      <c r="B1518" s="13"/>
    </row>
    <row r="1519" spans="2:2" ht="13">
      <c r="B1519" s="13"/>
    </row>
    <row r="1520" spans="2:2" ht="13">
      <c r="B1520" s="13"/>
    </row>
    <row r="1521" spans="2:2" ht="13">
      <c r="B1521" s="13"/>
    </row>
    <row r="1522" spans="2:2" ht="13">
      <c r="B1522" s="13"/>
    </row>
    <row r="1523" spans="2:2" ht="13">
      <c r="B1523" s="13"/>
    </row>
    <row r="1524" spans="2:2" ht="13">
      <c r="B1524" s="13"/>
    </row>
    <row r="1525" spans="2:2" ht="13">
      <c r="B1525" s="13"/>
    </row>
    <row r="1526" spans="2:2" ht="13">
      <c r="B1526" s="13"/>
    </row>
    <row r="1527" spans="2:2" ht="13">
      <c r="B1527" s="13"/>
    </row>
    <row r="1528" spans="2:2" ht="13">
      <c r="B1528" s="13"/>
    </row>
    <row r="1529" spans="2:2" ht="13">
      <c r="B1529" s="13"/>
    </row>
    <row r="1530" spans="2:2" ht="13">
      <c r="B1530" s="13"/>
    </row>
    <row r="1531" spans="2:2" ht="13">
      <c r="B1531" s="13"/>
    </row>
    <row r="1532" spans="2:2" ht="13">
      <c r="B1532" s="13"/>
    </row>
    <row r="1533" spans="2:2" ht="13">
      <c r="B1533" s="13"/>
    </row>
    <row r="1534" spans="2:2" ht="13">
      <c r="B1534" s="13"/>
    </row>
    <row r="1535" spans="2:2" ht="13">
      <c r="B1535" s="13"/>
    </row>
    <row r="1536" spans="2:2" ht="13">
      <c r="B1536" s="13"/>
    </row>
    <row r="1537" spans="2:2" ht="13">
      <c r="B1537" s="13"/>
    </row>
    <row r="1538" spans="2:2" ht="13">
      <c r="B1538" s="13"/>
    </row>
    <row r="1539" spans="2:2" ht="13">
      <c r="B1539" s="13"/>
    </row>
    <row r="1540" spans="2:2" ht="13">
      <c r="B1540" s="13"/>
    </row>
    <row r="1541" spans="2:2" ht="13">
      <c r="B1541" s="13"/>
    </row>
    <row r="1542" spans="2:2" ht="13">
      <c r="B1542" s="13"/>
    </row>
    <row r="1543" spans="2:2" ht="13">
      <c r="B1543" s="13"/>
    </row>
    <row r="1544" spans="2:2" ht="13">
      <c r="B1544" s="13"/>
    </row>
    <row r="1545" spans="2:2" ht="13">
      <c r="B1545" s="13"/>
    </row>
    <row r="1546" spans="2:2" ht="13">
      <c r="B1546" s="13"/>
    </row>
    <row r="1547" spans="2:2" ht="13">
      <c r="B1547" s="13"/>
    </row>
    <row r="1548" spans="2:2" ht="13">
      <c r="B1548" s="13"/>
    </row>
    <row r="1549" spans="2:2" ht="13">
      <c r="B1549" s="13"/>
    </row>
    <row r="1550" spans="2:2" ht="13">
      <c r="B1550" s="13"/>
    </row>
    <row r="1551" spans="2:2" ht="13">
      <c r="B1551" s="13"/>
    </row>
    <row r="1552" spans="2:2" ht="13">
      <c r="B1552" s="13"/>
    </row>
    <row r="1553" spans="2:2" ht="13">
      <c r="B1553" s="13"/>
    </row>
    <row r="1554" spans="2:2" ht="13">
      <c r="B1554" s="13"/>
    </row>
    <row r="1555" spans="2:2" ht="13">
      <c r="B1555" s="13"/>
    </row>
    <row r="1556" spans="2:2" ht="13">
      <c r="B1556" s="13"/>
    </row>
    <row r="1557" spans="2:2" ht="13">
      <c r="B1557" s="13"/>
    </row>
    <row r="1558" spans="2:2" ht="13">
      <c r="B1558" s="13"/>
    </row>
    <row r="1559" spans="2:2" ht="13">
      <c r="B1559" s="13"/>
    </row>
    <row r="1560" spans="2:2" ht="13">
      <c r="B1560" s="13"/>
    </row>
    <row r="1561" spans="2:2" ht="13">
      <c r="B1561" s="13"/>
    </row>
    <row r="1562" spans="2:2" ht="13">
      <c r="B1562" s="13"/>
    </row>
    <row r="1563" spans="2:2" ht="13">
      <c r="B1563" s="13"/>
    </row>
    <row r="1564" spans="2:2" ht="13">
      <c r="B1564" s="13"/>
    </row>
    <row r="1565" spans="2:2" ht="13">
      <c r="B1565" s="13"/>
    </row>
    <row r="1566" spans="2:2" ht="13">
      <c r="B1566" s="13"/>
    </row>
    <row r="1567" spans="2:2" ht="13">
      <c r="B1567" s="13"/>
    </row>
    <row r="1568" spans="2:2" ht="13">
      <c r="B1568" s="13"/>
    </row>
    <row r="1569" spans="2:2" ht="13">
      <c r="B1569" s="13"/>
    </row>
    <row r="1570" spans="2:2" ht="13">
      <c r="B1570" s="13"/>
    </row>
    <row r="1571" spans="2:2" ht="13">
      <c r="B1571" s="13"/>
    </row>
    <row r="1572" spans="2:2" ht="13">
      <c r="B1572" s="13"/>
    </row>
    <row r="1573" spans="2:2" ht="13">
      <c r="B1573" s="13"/>
    </row>
    <row r="1574" spans="2:2" ht="13">
      <c r="B1574" s="13"/>
    </row>
    <row r="1575" spans="2:2" ht="13">
      <c r="B1575" s="13"/>
    </row>
    <row r="1576" spans="2:2" ht="13">
      <c r="B1576" s="13"/>
    </row>
    <row r="1577" spans="2:2" ht="13">
      <c r="B1577" s="13"/>
    </row>
    <row r="1578" spans="2:2" ht="13">
      <c r="B1578" s="13"/>
    </row>
    <row r="1579" spans="2:2" ht="13">
      <c r="B1579" s="13"/>
    </row>
    <row r="1580" spans="2:2" ht="13">
      <c r="B1580" s="13"/>
    </row>
    <row r="1581" spans="2:2" ht="13">
      <c r="B1581" s="13"/>
    </row>
    <row r="1582" spans="2:2" ht="13">
      <c r="B1582" s="13"/>
    </row>
    <row r="1583" spans="2:2" ht="13">
      <c r="B1583" s="13"/>
    </row>
    <row r="1584" spans="2:2" ht="13">
      <c r="B1584" s="13"/>
    </row>
    <row r="1585" spans="2:2" ht="13">
      <c r="B1585" s="13"/>
    </row>
    <row r="1586" spans="2:2" ht="13">
      <c r="B1586" s="13"/>
    </row>
    <row r="1587" spans="2:2" ht="13">
      <c r="B1587" s="13"/>
    </row>
    <row r="1588" spans="2:2" ht="13">
      <c r="B1588" s="13"/>
    </row>
    <row r="1589" spans="2:2" ht="13">
      <c r="B1589" s="13"/>
    </row>
    <row r="1590" spans="2:2" ht="13">
      <c r="B1590" s="13"/>
    </row>
    <row r="1591" spans="2:2" ht="13">
      <c r="B1591" s="13"/>
    </row>
    <row r="1592" spans="2:2" ht="13">
      <c r="B1592" s="13"/>
    </row>
    <row r="1593" spans="2:2" ht="13">
      <c r="B1593" s="13"/>
    </row>
    <row r="1594" spans="2:2" ht="13">
      <c r="B1594" s="13"/>
    </row>
    <row r="1595" spans="2:2" ht="13">
      <c r="B1595" s="13"/>
    </row>
    <row r="1596" spans="2:2" ht="13">
      <c r="B1596" s="13"/>
    </row>
    <row r="1597" spans="2:2" ht="13">
      <c r="B1597" s="13"/>
    </row>
    <row r="1598" spans="2:2" ht="13">
      <c r="B1598" s="13"/>
    </row>
    <row r="1599" spans="2:2" ht="13">
      <c r="B1599" s="13"/>
    </row>
    <row r="1600" spans="2:2" ht="13">
      <c r="B1600" s="13"/>
    </row>
    <row r="1601" spans="2:2" ht="13">
      <c r="B1601" s="13"/>
    </row>
    <row r="1602" spans="2:2" ht="13">
      <c r="B1602" s="13"/>
    </row>
    <row r="1603" spans="2:2" ht="13">
      <c r="B1603" s="13"/>
    </row>
    <row r="1604" spans="2:2" ht="13">
      <c r="B1604" s="13"/>
    </row>
    <row r="1605" spans="2:2" ht="13">
      <c r="B1605" s="13"/>
    </row>
    <row r="1606" spans="2:2" ht="13">
      <c r="B1606" s="13"/>
    </row>
    <row r="1607" spans="2:2" ht="13">
      <c r="B1607" s="13"/>
    </row>
    <row r="1608" spans="2:2" ht="13">
      <c r="B1608" s="13"/>
    </row>
    <row r="1609" spans="2:2" ht="13">
      <c r="B1609" s="13"/>
    </row>
    <row r="1610" spans="2:2" ht="13">
      <c r="B1610" s="13"/>
    </row>
    <row r="1611" spans="2:2" ht="13">
      <c r="B1611" s="13"/>
    </row>
    <row r="1612" spans="2:2" ht="13">
      <c r="B1612" s="13"/>
    </row>
    <row r="1613" spans="2:2" ht="13">
      <c r="B1613" s="13"/>
    </row>
    <row r="1614" spans="2:2" ht="13">
      <c r="B1614" s="13"/>
    </row>
    <row r="1615" spans="2:2" ht="13">
      <c r="B1615" s="13"/>
    </row>
    <row r="1616" spans="2:2" ht="13">
      <c r="B1616" s="13"/>
    </row>
    <row r="1617" spans="2:2" ht="13">
      <c r="B1617" s="13"/>
    </row>
    <row r="1618" spans="2:2" ht="13">
      <c r="B1618" s="13"/>
    </row>
    <row r="1619" spans="2:2" ht="13">
      <c r="B1619" s="13"/>
    </row>
    <row r="1620" spans="2:2" ht="13">
      <c r="B1620" s="13"/>
    </row>
    <row r="1621" spans="2:2" ht="13">
      <c r="B1621" s="13"/>
    </row>
    <row r="1622" spans="2:2" ht="13">
      <c r="B1622" s="13"/>
    </row>
    <row r="1623" spans="2:2" ht="13">
      <c r="B1623" s="13"/>
    </row>
    <row r="1624" spans="2:2" ht="13">
      <c r="B1624" s="13"/>
    </row>
    <row r="1625" spans="2:2" ht="13">
      <c r="B1625" s="13"/>
    </row>
    <row r="1626" spans="2:2" ht="13">
      <c r="B1626" s="13"/>
    </row>
    <row r="1627" spans="2:2" ht="13">
      <c r="B1627" s="13"/>
    </row>
    <row r="1628" spans="2:2" ht="13">
      <c r="B1628" s="13"/>
    </row>
    <row r="1629" spans="2:2" ht="13">
      <c r="B1629" s="13"/>
    </row>
    <row r="1630" spans="2:2" ht="13">
      <c r="B1630" s="13"/>
    </row>
    <row r="1631" spans="2:2" ht="13">
      <c r="B1631" s="13"/>
    </row>
    <row r="1632" spans="2:2" ht="13">
      <c r="B1632" s="13"/>
    </row>
    <row r="1633" spans="2:2" ht="13">
      <c r="B1633" s="13"/>
    </row>
    <row r="1634" spans="2:2" ht="13">
      <c r="B1634" s="13"/>
    </row>
    <row r="1635" spans="2:2" ht="13">
      <c r="B1635" s="13"/>
    </row>
    <row r="1636" spans="2:2" ht="13">
      <c r="B1636" s="13"/>
    </row>
    <row r="1637" spans="2:2" ht="13">
      <c r="B1637" s="13"/>
    </row>
    <row r="1638" spans="2:2" ht="13">
      <c r="B1638" s="13"/>
    </row>
    <row r="1639" spans="2:2" ht="13">
      <c r="B1639" s="13"/>
    </row>
    <row r="1640" spans="2:2" ht="13">
      <c r="B1640" s="13"/>
    </row>
    <row r="1641" spans="2:2" ht="13">
      <c r="B1641" s="13"/>
    </row>
    <row r="1642" spans="2:2" ht="13">
      <c r="B1642" s="13"/>
    </row>
    <row r="1643" spans="2:2" ht="13">
      <c r="B1643" s="13"/>
    </row>
    <row r="1644" spans="2:2" ht="13">
      <c r="B1644" s="13"/>
    </row>
    <row r="1645" spans="2:2" ht="13">
      <c r="B1645" s="13"/>
    </row>
    <row r="1646" spans="2:2" ht="13">
      <c r="B1646" s="13"/>
    </row>
    <row r="1647" spans="2:2" ht="13">
      <c r="B1647" s="13"/>
    </row>
    <row r="1648" spans="2:2" ht="13">
      <c r="B1648" s="13"/>
    </row>
    <row r="1649" spans="2:2" ht="13">
      <c r="B1649" s="13"/>
    </row>
    <row r="1650" spans="2:2" ht="13">
      <c r="B1650" s="13"/>
    </row>
    <row r="1651" spans="2:2" ht="13">
      <c r="B1651" s="13"/>
    </row>
    <row r="1652" spans="2:2" ht="13">
      <c r="B1652" s="13"/>
    </row>
    <row r="1653" spans="2:2" ht="13">
      <c r="B1653" s="13"/>
    </row>
    <row r="1654" spans="2:2" ht="13">
      <c r="B1654" s="13"/>
    </row>
    <row r="1655" spans="2:2" ht="13">
      <c r="B1655" s="13"/>
    </row>
    <row r="1656" spans="2:2" ht="13">
      <c r="B1656" s="13"/>
    </row>
    <row r="1657" spans="2:2" ht="13">
      <c r="B1657" s="13"/>
    </row>
    <row r="1658" spans="2:2" ht="13">
      <c r="B1658" s="13"/>
    </row>
    <row r="1659" spans="2:2" ht="13">
      <c r="B1659" s="13"/>
    </row>
    <row r="1660" spans="2:2" ht="13">
      <c r="B1660" s="13"/>
    </row>
    <row r="1661" spans="2:2" ht="13">
      <c r="B1661" s="13"/>
    </row>
    <row r="1662" spans="2:2" ht="13">
      <c r="B1662" s="13"/>
    </row>
    <row r="1663" spans="2:2" ht="13">
      <c r="B1663" s="13"/>
    </row>
    <row r="1664" spans="2:2" ht="13">
      <c r="B1664" s="13"/>
    </row>
    <row r="1665" spans="2:2" ht="13">
      <c r="B1665" s="13"/>
    </row>
    <row r="1666" spans="2:2" ht="13">
      <c r="B1666" s="13"/>
    </row>
    <row r="1667" spans="2:2" ht="13">
      <c r="B1667" s="13"/>
    </row>
    <row r="1668" spans="2:2" ht="13">
      <c r="B1668" s="13"/>
    </row>
    <row r="1669" spans="2:2" ht="13">
      <c r="B1669" s="13"/>
    </row>
    <row r="1670" spans="2:2" ht="13">
      <c r="B1670" s="13"/>
    </row>
    <row r="1671" spans="2:2" ht="13">
      <c r="B1671" s="13"/>
    </row>
    <row r="1672" spans="2:2" ht="13">
      <c r="B1672" s="13"/>
    </row>
    <row r="1673" spans="2:2" ht="13">
      <c r="B1673" s="13"/>
    </row>
    <row r="1674" spans="2:2" ht="13">
      <c r="B1674" s="13"/>
    </row>
    <row r="1675" spans="2:2" ht="13">
      <c r="B1675" s="13"/>
    </row>
    <row r="1676" spans="2:2" ht="13">
      <c r="B1676" s="13"/>
    </row>
    <row r="1677" spans="2:2" ht="13">
      <c r="B1677" s="13"/>
    </row>
    <row r="1678" spans="2:2" ht="13">
      <c r="B1678" s="13"/>
    </row>
    <row r="1679" spans="2:2" ht="13">
      <c r="B1679" s="13"/>
    </row>
    <row r="1680" spans="2:2" ht="13">
      <c r="B1680" s="13"/>
    </row>
    <row r="1681" spans="2:2" ht="13">
      <c r="B1681" s="13"/>
    </row>
    <row r="1682" spans="2:2" ht="13">
      <c r="B1682" s="13"/>
    </row>
    <row r="1683" spans="2:2" ht="13">
      <c r="B1683" s="13"/>
    </row>
    <row r="1684" spans="2:2" ht="13">
      <c r="B1684" s="13"/>
    </row>
    <row r="1685" spans="2:2" ht="13">
      <c r="B1685" s="13"/>
    </row>
    <row r="1686" spans="2:2" ht="13">
      <c r="B1686" s="13"/>
    </row>
    <row r="1687" spans="2:2" ht="13">
      <c r="B1687" s="13"/>
    </row>
    <row r="1688" spans="2:2" ht="13">
      <c r="B1688" s="13"/>
    </row>
    <row r="1689" spans="2:2" ht="13">
      <c r="B1689" s="13"/>
    </row>
    <row r="1690" spans="2:2" ht="13">
      <c r="B1690" s="13"/>
    </row>
    <row r="1691" spans="2:2" ht="13">
      <c r="B1691" s="13"/>
    </row>
    <row r="1692" spans="2:2" ht="13">
      <c r="B1692" s="13"/>
    </row>
    <row r="1693" spans="2:2" ht="13">
      <c r="B1693" s="13"/>
    </row>
    <row r="1694" spans="2:2" ht="13">
      <c r="B1694" s="13"/>
    </row>
    <row r="1695" spans="2:2" ht="13">
      <c r="B1695" s="13"/>
    </row>
    <row r="1696" spans="2:2" ht="13">
      <c r="B1696" s="13"/>
    </row>
    <row r="1697" spans="2:2" ht="13">
      <c r="B1697" s="13"/>
    </row>
    <row r="1698" spans="2:2" ht="13">
      <c r="B1698" s="13"/>
    </row>
    <row r="1699" spans="2:2" ht="13">
      <c r="B1699" s="13"/>
    </row>
    <row r="1700" spans="2:2" ht="13">
      <c r="B1700" s="13"/>
    </row>
    <row r="1701" spans="2:2" ht="13">
      <c r="B1701" s="13"/>
    </row>
    <row r="1702" spans="2:2" ht="13">
      <c r="B1702" s="13"/>
    </row>
    <row r="1703" spans="2:2" ht="13">
      <c r="B1703" s="13"/>
    </row>
    <row r="1704" spans="2:2" ht="13">
      <c r="B1704" s="13"/>
    </row>
    <row r="1705" spans="2:2" ht="13">
      <c r="B1705" s="13"/>
    </row>
    <row r="1706" spans="2:2" ht="13">
      <c r="B1706" s="13"/>
    </row>
    <row r="1707" spans="2:2" ht="13">
      <c r="B1707" s="13"/>
    </row>
    <row r="1708" spans="2:2" ht="13">
      <c r="B1708" s="13"/>
    </row>
    <row r="1709" spans="2:2" ht="13">
      <c r="B1709" s="13"/>
    </row>
    <row r="1710" spans="2:2" ht="13">
      <c r="B1710" s="13"/>
    </row>
    <row r="1711" spans="2:2" ht="13">
      <c r="B1711" s="13"/>
    </row>
    <row r="1712" spans="2:2" ht="13">
      <c r="B1712" s="13"/>
    </row>
    <row r="1713" spans="2:2" ht="13">
      <c r="B1713" s="13"/>
    </row>
    <row r="1714" spans="2:2" ht="13">
      <c r="B1714" s="13"/>
    </row>
    <row r="1715" spans="2:2" ht="13">
      <c r="B1715" s="13"/>
    </row>
    <row r="1716" spans="2:2" ht="13">
      <c r="B1716" s="13"/>
    </row>
    <row r="1717" spans="2:2" ht="13">
      <c r="B1717" s="13"/>
    </row>
    <row r="1718" spans="2:2" ht="13">
      <c r="B1718" s="13"/>
    </row>
    <row r="1719" spans="2:2" ht="13">
      <c r="B1719" s="13"/>
    </row>
    <row r="1720" spans="2:2" ht="13">
      <c r="B1720" s="13"/>
    </row>
    <row r="1721" spans="2:2" ht="13">
      <c r="B1721" s="13"/>
    </row>
    <row r="1722" spans="2:2" ht="13">
      <c r="B1722" s="13"/>
    </row>
    <row r="1723" spans="2:2" ht="13">
      <c r="B1723" s="13"/>
    </row>
    <row r="1724" spans="2:2" ht="13">
      <c r="B1724" s="13"/>
    </row>
    <row r="1725" spans="2:2" ht="13">
      <c r="B1725" s="13"/>
    </row>
    <row r="1726" spans="2:2" ht="13">
      <c r="B1726" s="13"/>
    </row>
    <row r="1727" spans="2:2" ht="13">
      <c r="B1727" s="13"/>
    </row>
    <row r="1728" spans="2:2" ht="13">
      <c r="B1728" s="13"/>
    </row>
    <row r="1729" spans="2:2" ht="13">
      <c r="B1729" s="13"/>
    </row>
    <row r="1730" spans="2:2" ht="13">
      <c r="B1730" s="13"/>
    </row>
    <row r="1731" spans="2:2" ht="13">
      <c r="B1731" s="13"/>
    </row>
    <row r="1732" spans="2:2" ht="13">
      <c r="B1732" s="13"/>
    </row>
    <row r="1733" spans="2:2" ht="13">
      <c r="B1733" s="13"/>
    </row>
    <row r="1734" spans="2:2" ht="13">
      <c r="B1734" s="13"/>
    </row>
    <row r="1735" spans="2:2" ht="13">
      <c r="B1735" s="13"/>
    </row>
    <row r="1736" spans="2:2" ht="13">
      <c r="B1736" s="13"/>
    </row>
    <row r="1737" spans="2:2" ht="13">
      <c r="B1737" s="13"/>
    </row>
    <row r="1738" spans="2:2" ht="13">
      <c r="B1738" s="13"/>
    </row>
    <row r="1739" spans="2:2" ht="13">
      <c r="B1739" s="13"/>
    </row>
    <row r="1740" spans="2:2" ht="13">
      <c r="B1740" s="13"/>
    </row>
    <row r="1741" spans="2:2" ht="13">
      <c r="B1741" s="13"/>
    </row>
    <row r="1742" spans="2:2" ht="13">
      <c r="B1742" s="13"/>
    </row>
    <row r="1743" spans="2:2" ht="13">
      <c r="B1743" s="13"/>
    </row>
    <row r="1744" spans="2:2" ht="13">
      <c r="B1744" s="13"/>
    </row>
    <row r="1745" spans="2:2" ht="13">
      <c r="B1745" s="13"/>
    </row>
    <row r="1746" spans="2:2" ht="13">
      <c r="B1746" s="13"/>
    </row>
    <row r="1747" spans="2:2" ht="13">
      <c r="B1747" s="13"/>
    </row>
    <row r="1748" spans="2:2" ht="13">
      <c r="B1748" s="13"/>
    </row>
    <row r="1749" spans="2:2" ht="13">
      <c r="B1749" s="13"/>
    </row>
    <row r="1750" spans="2:2" ht="13">
      <c r="B1750" s="13"/>
    </row>
    <row r="1751" spans="2:2" ht="13">
      <c r="B1751" s="13"/>
    </row>
    <row r="1752" spans="2:2" ht="13">
      <c r="B1752" s="13"/>
    </row>
    <row r="1753" spans="2:2" ht="13">
      <c r="B1753" s="13"/>
    </row>
    <row r="1754" spans="2:2" ht="13">
      <c r="B1754" s="13"/>
    </row>
    <row r="1755" spans="2:2" ht="13">
      <c r="B1755" s="13"/>
    </row>
    <row r="1756" spans="2:2" ht="13">
      <c r="B1756" s="13"/>
    </row>
    <row r="1757" spans="2:2" ht="13">
      <c r="B1757" s="13"/>
    </row>
    <row r="1758" spans="2:2" ht="13">
      <c r="B1758" s="13"/>
    </row>
    <row r="1759" spans="2:2" ht="13">
      <c r="B1759" s="13"/>
    </row>
    <row r="1760" spans="2:2" ht="13">
      <c r="B1760" s="13"/>
    </row>
    <row r="1761" spans="2:2" ht="13">
      <c r="B1761" s="13"/>
    </row>
    <row r="1762" spans="2:2" ht="13">
      <c r="B1762" s="13"/>
    </row>
    <row r="1763" spans="2:2" ht="13">
      <c r="B1763" s="13"/>
    </row>
    <row r="1764" spans="2:2" ht="13">
      <c r="B1764" s="13"/>
    </row>
    <row r="1765" spans="2:2" ht="13">
      <c r="B1765" s="13"/>
    </row>
    <row r="1766" spans="2:2" ht="13">
      <c r="B1766" s="13"/>
    </row>
    <row r="1767" spans="2:2" ht="13">
      <c r="B1767" s="13"/>
    </row>
    <row r="1768" spans="2:2" ht="13">
      <c r="B1768" s="13"/>
    </row>
    <row r="1769" spans="2:2" ht="13">
      <c r="B1769" s="13"/>
    </row>
    <row r="1770" spans="2:2" ht="13">
      <c r="B1770" s="13"/>
    </row>
    <row r="1771" spans="2:2" ht="13">
      <c r="B1771" s="13"/>
    </row>
    <row r="1772" spans="2:2" ht="13">
      <c r="B1772" s="13"/>
    </row>
    <row r="1773" spans="2:2" ht="13">
      <c r="B1773" s="13"/>
    </row>
    <row r="1774" spans="2:2" ht="13">
      <c r="B1774" s="13"/>
    </row>
    <row r="1775" spans="2:2" ht="13">
      <c r="B1775" s="13"/>
    </row>
    <row r="1776" spans="2:2" ht="13">
      <c r="B1776" s="13"/>
    </row>
    <row r="1777" spans="2:2" ht="13">
      <c r="B1777" s="13"/>
    </row>
    <row r="1778" spans="2:2" ht="13">
      <c r="B1778" s="13"/>
    </row>
    <row r="1779" spans="2:2" ht="13">
      <c r="B1779" s="13"/>
    </row>
    <row r="1780" spans="2:2" ht="13">
      <c r="B1780" s="13"/>
    </row>
    <row r="1781" spans="2:2" ht="13">
      <c r="B1781" s="13"/>
    </row>
    <row r="1782" spans="2:2" ht="13">
      <c r="B1782" s="13"/>
    </row>
    <row r="1783" spans="2:2" ht="13">
      <c r="B1783" s="13"/>
    </row>
    <row r="1784" spans="2:2" ht="13">
      <c r="B1784" s="13"/>
    </row>
    <row r="1785" spans="2:2" ht="13">
      <c r="B1785" s="13"/>
    </row>
    <row r="1786" spans="2:2" ht="13">
      <c r="B1786" s="13"/>
    </row>
    <row r="1787" spans="2:2" ht="13">
      <c r="B1787" s="13"/>
    </row>
    <row r="1788" spans="2:2" ht="13">
      <c r="B1788" s="13"/>
    </row>
    <row r="1789" spans="2:2" ht="13">
      <c r="B1789" s="13"/>
    </row>
    <row r="1790" spans="2:2" ht="13">
      <c r="B1790" s="13"/>
    </row>
    <row r="1791" spans="2:2" ht="13">
      <c r="B1791" s="13"/>
    </row>
    <row r="1792" spans="2:2" ht="13">
      <c r="B1792" s="13"/>
    </row>
    <row r="1793" spans="2:2" ht="13">
      <c r="B1793" s="13"/>
    </row>
    <row r="1794" spans="2:2" ht="13">
      <c r="B1794" s="13"/>
    </row>
    <row r="1795" spans="2:2" ht="13">
      <c r="B1795" s="13"/>
    </row>
    <row r="1796" spans="2:2" ht="13">
      <c r="B1796" s="13"/>
    </row>
    <row r="1797" spans="2:2" ht="13">
      <c r="B1797" s="13"/>
    </row>
    <row r="1798" spans="2:2" ht="13">
      <c r="B1798" s="13"/>
    </row>
    <row r="1799" spans="2:2" ht="13">
      <c r="B1799" s="13"/>
    </row>
    <row r="1800" spans="2:2" ht="13">
      <c r="B1800" s="13"/>
    </row>
    <row r="1801" spans="2:2" ht="13">
      <c r="B1801" s="13"/>
    </row>
    <row r="1802" spans="2:2" ht="13">
      <c r="B1802" s="13"/>
    </row>
    <row r="1803" spans="2:2" ht="13">
      <c r="B1803" s="13"/>
    </row>
    <row r="1804" spans="2:2" ht="13">
      <c r="B1804" s="13"/>
    </row>
    <row r="1805" spans="2:2" ht="13">
      <c r="B1805" s="13"/>
    </row>
    <row r="1806" spans="2:2" ht="13">
      <c r="B1806" s="13"/>
    </row>
    <row r="1807" spans="2:2" ht="13">
      <c r="B1807" s="13"/>
    </row>
    <row r="1808" spans="2:2" ht="13">
      <c r="B1808" s="13"/>
    </row>
    <row r="1809" spans="2:2" ht="13">
      <c r="B1809" s="13"/>
    </row>
    <row r="1810" spans="2:2" ht="13">
      <c r="B1810" s="13"/>
    </row>
    <row r="1811" spans="2:2" ht="13">
      <c r="B1811" s="13"/>
    </row>
    <row r="1812" spans="2:2" ht="13">
      <c r="B1812" s="13"/>
    </row>
    <row r="1813" spans="2:2" ht="13">
      <c r="B1813" s="13"/>
    </row>
    <row r="1814" spans="2:2" ht="13">
      <c r="B1814" s="13"/>
    </row>
    <row r="1815" spans="2:2" ht="13">
      <c r="B1815" s="13"/>
    </row>
    <row r="1816" spans="2:2" ht="13">
      <c r="B1816" s="13"/>
    </row>
    <row r="1817" spans="2:2" ht="13">
      <c r="B1817" s="13"/>
    </row>
    <row r="1818" spans="2:2" ht="13">
      <c r="B1818" s="13"/>
    </row>
    <row r="1819" spans="2:2" ht="13">
      <c r="B1819" s="13"/>
    </row>
    <row r="1820" spans="2:2" ht="13">
      <c r="B1820" s="13"/>
    </row>
    <row r="1821" spans="2:2" ht="13">
      <c r="B1821" s="13"/>
    </row>
    <row r="1822" spans="2:2" ht="13">
      <c r="B1822" s="13"/>
    </row>
    <row r="1823" spans="2:2" ht="13">
      <c r="B1823" s="13"/>
    </row>
    <row r="1824" spans="2:2" ht="13">
      <c r="B1824" s="13"/>
    </row>
    <row r="1825" spans="2:2" ht="13">
      <c r="B1825" s="13"/>
    </row>
    <row r="1826" spans="2:2" ht="13">
      <c r="B1826" s="13"/>
    </row>
    <row r="1827" spans="2:2" ht="13">
      <c r="B1827" s="13"/>
    </row>
    <row r="1828" spans="2:2" ht="13">
      <c r="B1828" s="13"/>
    </row>
    <row r="1829" spans="2:2" ht="13">
      <c r="B1829" s="13"/>
    </row>
    <row r="1830" spans="2:2" ht="13">
      <c r="B1830" s="13"/>
    </row>
    <row r="1831" spans="2:2" ht="13">
      <c r="B1831" s="13"/>
    </row>
    <row r="1832" spans="2:2" ht="13">
      <c r="B1832" s="13"/>
    </row>
    <row r="1833" spans="2:2" ht="13">
      <c r="B1833" s="13"/>
    </row>
    <row r="1834" spans="2:2" ht="13">
      <c r="B1834" s="13"/>
    </row>
    <row r="1835" spans="2:2" ht="13">
      <c r="B1835" s="13"/>
    </row>
    <row r="1836" spans="2:2" ht="13">
      <c r="B1836" s="13"/>
    </row>
    <row r="1837" spans="2:2" ht="13">
      <c r="B1837" s="13"/>
    </row>
    <row r="1838" spans="2:2" ht="13">
      <c r="B1838" s="13"/>
    </row>
    <row r="1839" spans="2:2" ht="13">
      <c r="B1839" s="13"/>
    </row>
    <row r="1840" spans="2:2" ht="13">
      <c r="B1840" s="13"/>
    </row>
    <row r="1841" spans="2:2" ht="13">
      <c r="B1841" s="13"/>
    </row>
    <row r="1842" spans="2:2" ht="13">
      <c r="B1842" s="13"/>
    </row>
    <row r="1843" spans="2:2" ht="13">
      <c r="B1843" s="13"/>
    </row>
    <row r="1844" spans="2:2" ht="13">
      <c r="B1844" s="13"/>
    </row>
    <row r="1845" spans="2:2" ht="13">
      <c r="B1845" s="13"/>
    </row>
    <row r="1846" spans="2:2" ht="13">
      <c r="B1846" s="13"/>
    </row>
    <row r="1847" spans="2:2" ht="13">
      <c r="B1847" s="13"/>
    </row>
    <row r="1848" spans="2:2" ht="13">
      <c r="B1848" s="13"/>
    </row>
    <row r="1849" spans="2:2" ht="13">
      <c r="B1849" s="13"/>
    </row>
    <row r="1850" spans="2:2" ht="13">
      <c r="B1850" s="13"/>
    </row>
    <row r="1851" spans="2:2" ht="13">
      <c r="B1851" s="13"/>
    </row>
    <row r="1852" spans="2:2" ht="13">
      <c r="B1852" s="13"/>
    </row>
    <row r="1853" spans="2:2" ht="13">
      <c r="B1853" s="13"/>
    </row>
    <row r="1854" spans="2:2" ht="13">
      <c r="B1854" s="13"/>
    </row>
    <row r="1855" spans="2:2" ht="13">
      <c r="B1855" s="13"/>
    </row>
    <row r="1856" spans="2:2" ht="13">
      <c r="B1856" s="13"/>
    </row>
    <row r="1857" spans="2:2" ht="13">
      <c r="B1857" s="13"/>
    </row>
    <row r="1858" spans="2:2" ht="13">
      <c r="B1858" s="13"/>
    </row>
    <row r="1859" spans="2:2" ht="13">
      <c r="B1859" s="13"/>
    </row>
    <row r="1860" spans="2:2" ht="13">
      <c r="B1860" s="13"/>
    </row>
    <row r="1861" spans="2:2" ht="13">
      <c r="B1861" s="13"/>
    </row>
    <row r="1862" spans="2:2" ht="13">
      <c r="B1862" s="13"/>
    </row>
    <row r="1863" spans="2:2" ht="13">
      <c r="B1863" s="13"/>
    </row>
    <row r="1864" spans="2:2" ht="13">
      <c r="B1864" s="13"/>
    </row>
    <row r="1865" spans="2:2" ht="13">
      <c r="B1865" s="13"/>
    </row>
    <row r="1866" spans="2:2" ht="13">
      <c r="B1866" s="13"/>
    </row>
    <row r="1867" spans="2:2" ht="13">
      <c r="B1867" s="13"/>
    </row>
    <row r="1868" spans="2:2" ht="13">
      <c r="B1868" s="13"/>
    </row>
    <row r="1869" spans="2:2" ht="13">
      <c r="B1869" s="13"/>
    </row>
    <row r="1870" spans="2:2" ht="13">
      <c r="B1870" s="13"/>
    </row>
    <row r="1871" spans="2:2" ht="13">
      <c r="B1871" s="13"/>
    </row>
    <row r="1872" spans="2:2" ht="13">
      <c r="B1872" s="13"/>
    </row>
    <row r="1873" spans="2:2" ht="13">
      <c r="B1873" s="13"/>
    </row>
    <row r="1874" spans="2:2" ht="13">
      <c r="B1874" s="13"/>
    </row>
    <row r="1875" spans="2:2" ht="13">
      <c r="B1875" s="13"/>
    </row>
    <row r="1876" spans="2:2" ht="13">
      <c r="B1876" s="13"/>
    </row>
    <row r="1877" spans="2:2" ht="13">
      <c r="B1877" s="13"/>
    </row>
    <row r="1878" spans="2:2" ht="13">
      <c r="B1878" s="13"/>
    </row>
    <row r="1879" spans="2:2" ht="13">
      <c r="B1879" s="13"/>
    </row>
    <row r="1880" spans="2:2" ht="13">
      <c r="B1880" s="13"/>
    </row>
    <row r="1881" spans="2:2" ht="13">
      <c r="B1881" s="13"/>
    </row>
    <row r="1882" spans="2:2" ht="13">
      <c r="B1882" s="13"/>
    </row>
    <row r="1883" spans="2:2" ht="13">
      <c r="B1883" s="13"/>
    </row>
    <row r="1884" spans="2:2" ht="13">
      <c r="B1884" s="13"/>
    </row>
    <row r="1885" spans="2:2" ht="13">
      <c r="B1885" s="13"/>
    </row>
    <row r="1886" spans="2:2" ht="13">
      <c r="B1886" s="13"/>
    </row>
    <row r="1887" spans="2:2" ht="13">
      <c r="B1887" s="13"/>
    </row>
    <row r="1888" spans="2:2" ht="13">
      <c r="B1888" s="13"/>
    </row>
    <row r="1889" spans="2:2" ht="13">
      <c r="B1889" s="13"/>
    </row>
    <row r="1890" spans="2:2" ht="13">
      <c r="B1890" s="13"/>
    </row>
    <row r="1891" spans="2:2" ht="13">
      <c r="B1891" s="13"/>
    </row>
    <row r="1892" spans="2:2" ht="13">
      <c r="B1892" s="13"/>
    </row>
    <row r="1893" spans="2:2" ht="13">
      <c r="B1893" s="13"/>
    </row>
    <row r="1894" spans="2:2" ht="13">
      <c r="B1894" s="13"/>
    </row>
    <row r="1895" spans="2:2" ht="13">
      <c r="B1895" s="13"/>
    </row>
    <row r="1896" spans="2:2" ht="13">
      <c r="B1896" s="13"/>
    </row>
    <row r="1897" spans="2:2" ht="13">
      <c r="B1897" s="13"/>
    </row>
    <row r="1898" spans="2:2" ht="13">
      <c r="B1898" s="13"/>
    </row>
    <row r="1899" spans="2:2" ht="13">
      <c r="B1899" s="13"/>
    </row>
    <row r="1900" spans="2:2" ht="13">
      <c r="B1900" s="13"/>
    </row>
    <row r="1901" spans="2:2" ht="13">
      <c r="B1901" s="13"/>
    </row>
    <row r="1902" spans="2:2" ht="13">
      <c r="B1902" s="13"/>
    </row>
    <row r="1903" spans="2:2" ht="13">
      <c r="B1903" s="13"/>
    </row>
    <row r="1904" spans="2:2" ht="13">
      <c r="B1904" s="13"/>
    </row>
    <row r="1905" spans="2:2" ht="13">
      <c r="B1905" s="13"/>
    </row>
    <row r="1906" spans="2:2" ht="13">
      <c r="B1906" s="13"/>
    </row>
    <row r="1907" spans="2:2" ht="13">
      <c r="B1907" s="13"/>
    </row>
    <row r="1908" spans="2:2" ht="13">
      <c r="B1908" s="13"/>
    </row>
    <row r="1909" spans="2:2" ht="13">
      <c r="B1909" s="13"/>
    </row>
    <row r="1910" spans="2:2" ht="13">
      <c r="B1910" s="13"/>
    </row>
    <row r="1911" spans="2:2" ht="13">
      <c r="B1911" s="13"/>
    </row>
    <row r="1912" spans="2:2" ht="13">
      <c r="B1912" s="13"/>
    </row>
    <row r="1913" spans="2:2" ht="13">
      <c r="B1913" s="13"/>
    </row>
    <row r="1914" spans="2:2" ht="13">
      <c r="B1914" s="13"/>
    </row>
    <row r="1915" spans="2:2" ht="13">
      <c r="B1915" s="13"/>
    </row>
    <row r="1916" spans="2:2" ht="13">
      <c r="B1916" s="13"/>
    </row>
    <row r="1917" spans="2:2" ht="13">
      <c r="B1917" s="13"/>
    </row>
    <row r="1918" spans="2:2" ht="13">
      <c r="B1918" s="13"/>
    </row>
    <row r="1919" spans="2:2" ht="13">
      <c r="B1919" s="13"/>
    </row>
    <row r="1920" spans="2:2" ht="13">
      <c r="B1920" s="13"/>
    </row>
    <row r="1921" spans="2:2" ht="13">
      <c r="B1921" s="13"/>
    </row>
    <row r="1922" spans="2:2" ht="13">
      <c r="B1922" s="13"/>
    </row>
    <row r="1923" spans="2:2" ht="13">
      <c r="B1923" s="13"/>
    </row>
    <row r="1924" spans="2:2" ht="13">
      <c r="B1924" s="13"/>
    </row>
    <row r="1925" spans="2:2" ht="13">
      <c r="B1925" s="13"/>
    </row>
    <row r="1926" spans="2:2" ht="13">
      <c r="B1926" s="13"/>
    </row>
    <row r="1927" spans="2:2" ht="13">
      <c r="B1927" s="13"/>
    </row>
    <row r="1928" spans="2:2" ht="13">
      <c r="B1928" s="13"/>
    </row>
    <row r="1929" spans="2:2" ht="13">
      <c r="B1929" s="13"/>
    </row>
    <row r="1930" spans="2:2" ht="13">
      <c r="B1930" s="13"/>
    </row>
    <row r="1931" spans="2:2" ht="13">
      <c r="B1931" s="13"/>
    </row>
    <row r="1932" spans="2:2" ht="13">
      <c r="B1932" s="13"/>
    </row>
    <row r="1933" spans="2:2" ht="13">
      <c r="B1933" s="13"/>
    </row>
    <row r="1934" spans="2:2" ht="13">
      <c r="B1934" s="13"/>
    </row>
    <row r="1935" spans="2:2" ht="13">
      <c r="B1935" s="13"/>
    </row>
    <row r="1936" spans="2:2" ht="13">
      <c r="B1936" s="13"/>
    </row>
    <row r="1937" spans="2:2" ht="13">
      <c r="B1937" s="13"/>
    </row>
    <row r="1938" spans="2:2" ht="13">
      <c r="B1938" s="13"/>
    </row>
    <row r="1939" spans="2:2" ht="13">
      <c r="B1939" s="13"/>
    </row>
    <row r="1940" spans="2:2" ht="13">
      <c r="B1940" s="13"/>
    </row>
    <row r="1941" spans="2:2" ht="13">
      <c r="B1941" s="13"/>
    </row>
    <row r="1942" spans="2:2" ht="13">
      <c r="B1942" s="13"/>
    </row>
    <row r="1943" spans="2:2" ht="13">
      <c r="B1943" s="13"/>
    </row>
    <row r="1944" spans="2:2" ht="13">
      <c r="B1944" s="13"/>
    </row>
    <row r="1945" spans="2:2" ht="13">
      <c r="B1945" s="13"/>
    </row>
    <row r="1946" spans="2:2" ht="13">
      <c r="B1946" s="13"/>
    </row>
    <row r="1947" spans="2:2" ht="13">
      <c r="B1947" s="13"/>
    </row>
    <row r="1948" spans="2:2" ht="13">
      <c r="B1948" s="13"/>
    </row>
    <row r="1949" spans="2:2" ht="13">
      <c r="B1949" s="13"/>
    </row>
    <row r="1950" spans="2:2" ht="13">
      <c r="B1950" s="13"/>
    </row>
    <row r="1951" spans="2:2" ht="13">
      <c r="B1951" s="13"/>
    </row>
    <row r="1952" spans="2:2" ht="13">
      <c r="B1952" s="13"/>
    </row>
    <row r="1953" spans="2:2" ht="13">
      <c r="B1953" s="13"/>
    </row>
    <row r="1954" spans="2:2" ht="13">
      <c r="B1954" s="13"/>
    </row>
    <row r="1955" spans="2:2" ht="13">
      <c r="B1955" s="13"/>
    </row>
    <row r="1956" spans="2:2" ht="13">
      <c r="B1956" s="13"/>
    </row>
    <row r="1957" spans="2:2" ht="13">
      <c r="B1957" s="13"/>
    </row>
    <row r="1958" spans="2:2" ht="13">
      <c r="B1958" s="13"/>
    </row>
    <row r="1959" spans="2:2" ht="13">
      <c r="B1959" s="13"/>
    </row>
    <row r="1960" spans="2:2" ht="13">
      <c r="B1960" s="13"/>
    </row>
    <row r="1961" spans="2:2" ht="13">
      <c r="B1961" s="13"/>
    </row>
    <row r="1962" spans="2:2" ht="13">
      <c r="B1962" s="13"/>
    </row>
    <row r="1963" spans="2:2" ht="13">
      <c r="B1963" s="13"/>
    </row>
    <row r="1964" spans="2:2" ht="13">
      <c r="B1964" s="13"/>
    </row>
    <row r="1965" spans="2:2" ht="13">
      <c r="B1965" s="13"/>
    </row>
    <row r="1966" spans="2:2" ht="13">
      <c r="B1966" s="13"/>
    </row>
    <row r="1967" spans="2:2" ht="13">
      <c r="B1967" s="13"/>
    </row>
    <row r="1968" spans="2:2" ht="13">
      <c r="B1968" s="13"/>
    </row>
    <row r="1969" spans="2:2" ht="13">
      <c r="B1969" s="13"/>
    </row>
    <row r="1970" spans="2:2" ht="13">
      <c r="B1970" s="13"/>
    </row>
    <row r="1971" spans="2:2" ht="13">
      <c r="B1971" s="13"/>
    </row>
    <row r="1972" spans="2:2" ht="13">
      <c r="B1972" s="13"/>
    </row>
    <row r="1973" spans="2:2" ht="13">
      <c r="B1973" s="13"/>
    </row>
    <row r="1974" spans="2:2" ht="13">
      <c r="B1974" s="13"/>
    </row>
    <row r="1975" spans="2:2" ht="13">
      <c r="B1975" s="13"/>
    </row>
    <row r="1976" spans="2:2" ht="13">
      <c r="B1976" s="13"/>
    </row>
    <row r="1977" spans="2:2" ht="13">
      <c r="B1977" s="13"/>
    </row>
    <row r="1978" spans="2:2" ht="13">
      <c r="B1978" s="13"/>
    </row>
    <row r="1979" spans="2:2" ht="13">
      <c r="B1979" s="13"/>
    </row>
    <row r="1980" spans="2:2" ht="13">
      <c r="B1980" s="13"/>
    </row>
    <row r="1981" spans="2:2" ht="13">
      <c r="B1981" s="13"/>
    </row>
    <row r="1982" spans="2:2" ht="13">
      <c r="B1982" s="13"/>
    </row>
    <row r="1983" spans="2:2" ht="13">
      <c r="B1983" s="13"/>
    </row>
    <row r="1984" spans="2:2" ht="13">
      <c r="B1984" s="13"/>
    </row>
    <row r="1985" spans="2:2" ht="13">
      <c r="B1985" s="13"/>
    </row>
    <row r="1986" spans="2:2" ht="13">
      <c r="B1986" s="13"/>
    </row>
    <row r="1987" spans="2:2" ht="13">
      <c r="B1987" s="13"/>
    </row>
    <row r="1988" spans="2:2" ht="13">
      <c r="B1988" s="13"/>
    </row>
    <row r="1989" spans="2:2" ht="13">
      <c r="B1989" s="13"/>
    </row>
    <row r="1990" spans="2:2" ht="13">
      <c r="B1990" s="13"/>
    </row>
    <row r="1991" spans="2:2" ht="13">
      <c r="B1991" s="13"/>
    </row>
    <row r="1992" spans="2:2" ht="13">
      <c r="B1992" s="13"/>
    </row>
    <row r="1993" spans="2:2" ht="13">
      <c r="B1993" s="13"/>
    </row>
    <row r="1994" spans="2:2" ht="13">
      <c r="B1994" s="13"/>
    </row>
    <row r="1995" spans="2:2" ht="13">
      <c r="B1995" s="13"/>
    </row>
    <row r="1996" spans="2:2" ht="13">
      <c r="B1996" s="13"/>
    </row>
    <row r="1997" spans="2:2" ht="13">
      <c r="B1997" s="13"/>
    </row>
    <row r="1998" spans="2:2" ht="13">
      <c r="B1998" s="13"/>
    </row>
    <row r="1999" spans="2:2" ht="13">
      <c r="B1999" s="13"/>
    </row>
    <row r="2000" spans="2:2" ht="13">
      <c r="B2000" s="13"/>
    </row>
    <row r="2001" spans="2:2" ht="13">
      <c r="B2001" s="13"/>
    </row>
    <row r="2002" spans="2:2" ht="13">
      <c r="B2002" s="13"/>
    </row>
    <row r="2003" spans="2:2" ht="13">
      <c r="B2003" s="13"/>
    </row>
    <row r="2004" spans="2:2" ht="13">
      <c r="B2004" s="13"/>
    </row>
    <row r="2005" spans="2:2" ht="13">
      <c r="B2005" s="13"/>
    </row>
    <row r="2006" spans="2:2" ht="13">
      <c r="B2006" s="13"/>
    </row>
    <row r="2007" spans="2:2" ht="13">
      <c r="B2007" s="13"/>
    </row>
    <row r="2008" spans="2:2" ht="13">
      <c r="B2008" s="13"/>
    </row>
    <row r="2009" spans="2:2" ht="13">
      <c r="B2009" s="13"/>
    </row>
    <row r="2010" spans="2:2" ht="13">
      <c r="B2010" s="13"/>
    </row>
    <row r="2011" spans="2:2" ht="13">
      <c r="B2011" s="13"/>
    </row>
    <row r="2012" spans="2:2" ht="13">
      <c r="B2012" s="13"/>
    </row>
    <row r="2013" spans="2:2" ht="13">
      <c r="B2013" s="13"/>
    </row>
    <row r="2014" spans="2:2" ht="13">
      <c r="B2014" s="13"/>
    </row>
    <row r="2015" spans="2:2" ht="13">
      <c r="B2015" s="13"/>
    </row>
    <row r="2016" spans="2:2" ht="13">
      <c r="B2016" s="13"/>
    </row>
    <row r="2017" spans="2:2" ht="13">
      <c r="B2017" s="13"/>
    </row>
    <row r="2018" spans="2:2" ht="13">
      <c r="B2018" s="13"/>
    </row>
    <row r="2019" spans="2:2" ht="13">
      <c r="B2019" s="13"/>
    </row>
    <row r="2020" spans="2:2" ht="13">
      <c r="B2020" s="13"/>
    </row>
    <row r="2021" spans="2:2" ht="13">
      <c r="B2021" s="13"/>
    </row>
    <row r="2022" spans="2:2" ht="13">
      <c r="B2022" s="13"/>
    </row>
    <row r="2023" spans="2:2" ht="13">
      <c r="B2023" s="13"/>
    </row>
    <row r="2024" spans="2:2" ht="13">
      <c r="B2024" s="13"/>
    </row>
    <row r="2025" spans="2:2" ht="13">
      <c r="B2025" s="13"/>
    </row>
    <row r="2026" spans="2:2" ht="13">
      <c r="B2026" s="13"/>
    </row>
    <row r="2027" spans="2:2" ht="13">
      <c r="B2027" s="13"/>
    </row>
    <row r="2028" spans="2:2" ht="13">
      <c r="B2028" s="13"/>
    </row>
    <row r="2029" spans="2:2" ht="13">
      <c r="B2029" s="13"/>
    </row>
    <row r="2030" spans="2:2" ht="13">
      <c r="B2030" s="13"/>
    </row>
    <row r="2031" spans="2:2" ht="13">
      <c r="B2031" s="13"/>
    </row>
    <row r="2032" spans="2:2" ht="13">
      <c r="B2032" s="13"/>
    </row>
    <row r="2033" spans="2:2" ht="13">
      <c r="B2033" s="13"/>
    </row>
    <row r="2034" spans="2:2" ht="13">
      <c r="B2034" s="13"/>
    </row>
    <row r="2035" spans="2:2" ht="13">
      <c r="B2035" s="13"/>
    </row>
    <row r="2036" spans="2:2" ht="13">
      <c r="B2036" s="13"/>
    </row>
    <row r="2037" spans="2:2" ht="13">
      <c r="B2037" s="13"/>
    </row>
    <row r="2038" spans="2:2" ht="13">
      <c r="B2038" s="13"/>
    </row>
    <row r="2039" spans="2:2" ht="13">
      <c r="B2039" s="13"/>
    </row>
    <row r="2040" spans="2:2" ht="13">
      <c r="B2040" s="13"/>
    </row>
    <row r="2041" spans="2:2" ht="13">
      <c r="B2041" s="13"/>
    </row>
    <row r="2042" spans="2:2" ht="13">
      <c r="B2042" s="13"/>
    </row>
    <row r="2043" spans="2:2" ht="13">
      <c r="B2043" s="13"/>
    </row>
    <row r="2044" spans="2:2" ht="13">
      <c r="B2044" s="13"/>
    </row>
    <row r="2045" spans="2:2" ht="13">
      <c r="B2045" s="13"/>
    </row>
    <row r="2046" spans="2:2" ht="13">
      <c r="B2046" s="13"/>
    </row>
    <row r="2047" spans="2:2" ht="13">
      <c r="B2047" s="13"/>
    </row>
    <row r="2048" spans="2:2" ht="13">
      <c r="B2048" s="13"/>
    </row>
    <row r="2049" spans="2:2" ht="13">
      <c r="B2049" s="13"/>
    </row>
    <row r="2050" spans="2:2" ht="13">
      <c r="B2050" s="13"/>
    </row>
    <row r="2051" spans="2:2" ht="13">
      <c r="B2051" s="13"/>
    </row>
    <row r="2052" spans="2:2" ht="13">
      <c r="B2052" s="13"/>
    </row>
    <row r="2053" spans="2:2" ht="13">
      <c r="B2053" s="13"/>
    </row>
    <row r="2054" spans="2:2" ht="13">
      <c r="B2054" s="13"/>
    </row>
    <row r="2055" spans="2:2" ht="13">
      <c r="B2055" s="13"/>
    </row>
    <row r="2056" spans="2:2" ht="13">
      <c r="B2056" s="13"/>
    </row>
    <row r="2057" spans="2:2" ht="13">
      <c r="B2057" s="13"/>
    </row>
    <row r="2058" spans="2:2" ht="13">
      <c r="B2058" s="13"/>
    </row>
    <row r="2059" spans="2:2" ht="13">
      <c r="B2059" s="13"/>
    </row>
    <row r="2060" spans="2:2" ht="13">
      <c r="B2060" s="13"/>
    </row>
    <row r="2061" spans="2:2" ht="13">
      <c r="B2061" s="13"/>
    </row>
    <row r="2062" spans="2:2" ht="13">
      <c r="B2062" s="13"/>
    </row>
    <row r="2063" spans="2:2" ht="13">
      <c r="B2063" s="13"/>
    </row>
    <row r="2064" spans="2:2" ht="13">
      <c r="B2064" s="13"/>
    </row>
    <row r="2065" spans="2:2" ht="13">
      <c r="B2065" s="13"/>
    </row>
    <row r="2066" spans="2:2" ht="13">
      <c r="B2066" s="13"/>
    </row>
    <row r="2067" spans="2:2" ht="13">
      <c r="B2067" s="13"/>
    </row>
    <row r="2068" spans="2:2" ht="13">
      <c r="B2068" s="13"/>
    </row>
    <row r="2069" spans="2:2" ht="13">
      <c r="B2069" s="13"/>
    </row>
    <row r="2070" spans="2:2" ht="13">
      <c r="B2070" s="13"/>
    </row>
    <row r="2071" spans="2:2" ht="13">
      <c r="B2071" s="13"/>
    </row>
    <row r="2072" spans="2:2" ht="13">
      <c r="B2072" s="13"/>
    </row>
    <row r="2073" spans="2:2" ht="13">
      <c r="B2073" s="13"/>
    </row>
    <row r="2074" spans="2:2" ht="13">
      <c r="B2074" s="13"/>
    </row>
    <row r="2075" spans="2:2" ht="13">
      <c r="B2075" s="13"/>
    </row>
    <row r="2076" spans="2:2" ht="13">
      <c r="B2076" s="13"/>
    </row>
    <row r="2077" spans="2:2" ht="13">
      <c r="B2077" s="13"/>
    </row>
    <row r="2078" spans="2:2" ht="13">
      <c r="B2078" s="13"/>
    </row>
    <row r="2079" spans="2:2" ht="13">
      <c r="B2079" s="13"/>
    </row>
    <row r="2080" spans="2:2" ht="13">
      <c r="B2080" s="13"/>
    </row>
    <row r="2081" spans="2:2" ht="13">
      <c r="B2081" s="13"/>
    </row>
    <row r="2082" spans="2:2" ht="13">
      <c r="B2082" s="13"/>
    </row>
    <row r="2083" spans="2:2" ht="13">
      <c r="B2083" s="13"/>
    </row>
    <row r="2084" spans="2:2" ht="13">
      <c r="B2084" s="13"/>
    </row>
    <row r="2085" spans="2:2" ht="13">
      <c r="B2085" s="13"/>
    </row>
    <row r="2086" spans="2:2" ht="13">
      <c r="B2086" s="13"/>
    </row>
    <row r="2087" spans="2:2" ht="13">
      <c r="B2087" s="13"/>
    </row>
    <row r="2088" spans="2:2" ht="13">
      <c r="B2088" s="13"/>
    </row>
    <row r="2089" spans="2:2" ht="13">
      <c r="B2089" s="13"/>
    </row>
    <row r="2090" spans="2:2" ht="13">
      <c r="B2090" s="13"/>
    </row>
    <row r="2091" spans="2:2" ht="13">
      <c r="B2091" s="13"/>
    </row>
    <row r="2092" spans="2:2" ht="13">
      <c r="B2092" s="13"/>
    </row>
    <row r="2093" spans="2:2" ht="13">
      <c r="B2093" s="13"/>
    </row>
    <row r="2094" spans="2:2" ht="13">
      <c r="B2094" s="13"/>
    </row>
    <row r="2095" spans="2:2" ht="13">
      <c r="B2095" s="13"/>
    </row>
    <row r="2096" spans="2:2" ht="13">
      <c r="B2096" s="13"/>
    </row>
    <row r="2097" spans="2:2" ht="13">
      <c r="B2097" s="13"/>
    </row>
    <row r="2098" spans="2:2" ht="13">
      <c r="B2098" s="13"/>
    </row>
    <row r="2099" spans="2:2" ht="13">
      <c r="B2099" s="13"/>
    </row>
    <row r="2100" spans="2:2" ht="13">
      <c r="B2100" s="13"/>
    </row>
    <row r="2101" spans="2:2" ht="13">
      <c r="B2101" s="13"/>
    </row>
    <row r="2102" spans="2:2" ht="13">
      <c r="B2102" s="13"/>
    </row>
    <row r="2103" spans="2:2" ht="13">
      <c r="B2103" s="13"/>
    </row>
    <row r="2104" spans="2:2" ht="13">
      <c r="B2104" s="13"/>
    </row>
    <row r="2105" spans="2:2" ht="13">
      <c r="B2105" s="13"/>
    </row>
    <row r="2106" spans="2:2" ht="13">
      <c r="B2106" s="13"/>
    </row>
    <row r="2107" spans="2:2" ht="13">
      <c r="B2107" s="13"/>
    </row>
    <row r="2108" spans="2:2" ht="13">
      <c r="B2108" s="13"/>
    </row>
    <row r="2109" spans="2:2" ht="13">
      <c r="B2109" s="13"/>
    </row>
    <row r="2110" spans="2:2" ht="13">
      <c r="B2110" s="13"/>
    </row>
    <row r="2111" spans="2:2" ht="13">
      <c r="B2111" s="13"/>
    </row>
    <row r="2112" spans="2:2" ht="13">
      <c r="B2112" s="13"/>
    </row>
    <row r="2113" spans="2:2" ht="13">
      <c r="B2113" s="13"/>
    </row>
    <row r="2114" spans="2:2" ht="13">
      <c r="B2114" s="13"/>
    </row>
    <row r="2115" spans="2:2" ht="13">
      <c r="B2115" s="13"/>
    </row>
    <row r="2116" spans="2:2" ht="13">
      <c r="B2116" s="13"/>
    </row>
    <row r="2117" spans="2:2" ht="13">
      <c r="B2117" s="13"/>
    </row>
    <row r="2118" spans="2:2" ht="13">
      <c r="B2118" s="13"/>
    </row>
    <row r="2119" spans="2:2" ht="13">
      <c r="B2119" s="13"/>
    </row>
    <row r="2120" spans="2:2" ht="13">
      <c r="B2120" s="13"/>
    </row>
    <row r="2121" spans="2:2" ht="13">
      <c r="B2121" s="13"/>
    </row>
    <row r="2122" spans="2:2" ht="13">
      <c r="B2122" s="13"/>
    </row>
    <row r="2123" spans="2:2" ht="13">
      <c r="B2123" s="13"/>
    </row>
    <row r="2124" spans="2:2" ht="13">
      <c r="B2124" s="13"/>
    </row>
    <row r="2125" spans="2:2" ht="13">
      <c r="B2125" s="13"/>
    </row>
    <row r="2126" spans="2:2" ht="13">
      <c r="B2126" s="13"/>
    </row>
    <row r="2127" spans="2:2" ht="13">
      <c r="B2127" s="13"/>
    </row>
    <row r="2128" spans="2:2" ht="13">
      <c r="B2128" s="13"/>
    </row>
    <row r="2129" spans="2:2" ht="13">
      <c r="B2129" s="13"/>
    </row>
    <row r="2130" spans="2:2" ht="13">
      <c r="B2130" s="13"/>
    </row>
    <row r="2131" spans="2:2" ht="13">
      <c r="B2131" s="13"/>
    </row>
    <row r="2132" spans="2:2" ht="13">
      <c r="B2132" s="13"/>
    </row>
    <row r="2133" spans="2:2" ht="13">
      <c r="B2133" s="13"/>
    </row>
    <row r="2134" spans="2:2" ht="13">
      <c r="B2134" s="13"/>
    </row>
    <row r="2135" spans="2:2" ht="13">
      <c r="B2135" s="13"/>
    </row>
    <row r="2136" spans="2:2" ht="13">
      <c r="B2136" s="13"/>
    </row>
    <row r="2137" spans="2:2" ht="13">
      <c r="B2137" s="13"/>
    </row>
    <row r="2138" spans="2:2" ht="13">
      <c r="B2138" s="13"/>
    </row>
    <row r="2139" spans="2:2" ht="13">
      <c r="B2139" s="13"/>
    </row>
    <row r="2140" spans="2:2" ht="13">
      <c r="B2140" s="13"/>
    </row>
    <row r="2141" spans="2:2" ht="13">
      <c r="B2141" s="13"/>
    </row>
    <row r="2142" spans="2:2" ht="13">
      <c r="B2142" s="13"/>
    </row>
    <row r="2143" spans="2:2" ht="13">
      <c r="B2143" s="13"/>
    </row>
    <row r="2144" spans="2:2" ht="13">
      <c r="B2144" s="13"/>
    </row>
    <row r="2145" spans="2:2" ht="13">
      <c r="B2145" s="13"/>
    </row>
    <row r="2146" spans="2:2" ht="13">
      <c r="B2146" s="13"/>
    </row>
    <row r="2147" spans="2:2" ht="13">
      <c r="B2147" s="13"/>
    </row>
    <row r="2148" spans="2:2" ht="13">
      <c r="B2148" s="13"/>
    </row>
    <row r="2149" spans="2:2" ht="13">
      <c r="B2149" s="13"/>
    </row>
    <row r="2150" spans="2:2" ht="13">
      <c r="B2150" s="13"/>
    </row>
    <row r="2151" spans="2:2" ht="13">
      <c r="B2151" s="13"/>
    </row>
    <row r="2152" spans="2:2" ht="13">
      <c r="B2152" s="13"/>
    </row>
    <row r="2153" spans="2:2" ht="13">
      <c r="B2153" s="13"/>
    </row>
    <row r="2154" spans="2:2" ht="13">
      <c r="B2154" s="13"/>
    </row>
    <row r="2155" spans="2:2" ht="13">
      <c r="B2155" s="13"/>
    </row>
    <row r="2156" spans="2:2" ht="13">
      <c r="B2156" s="13"/>
    </row>
    <row r="2157" spans="2:2" ht="13">
      <c r="B2157" s="13"/>
    </row>
    <row r="2158" spans="2:2" ht="13">
      <c r="B2158" s="13"/>
    </row>
    <row r="2159" spans="2:2" ht="13">
      <c r="B2159" s="13"/>
    </row>
    <row r="2160" spans="2:2" ht="13">
      <c r="B2160" s="13"/>
    </row>
    <row r="2161" spans="2:2" ht="13">
      <c r="B2161" s="13"/>
    </row>
    <row r="2162" spans="2:2" ht="13">
      <c r="B2162" s="13"/>
    </row>
    <row r="2163" spans="2:2" ht="13">
      <c r="B2163" s="13"/>
    </row>
    <row r="2164" spans="2:2" ht="13">
      <c r="B2164" s="13"/>
    </row>
    <row r="2165" spans="2:2" ht="13">
      <c r="B2165" s="13"/>
    </row>
    <row r="2166" spans="2:2" ht="13">
      <c r="B2166" s="13"/>
    </row>
    <row r="2167" spans="2:2" ht="13">
      <c r="B2167" s="13"/>
    </row>
    <row r="2168" spans="2:2" ht="13">
      <c r="B2168" s="13"/>
    </row>
    <row r="2169" spans="2:2" ht="13">
      <c r="B2169" s="13"/>
    </row>
    <row r="2170" spans="2:2" ht="13">
      <c r="B2170" s="13"/>
    </row>
    <row r="2171" spans="2:2" ht="13">
      <c r="B2171" s="13"/>
    </row>
    <row r="2172" spans="2:2" ht="13">
      <c r="B2172" s="13"/>
    </row>
    <row r="2173" spans="2:2" ht="13">
      <c r="B2173" s="13"/>
    </row>
    <row r="2174" spans="2:2" ht="13">
      <c r="B2174" s="13"/>
    </row>
    <row r="2175" spans="2:2" ht="13">
      <c r="B2175" s="13"/>
    </row>
    <row r="2176" spans="2:2" ht="13">
      <c r="B2176" s="13"/>
    </row>
    <row r="2177" spans="2:2" ht="13">
      <c r="B2177" s="13"/>
    </row>
    <row r="2178" spans="2:2" ht="13">
      <c r="B2178" s="13"/>
    </row>
    <row r="2179" spans="2:2" ht="13">
      <c r="B2179" s="13"/>
    </row>
    <row r="2180" spans="2:2" ht="13">
      <c r="B2180" s="13"/>
    </row>
    <row r="2181" spans="2:2" ht="13">
      <c r="B2181" s="13"/>
    </row>
    <row r="2182" spans="2:2" ht="13">
      <c r="B2182" s="13"/>
    </row>
    <row r="2183" spans="2:2" ht="13">
      <c r="B2183" s="13"/>
    </row>
    <row r="2184" spans="2:2" ht="13">
      <c r="B2184" s="13"/>
    </row>
    <row r="2185" spans="2:2" ht="13">
      <c r="B2185" s="13"/>
    </row>
    <row r="2186" spans="2:2" ht="13">
      <c r="B2186" s="13"/>
    </row>
    <row r="2187" spans="2:2" ht="13">
      <c r="B2187" s="13"/>
    </row>
    <row r="2188" spans="2:2" ht="13">
      <c r="B2188" s="13"/>
    </row>
    <row r="2189" spans="2:2" ht="13">
      <c r="B2189" s="13"/>
    </row>
    <row r="2190" spans="2:2" ht="13">
      <c r="B2190" s="13"/>
    </row>
    <row r="2191" spans="2:2" ht="13">
      <c r="B2191" s="13"/>
    </row>
    <row r="2192" spans="2:2" ht="13">
      <c r="B2192" s="13"/>
    </row>
    <row r="2193" spans="2:2" ht="13">
      <c r="B2193" s="13"/>
    </row>
    <row r="2194" spans="2:2" ht="13">
      <c r="B2194" s="13"/>
    </row>
    <row r="2195" spans="2:2" ht="13">
      <c r="B2195" s="13"/>
    </row>
    <row r="2196" spans="2:2" ht="13">
      <c r="B2196" s="13"/>
    </row>
    <row r="2197" spans="2:2" ht="13">
      <c r="B2197" s="13"/>
    </row>
    <row r="2198" spans="2:2" ht="13">
      <c r="B2198" s="13"/>
    </row>
    <row r="2199" spans="2:2" ht="13">
      <c r="B2199" s="13"/>
    </row>
    <row r="2200" spans="2:2" ht="13">
      <c r="B2200" s="13"/>
    </row>
    <row r="2201" spans="2:2" ht="13">
      <c r="B2201" s="13"/>
    </row>
    <row r="2202" spans="2:2" ht="13">
      <c r="B2202" s="13"/>
    </row>
    <row r="2203" spans="2:2" ht="13">
      <c r="B2203" s="13"/>
    </row>
    <row r="2204" spans="2:2" ht="13">
      <c r="B2204" s="13"/>
    </row>
    <row r="2205" spans="2:2" ht="13">
      <c r="B2205" s="13"/>
    </row>
    <row r="2206" spans="2:2" ht="13">
      <c r="B2206" s="13"/>
    </row>
    <row r="2207" spans="2:2" ht="13">
      <c r="B2207" s="13"/>
    </row>
    <row r="2208" spans="2:2" ht="13">
      <c r="B2208" s="13"/>
    </row>
    <row r="2209" spans="2:2" ht="13">
      <c r="B2209" s="13"/>
    </row>
    <row r="2210" spans="2:2" ht="13">
      <c r="B2210" s="13"/>
    </row>
    <row r="2211" spans="2:2" ht="13">
      <c r="B2211" s="13"/>
    </row>
    <row r="2212" spans="2:2" ht="13">
      <c r="B2212" s="13"/>
    </row>
    <row r="2213" spans="2:2" ht="13">
      <c r="B2213" s="13"/>
    </row>
    <row r="2214" spans="2:2" ht="13">
      <c r="B2214" s="13"/>
    </row>
    <row r="2215" spans="2:2" ht="13">
      <c r="B2215" s="13"/>
    </row>
    <row r="2216" spans="2:2" ht="13">
      <c r="B2216" s="13"/>
    </row>
    <row r="2217" spans="2:2" ht="13">
      <c r="B2217" s="13"/>
    </row>
    <row r="2218" spans="2:2" ht="13">
      <c r="B2218" s="13"/>
    </row>
    <row r="2219" spans="2:2" ht="13">
      <c r="B2219" s="13"/>
    </row>
    <row r="2220" spans="2:2" ht="13">
      <c r="B2220" s="13"/>
    </row>
    <row r="2221" spans="2:2" ht="13">
      <c r="B2221" s="13"/>
    </row>
    <row r="2222" spans="2:2" ht="13">
      <c r="B2222" s="13"/>
    </row>
    <row r="2223" spans="2:2" ht="13">
      <c r="B2223" s="13"/>
    </row>
    <row r="2224" spans="2:2" ht="13">
      <c r="B2224" s="13"/>
    </row>
    <row r="2225" spans="2:2" ht="13">
      <c r="B2225" s="13"/>
    </row>
    <row r="2226" spans="2:2" ht="13">
      <c r="B2226" s="13"/>
    </row>
    <row r="2227" spans="2:2" ht="13">
      <c r="B2227" s="13"/>
    </row>
    <row r="2228" spans="2:2" ht="13">
      <c r="B2228" s="13"/>
    </row>
    <row r="2229" spans="2:2" ht="13">
      <c r="B2229" s="13"/>
    </row>
    <row r="2230" spans="2:2" ht="13">
      <c r="B2230" s="13"/>
    </row>
    <row r="2231" spans="2:2" ht="13">
      <c r="B2231" s="13"/>
    </row>
    <row r="2232" spans="2:2" ht="13">
      <c r="B2232" s="13"/>
    </row>
    <row r="2233" spans="2:2" ht="13">
      <c r="B2233" s="13"/>
    </row>
    <row r="2234" spans="2:2" ht="13">
      <c r="B2234" s="13"/>
    </row>
    <row r="2235" spans="2:2" ht="13">
      <c r="B2235" s="13"/>
    </row>
    <row r="2236" spans="2:2" ht="13">
      <c r="B2236" s="13"/>
    </row>
    <row r="2237" spans="2:2" ht="13">
      <c r="B2237" s="13"/>
    </row>
    <row r="2238" spans="2:2" ht="13">
      <c r="B2238" s="13"/>
    </row>
    <row r="2239" spans="2:2" ht="13">
      <c r="B2239" s="13"/>
    </row>
    <row r="2240" spans="2:2" ht="13">
      <c r="B2240" s="13"/>
    </row>
    <row r="2241" spans="2:2" ht="13">
      <c r="B2241" s="13"/>
    </row>
    <row r="2242" spans="2:2" ht="13">
      <c r="B2242" s="13"/>
    </row>
    <row r="2243" spans="2:2" ht="13">
      <c r="B2243" s="13"/>
    </row>
    <row r="2244" spans="2:2" ht="13">
      <c r="B2244" s="13"/>
    </row>
    <row r="2245" spans="2:2" ht="13">
      <c r="B2245" s="13"/>
    </row>
    <row r="2246" spans="2:2" ht="13">
      <c r="B2246" s="13"/>
    </row>
    <row r="2247" spans="2:2" ht="13">
      <c r="B2247" s="13"/>
    </row>
    <row r="2248" spans="2:2" ht="13">
      <c r="B2248" s="13"/>
    </row>
    <row r="2249" spans="2:2" ht="13">
      <c r="B2249" s="13"/>
    </row>
    <row r="2250" spans="2:2" ht="13">
      <c r="B2250" s="13"/>
    </row>
    <row r="2251" spans="2:2" ht="13">
      <c r="B2251" s="13"/>
    </row>
    <row r="2252" spans="2:2" ht="13">
      <c r="B2252" s="13"/>
    </row>
    <row r="2253" spans="2:2" ht="13">
      <c r="B2253" s="13"/>
    </row>
    <row r="2254" spans="2:2" ht="13">
      <c r="B2254" s="13"/>
    </row>
    <row r="2255" spans="2:2" ht="13">
      <c r="B2255" s="13"/>
    </row>
    <row r="2256" spans="2:2" ht="13">
      <c r="B2256" s="13"/>
    </row>
    <row r="2257" spans="2:2" ht="13">
      <c r="B2257" s="13"/>
    </row>
    <row r="2258" spans="2:2" ht="13">
      <c r="B2258" s="13"/>
    </row>
    <row r="2259" spans="2:2" ht="13">
      <c r="B2259" s="13"/>
    </row>
    <row r="2260" spans="2:2" ht="13">
      <c r="B2260" s="13"/>
    </row>
    <row r="2261" spans="2:2" ht="13">
      <c r="B2261" s="13"/>
    </row>
    <row r="2262" spans="2:2" ht="13">
      <c r="B2262" s="13"/>
    </row>
    <row r="2263" spans="2:2" ht="13">
      <c r="B2263" s="13"/>
    </row>
    <row r="2264" spans="2:2" ht="13">
      <c r="B2264" s="13"/>
    </row>
    <row r="2265" spans="2:2" ht="13">
      <c r="B2265" s="13"/>
    </row>
    <row r="2266" spans="2:2" ht="13">
      <c r="B2266" s="13"/>
    </row>
    <row r="2267" spans="2:2" ht="13">
      <c r="B2267" s="13"/>
    </row>
    <row r="2268" spans="2:2" ht="13">
      <c r="B2268" s="13"/>
    </row>
    <row r="2269" spans="2:2" ht="13">
      <c r="B2269" s="13"/>
    </row>
    <row r="2270" spans="2:2" ht="13">
      <c r="B2270" s="13"/>
    </row>
    <row r="2271" spans="2:2" ht="13">
      <c r="B2271" s="13"/>
    </row>
    <row r="2272" spans="2:2" ht="13">
      <c r="B2272" s="13"/>
    </row>
    <row r="2273" spans="2:2" ht="13">
      <c r="B2273" s="13"/>
    </row>
    <row r="2274" spans="2:2" ht="13">
      <c r="B2274" s="13"/>
    </row>
    <row r="2275" spans="2:2" ht="13">
      <c r="B2275" s="13"/>
    </row>
    <row r="2276" spans="2:2" ht="13">
      <c r="B2276" s="13"/>
    </row>
    <row r="2277" spans="2:2" ht="13">
      <c r="B2277" s="13"/>
    </row>
    <row r="2278" spans="2:2" ht="13">
      <c r="B2278" s="13"/>
    </row>
    <row r="2279" spans="2:2" ht="13">
      <c r="B2279" s="13"/>
    </row>
    <row r="2280" spans="2:2" ht="13">
      <c r="B2280" s="13"/>
    </row>
    <row r="2281" spans="2:2" ht="13">
      <c r="B2281" s="13"/>
    </row>
    <row r="2282" spans="2:2" ht="13">
      <c r="B2282" s="13"/>
    </row>
    <row r="2283" spans="2:2" ht="13">
      <c r="B2283" s="13"/>
    </row>
    <row r="2284" spans="2:2" ht="13">
      <c r="B2284" s="13"/>
    </row>
    <row r="2285" spans="2:2" ht="13">
      <c r="B2285" s="13"/>
    </row>
    <row r="2286" spans="2:2" ht="13">
      <c r="B2286" s="13"/>
    </row>
    <row r="2287" spans="2:2" ht="13">
      <c r="B2287" s="13"/>
    </row>
    <row r="2288" spans="2:2" ht="13">
      <c r="B2288" s="13"/>
    </row>
    <row r="2289" spans="2:2" ht="13">
      <c r="B2289" s="13"/>
    </row>
    <row r="2290" spans="2:2" ht="13">
      <c r="B2290" s="13"/>
    </row>
    <row r="2291" spans="2:2" ht="13">
      <c r="B2291" s="13"/>
    </row>
    <row r="2292" spans="2:2" ht="13">
      <c r="B2292" s="13"/>
    </row>
    <row r="2293" spans="2:2" ht="13">
      <c r="B2293" s="13"/>
    </row>
    <row r="2294" spans="2:2" ht="13">
      <c r="B2294" s="13"/>
    </row>
    <row r="2295" spans="2:2" ht="13">
      <c r="B2295" s="13"/>
    </row>
    <row r="2296" spans="2:2" ht="13">
      <c r="B2296" s="13"/>
    </row>
    <row r="2297" spans="2:2" ht="13">
      <c r="B2297" s="13"/>
    </row>
    <row r="2298" spans="2:2" ht="13">
      <c r="B2298" s="13"/>
    </row>
    <row r="2299" spans="2:2" ht="13">
      <c r="B2299" s="13"/>
    </row>
    <row r="2300" spans="2:2" ht="13">
      <c r="B2300" s="13"/>
    </row>
    <row r="2301" spans="2:2" ht="13">
      <c r="B2301" s="13"/>
    </row>
    <row r="2302" spans="2:2" ht="13">
      <c r="B2302" s="13"/>
    </row>
    <row r="2303" spans="2:2" ht="13">
      <c r="B2303" s="13"/>
    </row>
    <row r="2304" spans="2:2" ht="13">
      <c r="B2304" s="13"/>
    </row>
    <row r="2305" spans="2:2" ht="13">
      <c r="B2305" s="13"/>
    </row>
    <row r="2306" spans="2:2" ht="13">
      <c r="B2306" s="13"/>
    </row>
    <row r="2307" spans="2:2" ht="13">
      <c r="B2307" s="13"/>
    </row>
    <row r="2308" spans="2:2" ht="13">
      <c r="B2308" s="13"/>
    </row>
    <row r="2309" spans="2:2" ht="13">
      <c r="B2309" s="13"/>
    </row>
    <row r="2310" spans="2:2" ht="13">
      <c r="B2310" s="13"/>
    </row>
    <row r="2311" spans="2:2" ht="13">
      <c r="B2311" s="13"/>
    </row>
    <row r="2312" spans="2:2" ht="13">
      <c r="B2312" s="13"/>
    </row>
    <row r="2313" spans="2:2" ht="13">
      <c r="B2313" s="13"/>
    </row>
    <row r="2314" spans="2:2" ht="13">
      <c r="B2314" s="13"/>
    </row>
    <row r="2315" spans="2:2" ht="13">
      <c r="B2315" s="13"/>
    </row>
    <row r="2316" spans="2:2" ht="13">
      <c r="B2316" s="13"/>
    </row>
    <row r="2317" spans="2:2" ht="13">
      <c r="B2317" s="13"/>
    </row>
    <row r="2318" spans="2:2" ht="13">
      <c r="B2318" s="13"/>
    </row>
    <row r="2319" spans="2:2" ht="13">
      <c r="B2319" s="13"/>
    </row>
    <row r="2320" spans="2:2" ht="13">
      <c r="B2320" s="13"/>
    </row>
    <row r="2321" spans="2:2" ht="13">
      <c r="B2321" s="13"/>
    </row>
    <row r="2322" spans="2:2" ht="13">
      <c r="B2322" s="13"/>
    </row>
    <row r="2323" spans="2:2" ht="13">
      <c r="B2323" s="13"/>
    </row>
    <row r="2324" spans="2:2" ht="13">
      <c r="B2324" s="13"/>
    </row>
    <row r="2325" spans="2:2" ht="13">
      <c r="B2325" s="13"/>
    </row>
    <row r="2326" spans="2:2" ht="13">
      <c r="B2326" s="13"/>
    </row>
    <row r="2327" spans="2:2" ht="13">
      <c r="B2327" s="13"/>
    </row>
    <row r="2328" spans="2:2" ht="13">
      <c r="B2328" s="13"/>
    </row>
    <row r="2329" spans="2:2" ht="13">
      <c r="B2329" s="13"/>
    </row>
    <row r="2330" spans="2:2" ht="13">
      <c r="B2330" s="13"/>
    </row>
    <row r="2331" spans="2:2" ht="13">
      <c r="B2331" s="13"/>
    </row>
    <row r="2332" spans="2:2" ht="13">
      <c r="B2332" s="13"/>
    </row>
    <row r="2333" spans="2:2" ht="13">
      <c r="B2333" s="13"/>
    </row>
    <row r="2334" spans="2:2" ht="13">
      <c r="B2334" s="13"/>
    </row>
    <row r="2335" spans="2:2" ht="13">
      <c r="B2335" s="13"/>
    </row>
    <row r="2336" spans="2:2" ht="13">
      <c r="B2336" s="13"/>
    </row>
    <row r="2337" spans="2:2" ht="13">
      <c r="B2337" s="13"/>
    </row>
    <row r="2338" spans="2:2" ht="13">
      <c r="B2338" s="13"/>
    </row>
    <row r="2339" spans="2:2" ht="13">
      <c r="B2339" s="13"/>
    </row>
    <row r="2340" spans="2:2" ht="13">
      <c r="B2340" s="13"/>
    </row>
    <row r="2341" spans="2:2" ht="13">
      <c r="B2341" s="13"/>
    </row>
    <row r="2342" spans="2:2" ht="13">
      <c r="B2342" s="13"/>
    </row>
    <row r="2343" spans="2:2" ht="13">
      <c r="B2343" s="13"/>
    </row>
    <row r="2344" spans="2:2" ht="13">
      <c r="B2344" s="13"/>
    </row>
    <row r="2345" spans="2:2" ht="13">
      <c r="B2345" s="13"/>
    </row>
    <row r="2346" spans="2:2" ht="13">
      <c r="B2346" s="13"/>
    </row>
    <row r="2347" spans="2:2" ht="13">
      <c r="B2347" s="13"/>
    </row>
    <row r="2348" spans="2:2" ht="13">
      <c r="B2348" s="13"/>
    </row>
    <row r="2349" spans="2:2" ht="13">
      <c r="B2349" s="13"/>
    </row>
    <row r="2350" spans="2:2" ht="13">
      <c r="B2350" s="13"/>
    </row>
    <row r="2351" spans="2:2" ht="13">
      <c r="B2351" s="13"/>
    </row>
    <row r="2352" spans="2:2" ht="13">
      <c r="B2352" s="13"/>
    </row>
    <row r="2353" spans="2:2" ht="13">
      <c r="B2353" s="13"/>
    </row>
    <row r="2354" spans="2:2" ht="13">
      <c r="B2354" s="13"/>
    </row>
    <row r="2355" spans="2:2" ht="13">
      <c r="B2355" s="13"/>
    </row>
    <row r="2356" spans="2:2" ht="13">
      <c r="B2356" s="13"/>
    </row>
    <row r="2357" spans="2:2" ht="13">
      <c r="B2357" s="13"/>
    </row>
    <row r="2358" spans="2:2" ht="13">
      <c r="B2358" s="13"/>
    </row>
    <row r="2359" spans="2:2" ht="13">
      <c r="B2359" s="13"/>
    </row>
    <row r="2360" spans="2:2" ht="13">
      <c r="B2360" s="13"/>
    </row>
    <row r="2361" spans="2:2" ht="13">
      <c r="B2361" s="13"/>
    </row>
    <row r="2362" spans="2:2" ht="13">
      <c r="B2362" s="13"/>
    </row>
    <row r="2363" spans="2:2" ht="13">
      <c r="B2363" s="13"/>
    </row>
    <row r="2364" spans="2:2" ht="13">
      <c r="B2364" s="13"/>
    </row>
    <row r="2365" spans="2:2" ht="13">
      <c r="B2365" s="13"/>
    </row>
    <row r="2366" spans="2:2" ht="13">
      <c r="B2366" s="13"/>
    </row>
    <row r="2367" spans="2:2" ht="13">
      <c r="B2367" s="13"/>
    </row>
    <row r="2368" spans="2:2" ht="13">
      <c r="B2368" s="13"/>
    </row>
    <row r="2369" spans="2:2" ht="13">
      <c r="B2369" s="13"/>
    </row>
    <row r="2370" spans="2:2" ht="13">
      <c r="B2370" s="13"/>
    </row>
    <row r="2371" spans="2:2" ht="13">
      <c r="B2371" s="13"/>
    </row>
    <row r="2372" spans="2:2" ht="13">
      <c r="B2372" s="13"/>
    </row>
    <row r="2373" spans="2:2" ht="13">
      <c r="B2373" s="13"/>
    </row>
    <row r="2374" spans="2:2" ht="13">
      <c r="B2374" s="13"/>
    </row>
    <row r="2375" spans="2:2" ht="13">
      <c r="B2375" s="13"/>
    </row>
    <row r="2376" spans="2:2" ht="13">
      <c r="B2376" s="13"/>
    </row>
    <row r="2377" spans="2:2" ht="13">
      <c r="B2377" s="13"/>
    </row>
    <row r="2378" spans="2:2" ht="13">
      <c r="B2378" s="13"/>
    </row>
    <row r="2379" spans="2:2" ht="13">
      <c r="B2379" s="13"/>
    </row>
    <row r="2380" spans="2:2" ht="13">
      <c r="B2380" s="13"/>
    </row>
    <row r="2381" spans="2:2" ht="13">
      <c r="B2381" s="13"/>
    </row>
    <row r="2382" spans="2:2" ht="13">
      <c r="B2382" s="13"/>
    </row>
    <row r="2383" spans="2:2" ht="13">
      <c r="B2383" s="13"/>
    </row>
    <row r="2384" spans="2:2" ht="13">
      <c r="B2384" s="13"/>
    </row>
    <row r="2385" spans="2:2" ht="13">
      <c r="B2385" s="13"/>
    </row>
    <row r="2386" spans="2:2" ht="13">
      <c r="B2386" s="13"/>
    </row>
    <row r="2387" spans="2:2" ht="13">
      <c r="B2387" s="13"/>
    </row>
    <row r="2388" spans="2:2" ht="13">
      <c r="B2388" s="13"/>
    </row>
    <row r="2389" spans="2:2" ht="13">
      <c r="B2389" s="13"/>
    </row>
    <row r="2390" spans="2:2" ht="13">
      <c r="B2390" s="13"/>
    </row>
    <row r="2391" spans="2:2" ht="13">
      <c r="B2391" s="13"/>
    </row>
    <row r="2392" spans="2:2" ht="13">
      <c r="B2392" s="13"/>
    </row>
    <row r="2393" spans="2:2" ht="13">
      <c r="B2393" s="13"/>
    </row>
    <row r="2394" spans="2:2" ht="13">
      <c r="B2394" s="13"/>
    </row>
    <row r="2395" spans="2:2" ht="13">
      <c r="B2395" s="13"/>
    </row>
    <row r="2396" spans="2:2" ht="13">
      <c r="B2396" s="13"/>
    </row>
    <row r="2397" spans="2:2" ht="13">
      <c r="B2397" s="13"/>
    </row>
    <row r="2398" spans="2:2" ht="13">
      <c r="B2398" s="13"/>
    </row>
    <row r="2399" spans="2:2" ht="13">
      <c r="B2399" s="13"/>
    </row>
    <row r="2400" spans="2:2" ht="13">
      <c r="B2400" s="13"/>
    </row>
    <row r="2401" spans="2:2" ht="13">
      <c r="B2401" s="13"/>
    </row>
    <row r="2402" spans="2:2" ht="13">
      <c r="B2402" s="13"/>
    </row>
    <row r="2403" spans="2:2" ht="13">
      <c r="B2403" s="13"/>
    </row>
    <row r="2404" spans="2:2" ht="13">
      <c r="B2404" s="13"/>
    </row>
    <row r="2405" spans="2:2" ht="13">
      <c r="B2405" s="13"/>
    </row>
    <row r="2406" spans="2:2" ht="13">
      <c r="B2406" s="13"/>
    </row>
    <row r="2407" spans="2:2" ht="13">
      <c r="B2407" s="13"/>
    </row>
    <row r="2408" spans="2:2" ht="13">
      <c r="B2408" s="13"/>
    </row>
    <row r="2409" spans="2:2" ht="13">
      <c r="B2409" s="13"/>
    </row>
    <row r="2410" spans="2:2" ht="13">
      <c r="B2410" s="13"/>
    </row>
    <row r="2411" spans="2:2" ht="13">
      <c r="B2411" s="13"/>
    </row>
    <row r="2412" spans="2:2" ht="13">
      <c r="B2412" s="13"/>
    </row>
    <row r="2413" spans="2:2" ht="13">
      <c r="B2413" s="13"/>
    </row>
    <row r="2414" spans="2:2" ht="13">
      <c r="B2414" s="13"/>
    </row>
    <row r="2415" spans="2:2" ht="13">
      <c r="B2415" s="13"/>
    </row>
    <row r="2416" spans="2:2" ht="13">
      <c r="B2416" s="13"/>
    </row>
    <row r="2417" spans="2:2" ht="13">
      <c r="B2417" s="13"/>
    </row>
    <row r="2418" spans="2:2" ht="13">
      <c r="B2418" s="13"/>
    </row>
    <row r="2419" spans="2:2" ht="13">
      <c r="B2419" s="13"/>
    </row>
    <row r="2420" spans="2:2" ht="13">
      <c r="B2420" s="13"/>
    </row>
    <row r="2421" spans="2:2" ht="13">
      <c r="B2421" s="13"/>
    </row>
    <row r="2422" spans="2:2" ht="13">
      <c r="B2422" s="13"/>
    </row>
    <row r="2423" spans="2:2" ht="13">
      <c r="B2423" s="13"/>
    </row>
    <row r="2424" spans="2:2" ht="13">
      <c r="B2424" s="13"/>
    </row>
    <row r="2425" spans="2:2" ht="13">
      <c r="B2425" s="13"/>
    </row>
    <row r="2426" spans="2:2" ht="13">
      <c r="B2426" s="13"/>
    </row>
    <row r="2427" spans="2:2" ht="13">
      <c r="B2427" s="13"/>
    </row>
    <row r="2428" spans="2:2" ht="13">
      <c r="B2428" s="13"/>
    </row>
    <row r="2429" spans="2:2" ht="13">
      <c r="B2429" s="13"/>
    </row>
    <row r="2430" spans="2:2" ht="13">
      <c r="B2430" s="13"/>
    </row>
    <row r="2431" spans="2:2" ht="13">
      <c r="B2431" s="13"/>
    </row>
    <row r="2432" spans="2:2" ht="13">
      <c r="B2432" s="13"/>
    </row>
    <row r="2433" spans="2:2" ht="13">
      <c r="B2433" s="13"/>
    </row>
    <row r="2434" spans="2:2" ht="13">
      <c r="B2434" s="13"/>
    </row>
    <row r="2435" spans="2:2" ht="13">
      <c r="B2435" s="13"/>
    </row>
    <row r="2436" spans="2:2" ht="13">
      <c r="B2436" s="13"/>
    </row>
    <row r="2437" spans="2:2" ht="13">
      <c r="B2437" s="13"/>
    </row>
    <row r="2438" spans="2:2" ht="13">
      <c r="B2438" s="13"/>
    </row>
    <row r="2439" spans="2:2" ht="13">
      <c r="B2439" s="13"/>
    </row>
    <row r="2440" spans="2:2" ht="13">
      <c r="B2440" s="13"/>
    </row>
    <row r="2441" spans="2:2" ht="13">
      <c r="B2441" s="13"/>
    </row>
    <row r="2442" spans="2:2" ht="13">
      <c r="B2442" s="13"/>
    </row>
    <row r="2443" spans="2:2" ht="13">
      <c r="B2443" s="13"/>
    </row>
    <row r="2444" spans="2:2" ht="13">
      <c r="B2444" s="13"/>
    </row>
    <row r="2445" spans="2:2" ht="13">
      <c r="B2445" s="13"/>
    </row>
    <row r="2446" spans="2:2" ht="13">
      <c r="B2446" s="13"/>
    </row>
    <row r="2447" spans="2:2" ht="13">
      <c r="B2447" s="13"/>
    </row>
    <row r="2448" spans="2:2" ht="13">
      <c r="B2448" s="13"/>
    </row>
    <row r="2449" spans="2:2" ht="13">
      <c r="B2449" s="13"/>
    </row>
    <row r="2450" spans="2:2" ht="13">
      <c r="B2450" s="13"/>
    </row>
    <row r="2451" spans="2:2" ht="13">
      <c r="B2451" s="13"/>
    </row>
    <row r="2452" spans="2:2" ht="13">
      <c r="B2452" s="13"/>
    </row>
    <row r="2453" spans="2:2" ht="13">
      <c r="B2453" s="13"/>
    </row>
    <row r="2454" spans="2:2" ht="13">
      <c r="B2454" s="13"/>
    </row>
    <row r="2455" spans="2:2" ht="13">
      <c r="B2455" s="13"/>
    </row>
    <row r="2456" spans="2:2" ht="13">
      <c r="B2456" s="13"/>
    </row>
    <row r="2457" spans="2:2" ht="13">
      <c r="B2457" s="13"/>
    </row>
    <row r="2458" spans="2:2" ht="13">
      <c r="B2458" s="13"/>
    </row>
    <row r="2459" spans="2:2" ht="13">
      <c r="B2459" s="13"/>
    </row>
    <row r="2460" spans="2:2" ht="13">
      <c r="B2460" s="13"/>
    </row>
    <row r="2461" spans="2:2" ht="13">
      <c r="B2461" s="13"/>
    </row>
    <row r="2462" spans="2:2" ht="13">
      <c r="B2462" s="13"/>
    </row>
    <row r="2463" spans="2:2" ht="13">
      <c r="B2463" s="13"/>
    </row>
    <row r="2464" spans="2:2" ht="13">
      <c r="B2464" s="13"/>
    </row>
    <row r="2465" spans="2:2" ht="13">
      <c r="B2465" s="13"/>
    </row>
    <row r="2466" spans="2:2" ht="13">
      <c r="B2466" s="13"/>
    </row>
    <row r="2467" spans="2:2" ht="13">
      <c r="B2467" s="13"/>
    </row>
    <row r="2468" spans="2:2" ht="13">
      <c r="B2468" s="13"/>
    </row>
    <row r="2469" spans="2:2" ht="13">
      <c r="B2469" s="13"/>
    </row>
    <row r="2470" spans="2:2" ht="13">
      <c r="B2470" s="13"/>
    </row>
    <row r="2471" spans="2:2" ht="13">
      <c r="B2471" s="13"/>
    </row>
    <row r="2472" spans="2:2" ht="13">
      <c r="B2472" s="13"/>
    </row>
    <row r="2473" spans="2:2" ht="13">
      <c r="B2473" s="13"/>
    </row>
    <row r="2474" spans="2:2" ht="13">
      <c r="B2474" s="13"/>
    </row>
    <row r="2475" spans="2:2" ht="13">
      <c r="B2475" s="13"/>
    </row>
    <row r="2476" spans="2:2" ht="13">
      <c r="B2476" s="13"/>
    </row>
    <row r="2477" spans="2:2" ht="13">
      <c r="B2477" s="13"/>
    </row>
    <row r="2478" spans="2:2" ht="13">
      <c r="B2478" s="13"/>
    </row>
    <row r="2479" spans="2:2" ht="13">
      <c r="B2479" s="13"/>
    </row>
    <row r="2480" spans="2:2" ht="13">
      <c r="B2480" s="13"/>
    </row>
    <row r="2481" spans="2:2" ht="13">
      <c r="B2481" s="13"/>
    </row>
    <row r="2482" spans="2:2" ht="13">
      <c r="B2482" s="13"/>
    </row>
    <row r="2483" spans="2:2" ht="13">
      <c r="B2483" s="13"/>
    </row>
    <row r="2484" spans="2:2" ht="13">
      <c r="B2484" s="13"/>
    </row>
    <row r="2485" spans="2:2" ht="13">
      <c r="B2485" s="13"/>
    </row>
    <row r="2486" spans="2:2" ht="13">
      <c r="B2486" s="13"/>
    </row>
    <row r="2487" spans="2:2" ht="13">
      <c r="B2487" s="13"/>
    </row>
    <row r="2488" spans="2:2" ht="13">
      <c r="B2488" s="13"/>
    </row>
    <row r="2489" spans="2:2" ht="13">
      <c r="B2489" s="13"/>
    </row>
    <row r="2490" spans="2:2" ht="13">
      <c r="B2490" s="13"/>
    </row>
    <row r="2491" spans="2:2" ht="13">
      <c r="B2491" s="13"/>
    </row>
    <row r="2492" spans="2:2" ht="13">
      <c r="B2492" s="13"/>
    </row>
    <row r="2493" spans="2:2" ht="13">
      <c r="B2493" s="13"/>
    </row>
    <row r="2494" spans="2:2" ht="13">
      <c r="B2494" s="13"/>
    </row>
    <row r="2495" spans="2:2" ht="13">
      <c r="B2495" s="13"/>
    </row>
    <row r="2496" spans="2:2" ht="13">
      <c r="B2496" s="13"/>
    </row>
    <row r="2497" spans="2:2" ht="13">
      <c r="B2497" s="13"/>
    </row>
    <row r="2498" spans="2:2" ht="13">
      <c r="B2498" s="13"/>
    </row>
    <row r="2499" spans="2:2" ht="13">
      <c r="B2499" s="13"/>
    </row>
    <row r="2500" spans="2:2" ht="13">
      <c r="B2500" s="13"/>
    </row>
    <row r="2501" spans="2:2" ht="13">
      <c r="B2501" s="13"/>
    </row>
    <row r="2502" spans="2:2" ht="13">
      <c r="B2502" s="13"/>
    </row>
    <row r="2503" spans="2:2" ht="13">
      <c r="B2503" s="13"/>
    </row>
    <row r="2504" spans="2:2" ht="13">
      <c r="B2504" s="13"/>
    </row>
    <row r="2505" spans="2:2" ht="13">
      <c r="B2505" s="13"/>
    </row>
    <row r="2506" spans="2:2" ht="13">
      <c r="B2506" s="13"/>
    </row>
    <row r="2507" spans="2:2" ht="13">
      <c r="B2507" s="13"/>
    </row>
    <row r="2508" spans="2:2" ht="13">
      <c r="B2508" s="13"/>
    </row>
    <row r="2509" spans="2:2" ht="13">
      <c r="B2509" s="13"/>
    </row>
    <row r="2510" spans="2:2" ht="13">
      <c r="B2510" s="13"/>
    </row>
    <row r="2511" spans="2:2" ht="13">
      <c r="B2511" s="13"/>
    </row>
    <row r="2512" spans="2:2" ht="13">
      <c r="B2512" s="13"/>
    </row>
    <row r="2513" spans="2:2" ht="13">
      <c r="B2513" s="13"/>
    </row>
    <row r="2514" spans="2:2" ht="13">
      <c r="B2514" s="13"/>
    </row>
    <row r="2515" spans="2:2" ht="13">
      <c r="B2515" s="13"/>
    </row>
    <row r="2516" spans="2:2" ht="13">
      <c r="B2516" s="13"/>
    </row>
    <row r="2517" spans="2:2" ht="13">
      <c r="B2517" s="13"/>
    </row>
    <row r="2518" spans="2:2" ht="13">
      <c r="B2518" s="13"/>
    </row>
    <row r="2519" spans="2:2" ht="13">
      <c r="B2519" s="13"/>
    </row>
    <row r="2520" spans="2:2" ht="13">
      <c r="B2520" s="13"/>
    </row>
    <row r="2521" spans="2:2" ht="13">
      <c r="B2521" s="13"/>
    </row>
    <row r="2522" spans="2:2" ht="13">
      <c r="B2522" s="13"/>
    </row>
    <row r="2523" spans="2:2" ht="13">
      <c r="B2523" s="13"/>
    </row>
    <row r="2524" spans="2:2" ht="13">
      <c r="B2524" s="13"/>
    </row>
    <row r="2525" spans="2:2" ht="13">
      <c r="B2525" s="13"/>
    </row>
    <row r="2526" spans="2:2" ht="13">
      <c r="B2526" s="13"/>
    </row>
    <row r="2527" spans="2:2" ht="13">
      <c r="B2527" s="13"/>
    </row>
    <row r="2528" spans="2:2" ht="13">
      <c r="B2528" s="13"/>
    </row>
    <row r="2529" spans="2:2" ht="13">
      <c r="B2529" s="13"/>
    </row>
    <row r="2530" spans="2:2" ht="13">
      <c r="B2530" s="13"/>
    </row>
    <row r="2531" spans="2:2" ht="13">
      <c r="B2531" s="13"/>
    </row>
    <row r="2532" spans="2:2" ht="13">
      <c r="B2532" s="13"/>
    </row>
    <row r="2533" spans="2:2" ht="13">
      <c r="B2533" s="13"/>
    </row>
    <row r="2534" spans="2:2" ht="13">
      <c r="B2534" s="13"/>
    </row>
    <row r="2535" spans="2:2" ht="13">
      <c r="B2535" s="13"/>
    </row>
    <row r="2536" spans="2:2" ht="13">
      <c r="B2536" s="13"/>
    </row>
    <row r="2537" spans="2:2" ht="13">
      <c r="B2537" s="13"/>
    </row>
    <row r="2538" spans="2:2" ht="13">
      <c r="B2538" s="13"/>
    </row>
    <row r="2539" spans="2:2" ht="13">
      <c r="B2539" s="13"/>
    </row>
    <row r="2540" spans="2:2" ht="13">
      <c r="B2540" s="13"/>
    </row>
    <row r="2541" spans="2:2" ht="13">
      <c r="B2541" s="13"/>
    </row>
    <row r="2542" spans="2:2" ht="13">
      <c r="B2542" s="13"/>
    </row>
    <row r="2543" spans="2:2" ht="13">
      <c r="B2543" s="13"/>
    </row>
    <row r="2544" spans="2:2" ht="13">
      <c r="B2544" s="13"/>
    </row>
    <row r="2545" spans="2:2" ht="13">
      <c r="B2545" s="13"/>
    </row>
    <row r="2546" spans="2:2" ht="13">
      <c r="B2546" s="13"/>
    </row>
    <row r="2547" spans="2:2" ht="13">
      <c r="B2547" s="13"/>
    </row>
    <row r="2548" spans="2:2" ht="13">
      <c r="B2548" s="13"/>
    </row>
    <row r="2549" spans="2:2" ht="13">
      <c r="B2549" s="13"/>
    </row>
    <row r="2550" spans="2:2" ht="13">
      <c r="B2550" s="13"/>
    </row>
    <row r="2551" spans="2:2" ht="13">
      <c r="B2551" s="13"/>
    </row>
    <row r="2552" spans="2:2" ht="13">
      <c r="B2552" s="13"/>
    </row>
    <row r="2553" spans="2:2" ht="13">
      <c r="B2553" s="13"/>
    </row>
    <row r="2554" spans="2:2" ht="13">
      <c r="B2554" s="13"/>
    </row>
    <row r="2555" spans="2:2" ht="13">
      <c r="B2555" s="13"/>
    </row>
    <row r="2556" spans="2:2" ht="13">
      <c r="B2556" s="13"/>
    </row>
    <row r="2557" spans="2:2" ht="13">
      <c r="B2557" s="13"/>
    </row>
    <row r="2558" spans="2:2" ht="13">
      <c r="B2558" s="13"/>
    </row>
    <row r="2559" spans="2:2" ht="13">
      <c r="B2559" s="13"/>
    </row>
    <row r="2560" spans="2:2" ht="13">
      <c r="B2560" s="13"/>
    </row>
    <row r="2561" spans="2:2" ht="13">
      <c r="B2561" s="13"/>
    </row>
    <row r="2562" spans="2:2" ht="13">
      <c r="B2562" s="13"/>
    </row>
    <row r="2563" spans="2:2" ht="13">
      <c r="B2563" s="13"/>
    </row>
    <row r="2564" spans="2:2" ht="13">
      <c r="B2564" s="13"/>
    </row>
    <row r="2565" spans="2:2" ht="13">
      <c r="B2565" s="13"/>
    </row>
    <row r="2566" spans="2:2" ht="13">
      <c r="B2566" s="13"/>
    </row>
    <row r="2567" spans="2:2" ht="13">
      <c r="B2567" s="13"/>
    </row>
    <row r="2568" spans="2:2" ht="13">
      <c r="B2568" s="13"/>
    </row>
    <row r="2569" spans="2:2" ht="13">
      <c r="B2569" s="13"/>
    </row>
    <row r="2570" spans="2:2" ht="13">
      <c r="B2570" s="13"/>
    </row>
    <row r="2571" spans="2:2" ht="13">
      <c r="B2571" s="13"/>
    </row>
    <row r="2572" spans="2:2" ht="13">
      <c r="B2572" s="13"/>
    </row>
    <row r="2573" spans="2:2" ht="13">
      <c r="B2573" s="13"/>
    </row>
    <row r="2574" spans="2:2" ht="13">
      <c r="B2574" s="13"/>
    </row>
    <row r="2575" spans="2:2" ht="13">
      <c r="B2575" s="13"/>
    </row>
    <row r="2576" spans="2:2" ht="13">
      <c r="B2576" s="13"/>
    </row>
    <row r="2577" spans="2:2" ht="13">
      <c r="B2577" s="13"/>
    </row>
    <row r="2578" spans="2:2" ht="13">
      <c r="B2578" s="13"/>
    </row>
    <row r="2579" spans="2:2" ht="13">
      <c r="B2579" s="13"/>
    </row>
    <row r="2580" spans="2:2" ht="13">
      <c r="B2580" s="13"/>
    </row>
    <row r="2581" spans="2:2" ht="13">
      <c r="B2581" s="13"/>
    </row>
    <row r="2582" spans="2:2" ht="13">
      <c r="B2582" s="13"/>
    </row>
    <row r="2583" spans="2:2" ht="13">
      <c r="B2583" s="13"/>
    </row>
    <row r="2584" spans="2:2" ht="13">
      <c r="B2584" s="13"/>
    </row>
    <row r="2585" spans="2:2" ht="13">
      <c r="B2585" s="13"/>
    </row>
    <row r="2586" spans="2:2" ht="13">
      <c r="B2586" s="13"/>
    </row>
    <row r="2587" spans="2:2" ht="13">
      <c r="B2587" s="13"/>
    </row>
    <row r="2588" spans="2:2" ht="13">
      <c r="B2588" s="13"/>
    </row>
    <row r="2589" spans="2:2" ht="13">
      <c r="B2589" s="13"/>
    </row>
    <row r="2590" spans="2:2" ht="13">
      <c r="B2590" s="13"/>
    </row>
    <row r="2591" spans="2:2" ht="13">
      <c r="B2591" s="13"/>
    </row>
    <row r="2592" spans="2:2" ht="13">
      <c r="B2592" s="13"/>
    </row>
    <row r="2593" spans="2:2" ht="13">
      <c r="B2593" s="13"/>
    </row>
    <row r="2594" spans="2:2" ht="13">
      <c r="B2594" s="13"/>
    </row>
    <row r="2595" spans="2:2" ht="13">
      <c r="B2595" s="13"/>
    </row>
    <row r="2596" spans="2:2" ht="13">
      <c r="B2596" s="13"/>
    </row>
    <row r="2597" spans="2:2" ht="13">
      <c r="B2597" s="13"/>
    </row>
    <row r="2598" spans="2:2" ht="13">
      <c r="B2598" s="13"/>
    </row>
    <row r="2599" spans="2:2" ht="13">
      <c r="B2599" s="13"/>
    </row>
    <row r="2600" spans="2:2" ht="13">
      <c r="B2600" s="13"/>
    </row>
    <row r="2601" spans="2:2" ht="13">
      <c r="B2601" s="13"/>
    </row>
    <row r="2602" spans="2:2" ht="13">
      <c r="B2602" s="13"/>
    </row>
    <row r="2603" spans="2:2" ht="13">
      <c r="B2603" s="13"/>
    </row>
    <row r="2604" spans="2:2" ht="13">
      <c r="B2604" s="13"/>
    </row>
    <row r="2605" spans="2:2" ht="13">
      <c r="B2605" s="13"/>
    </row>
    <row r="2606" spans="2:2" ht="13">
      <c r="B2606" s="13"/>
    </row>
    <row r="2607" spans="2:2" ht="13">
      <c r="B2607" s="13"/>
    </row>
    <row r="2608" spans="2:2" ht="13">
      <c r="B2608" s="13"/>
    </row>
    <row r="2609" spans="2:2" ht="13">
      <c r="B2609" s="13"/>
    </row>
    <row r="2610" spans="2:2" ht="13">
      <c r="B2610" s="13"/>
    </row>
    <row r="2611" spans="2:2" ht="13">
      <c r="B2611" s="13"/>
    </row>
    <row r="2612" spans="2:2" ht="13">
      <c r="B2612" s="13"/>
    </row>
    <row r="2613" spans="2:2" ht="13">
      <c r="B2613" s="13"/>
    </row>
    <row r="2614" spans="2:2" ht="13">
      <c r="B2614" s="13"/>
    </row>
    <row r="2615" spans="2:2" ht="13">
      <c r="B2615" s="13"/>
    </row>
    <row r="2616" spans="2:2" ht="13">
      <c r="B2616" s="13"/>
    </row>
    <row r="2617" spans="2:2" ht="13">
      <c r="B2617" s="13"/>
    </row>
    <row r="2618" spans="2:2" ht="13">
      <c r="B2618" s="13"/>
    </row>
    <row r="2619" spans="2:2" ht="13">
      <c r="B2619" s="13"/>
    </row>
    <row r="2620" spans="2:2" ht="13">
      <c r="B2620" s="13"/>
    </row>
    <row r="2621" spans="2:2" ht="13">
      <c r="B2621" s="13"/>
    </row>
    <row r="2622" spans="2:2" ht="13">
      <c r="B2622" s="13"/>
    </row>
    <row r="2623" spans="2:2" ht="13">
      <c r="B2623" s="13"/>
    </row>
    <row r="2624" spans="2:2" ht="13">
      <c r="B2624" s="13"/>
    </row>
    <row r="2625" spans="2:2" ht="13">
      <c r="B2625" s="13"/>
    </row>
    <row r="2626" spans="2:2" ht="13">
      <c r="B2626" s="13"/>
    </row>
    <row r="2627" spans="2:2" ht="13">
      <c r="B2627" s="13"/>
    </row>
    <row r="2628" spans="2:2" ht="13">
      <c r="B2628" s="13"/>
    </row>
    <row r="2629" spans="2:2" ht="13">
      <c r="B2629" s="13"/>
    </row>
    <row r="2630" spans="2:2" ht="13">
      <c r="B2630" s="13"/>
    </row>
    <row r="2631" spans="2:2" ht="13">
      <c r="B2631" s="13"/>
    </row>
    <row r="2632" spans="2:2" ht="13">
      <c r="B2632" s="13"/>
    </row>
    <row r="2633" spans="2:2" ht="13">
      <c r="B2633" s="13"/>
    </row>
    <row r="2634" spans="2:2" ht="13">
      <c r="B2634" s="13"/>
    </row>
    <row r="2635" spans="2:2" ht="13">
      <c r="B2635" s="13"/>
    </row>
    <row r="2636" spans="2:2" ht="13">
      <c r="B2636" s="13"/>
    </row>
    <row r="2637" spans="2:2" ht="13">
      <c r="B2637" s="13"/>
    </row>
    <row r="2638" spans="2:2" ht="13">
      <c r="B2638" s="13"/>
    </row>
    <row r="2639" spans="2:2" ht="13">
      <c r="B2639" s="13"/>
    </row>
    <row r="2640" spans="2:2" ht="13">
      <c r="B2640" s="13"/>
    </row>
    <row r="2641" spans="2:2" ht="13">
      <c r="B2641" s="13"/>
    </row>
    <row r="2642" spans="2:2" ht="13">
      <c r="B2642" s="13"/>
    </row>
    <row r="2643" spans="2:2" ht="13">
      <c r="B2643" s="13"/>
    </row>
    <row r="2644" spans="2:2" ht="13">
      <c r="B2644" s="13"/>
    </row>
    <row r="2645" spans="2:2" ht="13">
      <c r="B2645" s="13"/>
    </row>
    <row r="2646" spans="2:2" ht="13">
      <c r="B2646" s="13"/>
    </row>
    <row r="2647" spans="2:2" ht="13">
      <c r="B2647" s="13"/>
    </row>
    <row r="2648" spans="2:2" ht="13">
      <c r="B2648" s="13"/>
    </row>
    <row r="2649" spans="2:2" ht="13">
      <c r="B2649" s="13"/>
    </row>
    <row r="2650" spans="2:2" ht="13">
      <c r="B2650" s="13"/>
    </row>
    <row r="2651" spans="2:2" ht="13">
      <c r="B2651" s="13"/>
    </row>
    <row r="2652" spans="2:2" ht="13">
      <c r="B2652" s="13"/>
    </row>
    <row r="2653" spans="2:2" ht="13">
      <c r="B2653" s="13"/>
    </row>
    <row r="2654" spans="2:2" ht="13">
      <c r="B2654" s="13"/>
    </row>
    <row r="2655" spans="2:2" ht="13">
      <c r="B2655" s="13"/>
    </row>
    <row r="2656" spans="2:2" ht="13">
      <c r="B2656" s="13"/>
    </row>
    <row r="2657" spans="2:2" ht="13">
      <c r="B2657" s="13"/>
    </row>
    <row r="2658" spans="2:2" ht="13">
      <c r="B2658" s="13"/>
    </row>
    <row r="2659" spans="2:2" ht="13">
      <c r="B2659" s="13"/>
    </row>
    <row r="2660" spans="2:2" ht="13">
      <c r="B2660" s="13"/>
    </row>
    <row r="2661" spans="2:2" ht="13">
      <c r="B2661" s="13"/>
    </row>
    <row r="2662" spans="2:2" ht="13">
      <c r="B2662" s="13"/>
    </row>
    <row r="2663" spans="2:2" ht="13">
      <c r="B2663" s="13"/>
    </row>
    <row r="2664" spans="2:2" ht="13">
      <c r="B2664" s="13"/>
    </row>
    <row r="2665" spans="2:2" ht="13">
      <c r="B2665" s="13"/>
    </row>
    <row r="2666" spans="2:2" ht="13">
      <c r="B2666" s="13"/>
    </row>
    <row r="2667" spans="2:2" ht="13">
      <c r="B2667" s="13"/>
    </row>
    <row r="2668" spans="2:2" ht="13">
      <c r="B2668" s="13"/>
    </row>
    <row r="2669" spans="2:2" ht="13">
      <c r="B2669" s="13"/>
    </row>
    <row r="2670" spans="2:2" ht="13">
      <c r="B2670" s="13"/>
    </row>
    <row r="2671" spans="2:2" ht="13">
      <c r="B2671" s="13"/>
    </row>
    <row r="2672" spans="2:2" ht="13">
      <c r="B2672" s="13"/>
    </row>
    <row r="2673" spans="2:2" ht="13">
      <c r="B2673" s="13"/>
    </row>
    <row r="2674" spans="2:2" ht="13">
      <c r="B2674" s="13"/>
    </row>
    <row r="2675" spans="2:2" ht="13">
      <c r="B2675" s="13"/>
    </row>
    <row r="2676" spans="2:2" ht="13">
      <c r="B2676" s="13"/>
    </row>
    <row r="2677" spans="2:2" ht="13">
      <c r="B2677" s="13"/>
    </row>
    <row r="2678" spans="2:2" ht="13">
      <c r="B2678" s="13"/>
    </row>
    <row r="2679" spans="2:2" ht="13">
      <c r="B2679" s="13"/>
    </row>
    <row r="2680" spans="2:2" ht="13">
      <c r="B2680" s="13"/>
    </row>
    <row r="2681" spans="2:2" ht="13">
      <c r="B2681" s="13"/>
    </row>
    <row r="2682" spans="2:2" ht="13">
      <c r="B2682" s="13"/>
    </row>
    <row r="2683" spans="2:2" ht="13">
      <c r="B2683" s="13"/>
    </row>
    <row r="2684" spans="2:2" ht="13">
      <c r="B2684" s="13"/>
    </row>
    <row r="2685" spans="2:2" ht="13">
      <c r="B2685" s="13"/>
    </row>
    <row r="2686" spans="2:2" ht="13">
      <c r="B2686" s="13"/>
    </row>
    <row r="2687" spans="2:2" ht="13">
      <c r="B2687" s="13"/>
    </row>
    <row r="2688" spans="2:2" ht="13">
      <c r="B2688" s="13"/>
    </row>
    <row r="2689" spans="2:2" ht="13">
      <c r="B2689" s="13"/>
    </row>
    <row r="2690" spans="2:2" ht="13">
      <c r="B2690" s="13"/>
    </row>
    <row r="2691" spans="2:2" ht="13">
      <c r="B2691" s="13"/>
    </row>
    <row r="2692" spans="2:2" ht="13">
      <c r="B2692" s="13"/>
    </row>
    <row r="2693" spans="2:2" ht="13">
      <c r="B2693" s="13"/>
    </row>
    <row r="2694" spans="2:2" ht="13">
      <c r="B2694" s="13"/>
    </row>
    <row r="2695" spans="2:2" ht="13">
      <c r="B2695" s="13"/>
    </row>
    <row r="2696" spans="2:2" ht="13">
      <c r="B2696" s="13"/>
    </row>
    <row r="2697" spans="2:2" ht="13">
      <c r="B2697" s="13"/>
    </row>
    <row r="2698" spans="2:2" ht="13">
      <c r="B2698" s="13"/>
    </row>
    <row r="2699" spans="2:2" ht="13">
      <c r="B2699" s="13"/>
    </row>
    <row r="2700" spans="2:2" ht="13">
      <c r="B2700" s="13"/>
    </row>
    <row r="2701" spans="2:2" ht="13">
      <c r="B2701" s="13"/>
    </row>
    <row r="2702" spans="2:2" ht="13">
      <c r="B2702" s="13"/>
    </row>
    <row r="2703" spans="2:2" ht="13">
      <c r="B2703" s="13"/>
    </row>
    <row r="2704" spans="2:2" ht="13">
      <c r="B2704" s="13"/>
    </row>
    <row r="2705" spans="2:2" ht="13">
      <c r="B2705" s="13"/>
    </row>
    <row r="2706" spans="2:2" ht="13">
      <c r="B2706" s="13"/>
    </row>
    <row r="2707" spans="2:2" ht="13">
      <c r="B2707" s="13"/>
    </row>
    <row r="2708" spans="2:2" ht="13">
      <c r="B2708" s="13"/>
    </row>
    <row r="2709" spans="2:2" ht="13">
      <c r="B2709" s="13"/>
    </row>
    <row r="2710" spans="2:2" ht="13">
      <c r="B2710" s="13"/>
    </row>
    <row r="2711" spans="2:2" ht="13">
      <c r="B2711" s="13"/>
    </row>
    <row r="2712" spans="2:2" ht="13">
      <c r="B2712" s="13"/>
    </row>
    <row r="2713" spans="2:2" ht="13">
      <c r="B2713" s="13"/>
    </row>
    <row r="2714" spans="2:2" ht="13">
      <c r="B2714" s="13"/>
    </row>
    <row r="2715" spans="2:2" ht="13">
      <c r="B2715" s="13"/>
    </row>
    <row r="2716" spans="2:2" ht="13">
      <c r="B2716" s="13"/>
    </row>
    <row r="2717" spans="2:2" ht="13">
      <c r="B2717" s="13"/>
    </row>
    <row r="2718" spans="2:2" ht="13">
      <c r="B2718" s="13"/>
    </row>
    <row r="2719" spans="2:2" ht="13">
      <c r="B2719" s="13"/>
    </row>
    <row r="2720" spans="2:2" ht="13">
      <c r="B2720" s="13"/>
    </row>
    <row r="2721" spans="2:2" ht="13">
      <c r="B2721" s="13"/>
    </row>
    <row r="2722" spans="2:2" ht="13">
      <c r="B2722" s="13"/>
    </row>
    <row r="2723" spans="2:2" ht="13">
      <c r="B2723" s="13"/>
    </row>
    <row r="2724" spans="2:2" ht="13">
      <c r="B2724" s="13"/>
    </row>
    <row r="2725" spans="2:2" ht="13">
      <c r="B2725" s="13"/>
    </row>
    <row r="2726" spans="2:2" ht="13">
      <c r="B2726" s="13"/>
    </row>
    <row r="2727" spans="2:2" ht="13">
      <c r="B2727" s="13"/>
    </row>
    <row r="2728" spans="2:2" ht="13">
      <c r="B2728" s="13"/>
    </row>
    <row r="2729" spans="2:2" ht="13">
      <c r="B2729" s="13"/>
    </row>
    <row r="2730" spans="2:2" ht="13">
      <c r="B2730" s="13"/>
    </row>
    <row r="2731" spans="2:2" ht="13">
      <c r="B2731" s="13"/>
    </row>
    <row r="2732" spans="2:2" ht="13">
      <c r="B2732" s="13"/>
    </row>
    <row r="2733" spans="2:2" ht="13">
      <c r="B2733" s="13"/>
    </row>
    <row r="2734" spans="2:2" ht="13">
      <c r="B2734" s="13"/>
    </row>
    <row r="2735" spans="2:2" ht="13">
      <c r="B2735" s="13"/>
    </row>
    <row r="2736" spans="2:2" ht="13">
      <c r="B2736" s="13"/>
    </row>
    <row r="2737" spans="2:2" ht="13">
      <c r="B2737" s="13"/>
    </row>
    <row r="2738" spans="2:2" ht="13">
      <c r="B2738" s="13"/>
    </row>
    <row r="2739" spans="2:2" ht="13">
      <c r="B2739" s="13"/>
    </row>
    <row r="2740" spans="2:2" ht="13">
      <c r="B2740" s="13"/>
    </row>
    <row r="2741" spans="2:2" ht="13">
      <c r="B2741" s="13"/>
    </row>
    <row r="2742" spans="2:2" ht="13">
      <c r="B2742" s="13"/>
    </row>
    <row r="2743" spans="2:2" ht="13">
      <c r="B2743" s="13"/>
    </row>
    <row r="2744" spans="2:2" ht="13">
      <c r="B2744" s="13"/>
    </row>
    <row r="2745" spans="2:2" ht="13">
      <c r="B2745" s="13"/>
    </row>
    <row r="2746" spans="2:2" ht="13">
      <c r="B2746" s="13"/>
    </row>
    <row r="2747" spans="2:2" ht="13">
      <c r="B2747" s="13"/>
    </row>
    <row r="2748" spans="2:2" ht="13">
      <c r="B2748" s="13"/>
    </row>
    <row r="2749" spans="2:2" ht="13">
      <c r="B2749" s="13"/>
    </row>
    <row r="2750" spans="2:2" ht="13">
      <c r="B2750" s="13"/>
    </row>
    <row r="2751" spans="2:2" ht="13">
      <c r="B2751" s="13"/>
    </row>
    <row r="2752" spans="2:2" ht="13">
      <c r="B2752" s="13"/>
    </row>
    <row r="2753" spans="2:2" ht="13">
      <c r="B2753" s="13"/>
    </row>
    <row r="2754" spans="2:2" ht="13">
      <c r="B2754" s="13"/>
    </row>
    <row r="2755" spans="2:2" ht="13">
      <c r="B2755" s="13"/>
    </row>
    <row r="2756" spans="2:2" ht="13">
      <c r="B2756" s="13"/>
    </row>
    <row r="2757" spans="2:2" ht="13">
      <c r="B2757" s="13"/>
    </row>
    <row r="2758" spans="2:2" ht="13">
      <c r="B2758" s="13"/>
    </row>
    <row r="2759" spans="2:2" ht="13">
      <c r="B2759" s="13"/>
    </row>
    <row r="2760" spans="2:2" ht="13">
      <c r="B2760" s="13"/>
    </row>
    <row r="2761" spans="2:2" ht="13">
      <c r="B2761" s="13"/>
    </row>
    <row r="2762" spans="2:2" ht="13">
      <c r="B2762" s="13"/>
    </row>
    <row r="2763" spans="2:2" ht="13">
      <c r="B2763" s="13"/>
    </row>
    <row r="2764" spans="2:2" ht="13">
      <c r="B2764" s="13"/>
    </row>
    <row r="2765" spans="2:2" ht="13">
      <c r="B2765" s="13"/>
    </row>
    <row r="2766" spans="2:2" ht="13">
      <c r="B2766" s="13"/>
    </row>
    <row r="2767" spans="2:2" ht="13">
      <c r="B2767" s="13"/>
    </row>
    <row r="2768" spans="2:2" ht="13">
      <c r="B2768" s="13"/>
    </row>
    <row r="2769" spans="2:2" ht="13">
      <c r="B2769" s="13"/>
    </row>
    <row r="2770" spans="2:2" ht="13">
      <c r="B2770" s="13"/>
    </row>
    <row r="2771" spans="2:2" ht="13">
      <c r="B2771" s="13"/>
    </row>
    <row r="2772" spans="2:2" ht="13">
      <c r="B2772" s="13"/>
    </row>
    <row r="2773" spans="2:2" ht="13">
      <c r="B2773" s="13"/>
    </row>
    <row r="2774" spans="2:2" ht="13">
      <c r="B2774" s="13"/>
    </row>
    <row r="2775" spans="2:2" ht="13">
      <c r="B2775" s="13"/>
    </row>
    <row r="2776" spans="2:2" ht="13">
      <c r="B2776" s="13"/>
    </row>
    <row r="2777" spans="2:2" ht="13">
      <c r="B2777" s="13"/>
    </row>
    <row r="2778" spans="2:2" ht="13">
      <c r="B2778" s="13"/>
    </row>
    <row r="2779" spans="2:2" ht="13">
      <c r="B2779" s="13"/>
    </row>
    <row r="2780" spans="2:2" ht="13">
      <c r="B2780" s="13"/>
    </row>
    <row r="2781" spans="2:2" ht="13">
      <c r="B2781" s="13"/>
    </row>
    <row r="2782" spans="2:2" ht="13">
      <c r="B2782" s="13"/>
    </row>
    <row r="2783" spans="2:2" ht="13">
      <c r="B2783" s="13"/>
    </row>
    <row r="2784" spans="2:2" ht="13">
      <c r="B2784" s="13"/>
    </row>
    <row r="2785" spans="2:2" ht="13">
      <c r="B2785" s="13"/>
    </row>
    <row r="2786" spans="2:2" ht="13">
      <c r="B2786" s="13"/>
    </row>
    <row r="2787" spans="2:2" ht="13">
      <c r="B2787" s="13"/>
    </row>
    <row r="2788" spans="2:2" ht="13">
      <c r="B2788" s="13"/>
    </row>
    <row r="2789" spans="2:2" ht="13">
      <c r="B2789" s="13"/>
    </row>
    <row r="2790" spans="2:2" ht="13">
      <c r="B2790" s="13"/>
    </row>
    <row r="2791" spans="2:2" ht="13">
      <c r="B2791" s="13"/>
    </row>
    <row r="2792" spans="2:2" ht="13">
      <c r="B2792" s="13"/>
    </row>
    <row r="2793" spans="2:2" ht="13">
      <c r="B2793" s="13"/>
    </row>
    <row r="2794" spans="2:2" ht="13">
      <c r="B2794" s="13"/>
    </row>
    <row r="2795" spans="2:2" ht="13">
      <c r="B2795" s="13"/>
    </row>
    <row r="2796" spans="2:2" ht="13">
      <c r="B2796" s="13"/>
    </row>
    <row r="2797" spans="2:2" ht="13">
      <c r="B2797" s="13"/>
    </row>
    <row r="2798" spans="2:2" ht="13">
      <c r="B2798" s="13"/>
    </row>
    <row r="2799" spans="2:2" ht="13">
      <c r="B2799" s="13"/>
    </row>
    <row r="2800" spans="2:2" ht="13">
      <c r="B2800" s="13"/>
    </row>
    <row r="2801" spans="2:2" ht="13">
      <c r="B2801" s="13"/>
    </row>
    <row r="2802" spans="2:2" ht="13">
      <c r="B2802" s="13"/>
    </row>
    <row r="2803" spans="2:2" ht="13">
      <c r="B2803" s="13"/>
    </row>
    <row r="2804" spans="2:2" ht="13">
      <c r="B2804" s="13"/>
    </row>
    <row r="2805" spans="2:2" ht="13">
      <c r="B2805" s="13"/>
    </row>
    <row r="2806" spans="2:2" ht="13">
      <c r="B2806" s="13"/>
    </row>
    <row r="2807" spans="2:2" ht="13">
      <c r="B2807" s="13"/>
    </row>
    <row r="2808" spans="2:2" ht="13">
      <c r="B2808" s="13"/>
    </row>
    <row r="2809" spans="2:2" ht="13">
      <c r="B2809" s="13"/>
    </row>
    <row r="2810" spans="2:2" ht="13">
      <c r="B2810" s="13"/>
    </row>
    <row r="2811" spans="2:2" ht="13">
      <c r="B2811" s="13"/>
    </row>
    <row r="2812" spans="2:2" ht="13">
      <c r="B2812" s="13"/>
    </row>
    <row r="2813" spans="2:2" ht="13">
      <c r="B2813" s="13"/>
    </row>
    <row r="2814" spans="2:2" ht="13">
      <c r="B2814" s="13"/>
    </row>
    <row r="2815" spans="2:2" ht="13">
      <c r="B2815" s="13"/>
    </row>
    <row r="2816" spans="2:2" ht="13">
      <c r="B2816" s="13"/>
    </row>
    <row r="2817" spans="2:2" ht="13">
      <c r="B2817" s="13"/>
    </row>
    <row r="2818" spans="2:2" ht="13">
      <c r="B2818" s="13"/>
    </row>
    <row r="2819" spans="2:2" ht="13">
      <c r="B2819" s="13"/>
    </row>
    <row r="2820" spans="2:2" ht="13">
      <c r="B2820" s="13"/>
    </row>
    <row r="2821" spans="2:2" ht="13">
      <c r="B2821" s="13"/>
    </row>
    <row r="2822" spans="2:2" ht="13">
      <c r="B2822" s="13"/>
    </row>
    <row r="2823" spans="2:2" ht="13">
      <c r="B2823" s="13"/>
    </row>
    <row r="2824" spans="2:2" ht="13">
      <c r="B2824" s="13"/>
    </row>
    <row r="2825" spans="2:2" ht="13">
      <c r="B2825" s="13"/>
    </row>
    <row r="2826" spans="2:2" ht="13">
      <c r="B2826" s="13"/>
    </row>
    <row r="2827" spans="2:2" ht="13">
      <c r="B2827" s="13"/>
    </row>
    <row r="2828" spans="2:2" ht="13">
      <c r="B2828" s="13"/>
    </row>
    <row r="2829" spans="2:2" ht="13">
      <c r="B2829" s="13"/>
    </row>
    <row r="2830" spans="2:2" ht="13">
      <c r="B2830" s="13"/>
    </row>
    <row r="2831" spans="2:2" ht="13">
      <c r="B2831" s="13"/>
    </row>
    <row r="2832" spans="2:2" ht="13">
      <c r="B2832" s="13"/>
    </row>
    <row r="2833" spans="2:2" ht="13">
      <c r="B2833" s="13"/>
    </row>
    <row r="2834" spans="2:2" ht="13">
      <c r="B2834" s="13"/>
    </row>
    <row r="2835" spans="2:2" ht="13">
      <c r="B2835" s="13"/>
    </row>
    <row r="2836" spans="2:2" ht="13">
      <c r="B2836" s="13"/>
    </row>
    <row r="2837" spans="2:2" ht="13">
      <c r="B2837" s="13"/>
    </row>
    <row r="2838" spans="2:2" ht="13">
      <c r="B2838" s="13"/>
    </row>
    <row r="2839" spans="2:2" ht="13">
      <c r="B2839" s="13"/>
    </row>
    <row r="2840" spans="2:2" ht="13">
      <c r="B2840" s="13"/>
    </row>
    <row r="2841" spans="2:2" ht="13">
      <c r="B2841" s="13"/>
    </row>
    <row r="2842" spans="2:2" ht="13">
      <c r="B2842" s="13"/>
    </row>
    <row r="2843" spans="2:2" ht="13">
      <c r="B2843" s="13"/>
    </row>
    <row r="2844" spans="2:2" ht="13">
      <c r="B2844" s="13"/>
    </row>
    <row r="2845" spans="2:2" ht="13">
      <c r="B2845" s="13"/>
    </row>
    <row r="2846" spans="2:2" ht="13">
      <c r="B2846" s="13"/>
    </row>
    <row r="2847" spans="2:2" ht="13">
      <c r="B2847" s="13"/>
    </row>
    <row r="2848" spans="2:2" ht="13">
      <c r="B2848" s="13"/>
    </row>
    <row r="2849" spans="2:2" ht="13">
      <c r="B2849" s="13"/>
    </row>
    <row r="2850" spans="2:2" ht="13">
      <c r="B2850" s="13"/>
    </row>
    <row r="2851" spans="2:2" ht="13">
      <c r="B2851" s="13"/>
    </row>
    <row r="2852" spans="2:2" ht="13">
      <c r="B2852" s="13"/>
    </row>
    <row r="2853" spans="2:2" ht="13">
      <c r="B2853" s="13"/>
    </row>
    <row r="2854" spans="2:2" ht="13">
      <c r="B2854" s="13"/>
    </row>
    <row r="2855" spans="2:2" ht="13">
      <c r="B2855" s="13"/>
    </row>
    <row r="2856" spans="2:2" ht="13">
      <c r="B2856" s="13"/>
    </row>
    <row r="2857" spans="2:2" ht="13">
      <c r="B2857" s="13"/>
    </row>
    <row r="2858" spans="2:2" ht="13">
      <c r="B2858" s="13"/>
    </row>
    <row r="2859" spans="2:2" ht="13">
      <c r="B2859" s="13"/>
    </row>
    <row r="2860" spans="2:2" ht="13">
      <c r="B2860" s="13"/>
    </row>
    <row r="2861" spans="2:2" ht="13">
      <c r="B2861" s="13"/>
    </row>
    <row r="2862" spans="2:2" ht="13">
      <c r="B2862" s="13"/>
    </row>
    <row r="2863" spans="2:2" ht="13">
      <c r="B2863" s="13"/>
    </row>
    <row r="2864" spans="2:2" ht="13">
      <c r="B2864" s="13"/>
    </row>
    <row r="2865" spans="2:2" ht="13">
      <c r="B2865" s="13"/>
    </row>
    <row r="2866" spans="2:2" ht="13">
      <c r="B2866" s="13"/>
    </row>
    <row r="2867" spans="2:2" ht="13">
      <c r="B2867" s="13"/>
    </row>
    <row r="2868" spans="2:2" ht="13">
      <c r="B2868" s="13"/>
    </row>
    <row r="2869" spans="2:2" ht="13">
      <c r="B2869" s="13"/>
    </row>
    <row r="2870" spans="2:2" ht="13">
      <c r="B2870" s="13"/>
    </row>
    <row r="2871" spans="2:2" ht="13">
      <c r="B2871" s="13"/>
    </row>
    <row r="2872" spans="2:2" ht="13">
      <c r="B2872" s="13"/>
    </row>
    <row r="2873" spans="2:2" ht="13">
      <c r="B2873" s="13"/>
    </row>
    <row r="2874" spans="2:2" ht="13">
      <c r="B2874" s="13"/>
    </row>
    <row r="2875" spans="2:2" ht="13">
      <c r="B2875" s="13"/>
    </row>
    <row r="2876" spans="2:2" ht="13">
      <c r="B2876" s="13"/>
    </row>
    <row r="2877" spans="2:2" ht="13">
      <c r="B2877" s="13"/>
    </row>
    <row r="2878" spans="2:2" ht="13">
      <c r="B2878" s="13"/>
    </row>
    <row r="2879" spans="2:2" ht="13">
      <c r="B2879" s="13"/>
    </row>
    <row r="2880" spans="2:2" ht="13">
      <c r="B2880" s="13"/>
    </row>
    <row r="2881" spans="2:2" ht="13">
      <c r="B2881" s="13"/>
    </row>
    <row r="2882" spans="2:2" ht="13">
      <c r="B2882" s="13"/>
    </row>
    <row r="2883" spans="2:2" ht="13">
      <c r="B2883" s="13"/>
    </row>
    <row r="2884" spans="2:2" ht="13">
      <c r="B2884" s="13"/>
    </row>
    <row r="2885" spans="2:2" ht="13">
      <c r="B2885" s="13"/>
    </row>
    <row r="2886" spans="2:2" ht="13">
      <c r="B2886" s="13"/>
    </row>
    <row r="2887" spans="2:2" ht="13">
      <c r="B2887" s="13"/>
    </row>
    <row r="2888" spans="2:2" ht="13">
      <c r="B2888" s="13"/>
    </row>
    <row r="2889" spans="2:2" ht="13">
      <c r="B2889" s="13"/>
    </row>
    <row r="2890" spans="2:2" ht="13">
      <c r="B2890" s="13"/>
    </row>
    <row r="2891" spans="2:2" ht="13">
      <c r="B2891" s="13"/>
    </row>
    <row r="2892" spans="2:2" ht="13">
      <c r="B2892" s="13"/>
    </row>
    <row r="2893" spans="2:2" ht="13">
      <c r="B2893" s="13"/>
    </row>
    <row r="2894" spans="2:2" ht="13">
      <c r="B2894" s="13"/>
    </row>
    <row r="2895" spans="2:2" ht="13">
      <c r="B2895" s="13"/>
    </row>
    <row r="2896" spans="2:2" ht="13">
      <c r="B2896" s="13"/>
    </row>
    <row r="2897" spans="2:2" ht="13">
      <c r="B2897" s="13"/>
    </row>
    <row r="2898" spans="2:2" ht="13">
      <c r="B2898" s="13"/>
    </row>
    <row r="2899" spans="2:2" ht="13">
      <c r="B2899" s="13"/>
    </row>
    <row r="2900" spans="2:2" ht="13">
      <c r="B2900" s="13"/>
    </row>
    <row r="2901" spans="2:2" ht="13">
      <c r="B2901" s="13"/>
    </row>
    <row r="2902" spans="2:2" ht="13">
      <c r="B2902" s="13"/>
    </row>
    <row r="2903" spans="2:2" ht="13">
      <c r="B2903" s="13"/>
    </row>
    <row r="2904" spans="2:2" ht="13">
      <c r="B2904" s="13"/>
    </row>
    <row r="2905" spans="2:2" ht="13">
      <c r="B2905" s="13"/>
    </row>
    <row r="2906" spans="2:2" ht="13">
      <c r="B2906" s="13"/>
    </row>
    <row r="2907" spans="2:2" ht="13">
      <c r="B2907" s="13"/>
    </row>
    <row r="2908" spans="2:2" ht="13">
      <c r="B2908" s="13"/>
    </row>
    <row r="2909" spans="2:2" ht="13">
      <c r="B2909" s="13"/>
    </row>
    <row r="2910" spans="2:2" ht="13">
      <c r="B2910" s="13"/>
    </row>
    <row r="2911" spans="2:2" ht="13">
      <c r="B2911" s="13"/>
    </row>
    <row r="2912" spans="2:2" ht="13">
      <c r="B2912" s="13"/>
    </row>
    <row r="2913" spans="2:2" ht="13">
      <c r="B2913" s="13"/>
    </row>
    <row r="2914" spans="2:2" ht="13">
      <c r="B2914" s="13"/>
    </row>
    <row r="2915" spans="2:2" ht="13">
      <c r="B2915" s="13"/>
    </row>
    <row r="2916" spans="2:2" ht="13">
      <c r="B2916" s="13"/>
    </row>
    <row r="2917" spans="2:2" ht="13">
      <c r="B2917" s="13"/>
    </row>
    <row r="2918" spans="2:2" ht="13">
      <c r="B2918" s="13"/>
    </row>
    <row r="2919" spans="2:2" ht="13">
      <c r="B2919" s="13"/>
    </row>
    <row r="2920" spans="2:2" ht="13">
      <c r="B2920" s="13"/>
    </row>
    <row r="2921" spans="2:2" ht="13">
      <c r="B2921" s="13"/>
    </row>
    <row r="2922" spans="2:2" ht="13">
      <c r="B2922" s="13"/>
    </row>
    <row r="2923" spans="2:2" ht="13">
      <c r="B2923" s="13"/>
    </row>
    <row r="2924" spans="2:2" ht="13">
      <c r="B2924" s="13"/>
    </row>
    <row r="2925" spans="2:2" ht="13">
      <c r="B2925" s="13"/>
    </row>
    <row r="2926" spans="2:2" ht="13">
      <c r="B2926" s="13"/>
    </row>
    <row r="2927" spans="2:2" ht="13">
      <c r="B2927" s="13"/>
    </row>
    <row r="2928" spans="2:2" ht="13">
      <c r="B2928" s="13"/>
    </row>
    <row r="2929" spans="2:2" ht="13">
      <c r="B2929" s="13"/>
    </row>
    <row r="2930" spans="2:2" ht="13">
      <c r="B2930" s="13"/>
    </row>
    <row r="2931" spans="2:2" ht="13">
      <c r="B2931" s="13"/>
    </row>
    <row r="2932" spans="2:2" ht="13">
      <c r="B2932" s="13"/>
    </row>
    <row r="2933" spans="2:2" ht="13">
      <c r="B2933" s="13"/>
    </row>
    <row r="2934" spans="2:2" ht="13">
      <c r="B2934" s="13"/>
    </row>
    <row r="2935" spans="2:2" ht="13">
      <c r="B2935" s="13"/>
    </row>
    <row r="2936" spans="2:2" ht="13">
      <c r="B2936" s="13"/>
    </row>
    <row r="2937" spans="2:2" ht="13">
      <c r="B2937" s="13"/>
    </row>
    <row r="2938" spans="2:2" ht="13">
      <c r="B2938" s="13"/>
    </row>
    <row r="2939" spans="2:2" ht="13">
      <c r="B2939" s="13"/>
    </row>
    <row r="2940" spans="2:2" ht="13">
      <c r="B2940" s="13"/>
    </row>
    <row r="2941" spans="2:2" ht="13">
      <c r="B2941" s="13"/>
    </row>
    <row r="2942" spans="2:2" ht="13">
      <c r="B2942" s="13"/>
    </row>
    <row r="2943" spans="2:2" ht="13">
      <c r="B2943" s="13"/>
    </row>
    <row r="2944" spans="2:2" ht="13">
      <c r="B2944" s="13"/>
    </row>
    <row r="2945" spans="2:2" ht="13">
      <c r="B2945" s="13"/>
    </row>
    <row r="2946" spans="2:2" ht="13">
      <c r="B2946" s="13"/>
    </row>
    <row r="2947" spans="2:2" ht="13">
      <c r="B2947" s="13"/>
    </row>
    <row r="2948" spans="2:2" ht="13">
      <c r="B2948" s="13"/>
    </row>
    <row r="2949" spans="2:2" ht="13">
      <c r="B2949" s="13"/>
    </row>
    <row r="2950" spans="2:2" ht="13">
      <c r="B2950" s="13"/>
    </row>
    <row r="2951" spans="2:2" ht="13">
      <c r="B2951" s="13"/>
    </row>
    <row r="2952" spans="2:2" ht="13">
      <c r="B2952" s="13"/>
    </row>
    <row r="2953" spans="2:2" ht="13">
      <c r="B2953" s="13"/>
    </row>
    <row r="2954" spans="2:2" ht="13">
      <c r="B2954" s="13"/>
    </row>
    <row r="2955" spans="2:2" ht="13">
      <c r="B2955" s="13"/>
    </row>
    <row r="2956" spans="2:2" ht="13">
      <c r="B2956" s="13"/>
    </row>
    <row r="2957" spans="2:2" ht="13">
      <c r="B2957" s="13"/>
    </row>
    <row r="2958" spans="2:2" ht="13">
      <c r="B2958" s="13"/>
    </row>
    <row r="2959" spans="2:2" ht="13">
      <c r="B2959" s="13"/>
    </row>
    <row r="2960" spans="2:2" ht="13">
      <c r="B2960" s="13"/>
    </row>
    <row r="2961" spans="2:2" ht="13">
      <c r="B2961" s="13"/>
    </row>
    <row r="2962" spans="2:2" ht="13">
      <c r="B2962" s="13"/>
    </row>
    <row r="2963" spans="2:2" ht="13">
      <c r="B2963" s="13"/>
    </row>
    <row r="2964" spans="2:2" ht="13">
      <c r="B2964" s="13"/>
    </row>
    <row r="2965" spans="2:2" ht="13">
      <c r="B2965" s="13"/>
    </row>
    <row r="2966" spans="2:2" ht="13">
      <c r="B2966" s="13"/>
    </row>
    <row r="2967" spans="2:2" ht="13">
      <c r="B2967" s="13"/>
    </row>
    <row r="2968" spans="2:2" ht="13">
      <c r="B2968" s="13"/>
    </row>
    <row r="2969" spans="2:2" ht="13">
      <c r="B2969" s="13"/>
    </row>
    <row r="2970" spans="2:2" ht="13">
      <c r="B2970" s="13"/>
    </row>
    <row r="2971" spans="2:2" ht="13">
      <c r="B2971" s="13"/>
    </row>
    <row r="2972" spans="2:2" ht="13">
      <c r="B2972" s="13"/>
    </row>
    <row r="2973" spans="2:2" ht="13">
      <c r="B2973" s="13"/>
    </row>
    <row r="2974" spans="2:2" ht="13">
      <c r="B2974" s="13"/>
    </row>
    <row r="2975" spans="2:2" ht="13">
      <c r="B2975" s="13"/>
    </row>
    <row r="2976" spans="2:2" ht="13">
      <c r="B2976" s="13"/>
    </row>
    <row r="2977" spans="2:2" ht="13">
      <c r="B2977" s="13"/>
    </row>
    <row r="2978" spans="2:2" ht="13">
      <c r="B2978" s="13"/>
    </row>
    <row r="2979" spans="2:2" ht="13">
      <c r="B2979" s="13"/>
    </row>
    <row r="2980" spans="2:2" ht="13">
      <c r="B2980" s="13"/>
    </row>
    <row r="2981" spans="2:2" ht="13">
      <c r="B2981" s="13"/>
    </row>
    <row r="2982" spans="2:2" ht="13">
      <c r="B2982" s="13"/>
    </row>
    <row r="2983" spans="2:2" ht="13">
      <c r="B2983" s="13"/>
    </row>
    <row r="2984" spans="2:2" ht="13">
      <c r="B2984" s="13"/>
    </row>
    <row r="2985" spans="2:2" ht="13">
      <c r="B2985" s="13"/>
    </row>
    <row r="2986" spans="2:2" ht="13">
      <c r="B2986" s="13"/>
    </row>
    <row r="2987" spans="2:2" ht="13">
      <c r="B2987" s="13"/>
    </row>
    <row r="2988" spans="2:2" ht="13">
      <c r="B2988" s="13"/>
    </row>
    <row r="2989" spans="2:2" ht="13">
      <c r="B2989" s="13"/>
    </row>
    <row r="2990" spans="2:2" ht="13">
      <c r="B2990" s="13"/>
    </row>
    <row r="2991" spans="2:2" ht="13">
      <c r="B2991" s="13"/>
    </row>
    <row r="2992" spans="2:2" ht="13">
      <c r="B2992" s="13"/>
    </row>
    <row r="2993" spans="2:2" ht="13">
      <c r="B2993" s="13"/>
    </row>
    <row r="2994" spans="2:2" ht="13">
      <c r="B2994" s="13"/>
    </row>
    <row r="2995" spans="2:2" ht="13">
      <c r="B2995" s="13"/>
    </row>
    <row r="2996" spans="2:2" ht="13">
      <c r="B2996" s="13"/>
    </row>
    <row r="2997" spans="2:2" ht="13">
      <c r="B2997" s="13"/>
    </row>
    <row r="2998" spans="2:2" ht="13">
      <c r="B2998" s="13"/>
    </row>
    <row r="2999" spans="2:2" ht="13">
      <c r="B2999" s="13"/>
    </row>
    <row r="3000" spans="2:2" ht="13">
      <c r="B3000" s="13"/>
    </row>
    <row r="3001" spans="2:2" ht="13">
      <c r="B3001" s="13"/>
    </row>
    <row r="3002" spans="2:2" ht="13">
      <c r="B3002" s="13"/>
    </row>
    <row r="3003" spans="2:2" ht="13">
      <c r="B3003" s="13"/>
    </row>
    <row r="3004" spans="2:2" ht="13">
      <c r="B3004" s="13"/>
    </row>
    <row r="3005" spans="2:2" ht="13">
      <c r="B3005" s="13"/>
    </row>
    <row r="3006" spans="2:2" ht="13">
      <c r="B3006" s="13"/>
    </row>
    <row r="3007" spans="2:2" ht="13">
      <c r="B3007" s="13"/>
    </row>
    <row r="3008" spans="2:2" ht="13">
      <c r="B3008" s="13"/>
    </row>
    <row r="3009" spans="2:2" ht="13">
      <c r="B3009" s="13"/>
    </row>
    <row r="3010" spans="2:2" ht="13">
      <c r="B3010" s="13"/>
    </row>
    <row r="3011" spans="2:2" ht="13">
      <c r="B3011" s="13"/>
    </row>
    <row r="3012" spans="2:2" ht="13">
      <c r="B3012" s="13"/>
    </row>
    <row r="3013" spans="2:2" ht="13">
      <c r="B3013" s="13"/>
    </row>
    <row r="3014" spans="2:2" ht="13">
      <c r="B3014" s="13"/>
    </row>
    <row r="3015" spans="2:2" ht="13">
      <c r="B3015" s="13"/>
    </row>
    <row r="3016" spans="2:2" ht="13">
      <c r="B3016" s="13"/>
    </row>
    <row r="3017" spans="2:2" ht="13">
      <c r="B3017" s="13"/>
    </row>
    <row r="3018" spans="2:2" ht="13">
      <c r="B3018" s="13"/>
    </row>
    <row r="3019" spans="2:2" ht="13">
      <c r="B3019" s="13"/>
    </row>
    <row r="3020" spans="2:2" ht="13">
      <c r="B3020" s="13"/>
    </row>
    <row r="3021" spans="2:2" ht="13">
      <c r="B3021" s="13"/>
    </row>
    <row r="3022" spans="2:2" ht="13">
      <c r="B3022" s="13"/>
    </row>
    <row r="3023" spans="2:2" ht="13">
      <c r="B3023" s="13"/>
    </row>
    <row r="3024" spans="2:2" ht="13">
      <c r="B3024" s="13"/>
    </row>
    <row r="3025" spans="2:2" ht="13">
      <c r="B3025" s="13"/>
    </row>
    <row r="3026" spans="2:2" ht="13">
      <c r="B3026" s="13"/>
    </row>
    <row r="3027" spans="2:2" ht="13">
      <c r="B3027" s="13"/>
    </row>
    <row r="3028" spans="2:2" ht="13">
      <c r="B3028" s="13"/>
    </row>
    <row r="3029" spans="2:2" ht="13">
      <c r="B3029" s="13"/>
    </row>
    <row r="3030" spans="2:2" ht="13">
      <c r="B3030" s="13"/>
    </row>
    <row r="3031" spans="2:2" ht="13">
      <c r="B3031" s="13"/>
    </row>
    <row r="3032" spans="2:2" ht="13">
      <c r="B3032" s="13"/>
    </row>
    <row r="3033" spans="2:2" ht="13">
      <c r="B3033" s="13"/>
    </row>
    <row r="3034" spans="2:2" ht="13">
      <c r="B3034" s="13"/>
    </row>
    <row r="3035" spans="2:2" ht="13">
      <c r="B3035" s="13"/>
    </row>
    <row r="3036" spans="2:2" ht="13">
      <c r="B3036" s="13"/>
    </row>
    <row r="3037" spans="2:2" ht="13">
      <c r="B3037" s="13"/>
    </row>
    <row r="3038" spans="2:2" ht="13">
      <c r="B3038" s="13"/>
    </row>
    <row r="3039" spans="2:2" ht="13">
      <c r="B3039" s="13"/>
    </row>
    <row r="3040" spans="2:2" ht="13">
      <c r="B3040" s="13"/>
    </row>
    <row r="3041" spans="2:2" ht="13">
      <c r="B3041" s="13"/>
    </row>
    <row r="3042" spans="2:2" ht="13">
      <c r="B3042" s="13"/>
    </row>
    <row r="3043" spans="2:2" ht="13">
      <c r="B3043" s="13"/>
    </row>
    <row r="3044" spans="2:2" ht="13">
      <c r="B3044" s="13"/>
    </row>
    <row r="3045" spans="2:2" ht="13">
      <c r="B3045" s="13"/>
    </row>
    <row r="3046" spans="2:2" ht="13">
      <c r="B3046" s="13"/>
    </row>
    <row r="3047" spans="2:2" ht="13">
      <c r="B3047" s="13"/>
    </row>
    <row r="3048" spans="2:2" ht="13">
      <c r="B3048" s="13"/>
    </row>
    <row r="3049" spans="2:2" ht="13">
      <c r="B3049" s="13"/>
    </row>
    <row r="3050" spans="2:2" ht="13">
      <c r="B3050" s="13"/>
    </row>
    <row r="3051" spans="2:2" ht="13">
      <c r="B3051" s="13"/>
    </row>
    <row r="3052" spans="2:2" ht="13">
      <c r="B3052" s="13"/>
    </row>
    <row r="3053" spans="2:2" ht="13">
      <c r="B3053" s="13"/>
    </row>
    <row r="3054" spans="2:2" ht="13">
      <c r="B3054" s="13"/>
    </row>
    <row r="3055" spans="2:2" ht="13">
      <c r="B3055" s="13"/>
    </row>
    <row r="3056" spans="2:2" ht="13">
      <c r="B3056" s="13"/>
    </row>
    <row r="3057" spans="2:2" ht="13">
      <c r="B3057" s="13"/>
    </row>
    <row r="3058" spans="2:2" ht="13">
      <c r="B3058" s="13"/>
    </row>
    <row r="3059" spans="2:2" ht="13">
      <c r="B3059" s="13"/>
    </row>
    <row r="3060" spans="2:2" ht="13">
      <c r="B3060" s="13"/>
    </row>
    <row r="3061" spans="2:2" ht="13">
      <c r="B3061" s="13"/>
    </row>
    <row r="3062" spans="2:2" ht="13">
      <c r="B3062" s="13"/>
    </row>
    <row r="3063" spans="2:2" ht="13">
      <c r="B3063" s="13"/>
    </row>
    <row r="3064" spans="2:2" ht="13">
      <c r="B3064" s="13"/>
    </row>
    <row r="3065" spans="2:2" ht="13">
      <c r="B3065" s="13"/>
    </row>
    <row r="3066" spans="2:2" ht="13">
      <c r="B3066" s="13"/>
    </row>
    <row r="3067" spans="2:2" ht="13">
      <c r="B3067" s="13"/>
    </row>
    <row r="3068" spans="2:2" ht="13">
      <c r="B3068" s="13"/>
    </row>
    <row r="3069" spans="2:2" ht="13">
      <c r="B3069" s="13"/>
    </row>
    <row r="3070" spans="2:2" ht="13">
      <c r="B3070" s="13"/>
    </row>
    <row r="3071" spans="2:2" ht="13">
      <c r="B3071" s="13"/>
    </row>
    <row r="3072" spans="2:2" ht="13">
      <c r="B3072" s="13"/>
    </row>
    <row r="3073" spans="2:2" ht="13">
      <c r="B3073" s="13"/>
    </row>
    <row r="3074" spans="2:2" ht="13">
      <c r="B3074" s="13"/>
    </row>
    <row r="3075" spans="2:2" ht="13">
      <c r="B3075" s="13"/>
    </row>
    <row r="3076" spans="2:2" ht="13">
      <c r="B3076" s="13"/>
    </row>
    <row r="3077" spans="2:2" ht="13">
      <c r="B3077" s="13"/>
    </row>
    <row r="3078" spans="2:2" ht="13">
      <c r="B3078" s="13"/>
    </row>
    <row r="3079" spans="2:2" ht="13">
      <c r="B3079" s="13"/>
    </row>
    <row r="3080" spans="2:2" ht="13">
      <c r="B3080" s="13"/>
    </row>
    <row r="3081" spans="2:2" ht="13">
      <c r="B3081" s="13"/>
    </row>
    <row r="3082" spans="2:2" ht="13">
      <c r="B3082" s="13"/>
    </row>
    <row r="3083" spans="2:2" ht="13">
      <c r="B3083" s="13"/>
    </row>
    <row r="3084" spans="2:2" ht="13">
      <c r="B3084" s="13"/>
    </row>
    <row r="3085" spans="2:2" ht="13">
      <c r="B3085" s="13"/>
    </row>
    <row r="3086" spans="2:2" ht="13">
      <c r="B3086" s="13"/>
    </row>
    <row r="3087" spans="2:2" ht="13">
      <c r="B3087" s="13"/>
    </row>
    <row r="3088" spans="2:2" ht="13">
      <c r="B3088" s="13"/>
    </row>
    <row r="3089" spans="2:2" ht="13">
      <c r="B3089" s="13"/>
    </row>
    <row r="3090" spans="2:2" ht="13">
      <c r="B3090" s="13"/>
    </row>
    <row r="3091" spans="2:2" ht="13">
      <c r="B3091" s="13"/>
    </row>
    <row r="3092" spans="2:2" ht="13">
      <c r="B3092" s="13"/>
    </row>
    <row r="3093" spans="2:2" ht="13">
      <c r="B3093" s="13"/>
    </row>
    <row r="3094" spans="2:2" ht="13">
      <c r="B3094" s="13"/>
    </row>
    <row r="3095" spans="2:2" ht="13">
      <c r="B3095" s="13"/>
    </row>
    <row r="3096" spans="2:2" ht="13">
      <c r="B3096" s="13"/>
    </row>
    <row r="3097" spans="2:2" ht="13">
      <c r="B3097" s="13"/>
    </row>
    <row r="3098" spans="2:2" ht="13">
      <c r="B3098" s="13"/>
    </row>
    <row r="3099" spans="2:2" ht="13">
      <c r="B3099" s="13"/>
    </row>
    <row r="3100" spans="2:2" ht="13">
      <c r="B3100" s="13"/>
    </row>
    <row r="3101" spans="2:2" ht="13">
      <c r="B3101" s="13"/>
    </row>
    <row r="3102" spans="2:2" ht="13">
      <c r="B3102" s="13"/>
    </row>
    <row r="3103" spans="2:2" ht="13">
      <c r="B3103" s="13"/>
    </row>
    <row r="3104" spans="2:2" ht="13">
      <c r="B3104" s="13"/>
    </row>
    <row r="3105" spans="2:2" ht="13">
      <c r="B3105" s="13"/>
    </row>
    <row r="3106" spans="2:2" ht="13">
      <c r="B3106" s="13"/>
    </row>
    <row r="3107" spans="2:2" ht="13">
      <c r="B3107" s="13"/>
    </row>
    <row r="3108" spans="2:2" ht="13">
      <c r="B3108" s="13"/>
    </row>
    <row r="3109" spans="2:2" ht="13">
      <c r="B3109" s="13"/>
    </row>
    <row r="3110" spans="2:2" ht="13">
      <c r="B3110" s="13"/>
    </row>
    <row r="3111" spans="2:2" ht="13">
      <c r="B3111" s="13"/>
    </row>
    <row r="3112" spans="2:2" ht="13">
      <c r="B3112" s="13"/>
    </row>
    <row r="3113" spans="2:2" ht="13">
      <c r="B3113" s="13"/>
    </row>
    <row r="3114" spans="2:2" ht="13">
      <c r="B3114" s="13"/>
    </row>
    <row r="3115" spans="2:2" ht="13">
      <c r="B3115" s="13"/>
    </row>
    <row r="3116" spans="2:2" ht="13">
      <c r="B3116" s="13"/>
    </row>
    <row r="3117" spans="2:2" ht="13">
      <c r="B3117" s="13"/>
    </row>
    <row r="3118" spans="2:2" ht="13">
      <c r="B3118" s="13"/>
    </row>
    <row r="3119" spans="2:2" ht="13">
      <c r="B3119" s="13"/>
    </row>
    <row r="3120" spans="2:2" ht="13">
      <c r="B3120" s="13"/>
    </row>
    <row r="3121" spans="2:2" ht="13">
      <c r="B3121" s="13"/>
    </row>
    <row r="3122" spans="2:2" ht="13">
      <c r="B3122" s="13"/>
    </row>
    <row r="3123" spans="2:2" ht="13">
      <c r="B3123" s="13"/>
    </row>
    <row r="3124" spans="2:2" ht="13">
      <c r="B3124" s="13"/>
    </row>
    <row r="3125" spans="2:2" ht="13">
      <c r="B3125" s="13"/>
    </row>
    <row r="3126" spans="2:2" ht="13">
      <c r="B3126" s="13"/>
    </row>
    <row r="3127" spans="2:2" ht="13">
      <c r="B3127" s="13"/>
    </row>
    <row r="3128" spans="2:2" ht="13">
      <c r="B3128" s="13"/>
    </row>
    <row r="3129" spans="2:2" ht="13">
      <c r="B3129" s="13"/>
    </row>
    <row r="3130" spans="2:2" ht="13">
      <c r="B3130" s="13"/>
    </row>
    <row r="3131" spans="2:2" ht="13">
      <c r="B3131" s="13"/>
    </row>
    <row r="3132" spans="2:2" ht="13">
      <c r="B3132" s="13"/>
    </row>
    <row r="3133" spans="2:2" ht="13">
      <c r="B3133" s="13"/>
    </row>
    <row r="3134" spans="2:2" ht="13">
      <c r="B3134" s="13"/>
    </row>
    <row r="3135" spans="2:2" ht="13">
      <c r="B3135" s="13"/>
    </row>
    <row r="3136" spans="2:2" ht="13">
      <c r="B3136" s="13"/>
    </row>
    <row r="3137" spans="2:2" ht="13">
      <c r="B3137" s="13"/>
    </row>
    <row r="3138" spans="2:2" ht="13">
      <c r="B3138" s="13"/>
    </row>
    <row r="3139" spans="2:2" ht="13">
      <c r="B3139" s="13"/>
    </row>
    <row r="3140" spans="2:2" ht="13">
      <c r="B3140" s="13"/>
    </row>
    <row r="3141" spans="2:2" ht="13">
      <c r="B3141" s="13"/>
    </row>
    <row r="3142" spans="2:2" ht="13">
      <c r="B3142" s="13"/>
    </row>
    <row r="3143" spans="2:2" ht="13">
      <c r="B3143" s="13"/>
    </row>
    <row r="3144" spans="2:2" ht="13">
      <c r="B3144" s="13"/>
    </row>
    <row r="3145" spans="2:2" ht="13">
      <c r="B3145" s="13"/>
    </row>
    <row r="3146" spans="2:2" ht="13">
      <c r="B3146" s="13"/>
    </row>
    <row r="3147" spans="2:2" ht="13">
      <c r="B3147" s="13"/>
    </row>
    <row r="3148" spans="2:2" ht="13">
      <c r="B3148" s="13"/>
    </row>
    <row r="3149" spans="2:2" ht="13">
      <c r="B3149" s="13"/>
    </row>
    <row r="3150" spans="2:2" ht="13">
      <c r="B3150" s="13"/>
    </row>
    <row r="3151" spans="2:2" ht="13">
      <c r="B3151" s="13"/>
    </row>
    <row r="3152" spans="2:2" ht="13">
      <c r="B3152" s="13"/>
    </row>
    <row r="3153" spans="2:16" ht="13">
      <c r="B3153" s="13"/>
    </row>
    <row r="3154" spans="2:16" ht="13">
      <c r="B3154" s="13"/>
    </row>
    <row r="3155" spans="2:16" ht="13">
      <c r="B3155" s="13"/>
    </row>
    <row r="3156" spans="2:16" ht="13">
      <c r="B3156" s="13"/>
    </row>
    <row r="3157" spans="2:16" ht="13">
      <c r="B3157" s="13"/>
      <c r="C3157" s="41"/>
      <c r="D3157" s="42"/>
      <c r="E3157" s="43"/>
      <c r="F3157" s="43"/>
      <c r="G3157" s="43"/>
      <c r="H3157" s="43"/>
      <c r="I3157" s="44"/>
      <c r="J3157" s="44"/>
      <c r="K3157" s="11"/>
      <c r="L3157" s="11"/>
      <c r="M3157" s="11"/>
      <c r="N3157" s="11"/>
      <c r="O3157" s="11"/>
      <c r="P3157" s="14"/>
    </row>
    <row r="3158" spans="2:16" ht="13">
      <c r="B3158" s="13"/>
      <c r="C3158" s="41"/>
      <c r="D3158" s="42"/>
      <c r="E3158" s="43"/>
      <c r="F3158" s="43"/>
      <c r="J3158" s="44"/>
      <c r="K3158" s="11"/>
      <c r="L3158" s="11"/>
      <c r="M3158" s="11"/>
      <c r="N3158" s="11"/>
      <c r="O3158" s="11"/>
      <c r="P3158" s="14"/>
    </row>
  </sheetData>
  <mergeCells count="23">
    <mergeCell ref="D39:M39"/>
    <mergeCell ref="D40:M40"/>
    <mergeCell ref="D35:M35"/>
    <mergeCell ref="D24:M24"/>
    <mergeCell ref="D32:M32"/>
    <mergeCell ref="D25:M25"/>
    <mergeCell ref="D31:M31"/>
    <mergeCell ref="D30:M30"/>
    <mergeCell ref="D29:M29"/>
    <mergeCell ref="D38:M38"/>
    <mergeCell ref="D37:M37"/>
    <mergeCell ref="D34:M34"/>
    <mergeCell ref="D33:M33"/>
    <mergeCell ref="D26:M26"/>
    <mergeCell ref="N10:O10"/>
    <mergeCell ref="N9:O9"/>
    <mergeCell ref="D12:O13"/>
    <mergeCell ref="D23:M23"/>
    <mergeCell ref="D22:M22"/>
    <mergeCell ref="D21:M21"/>
    <mergeCell ref="D18:M18"/>
    <mergeCell ref="D20:M20"/>
    <mergeCell ref="D19:M19"/>
  </mergeCells>
  <dataValidations count="3">
    <dataValidation type="list" allowBlank="1" sqref="L6" xr:uid="{00000000-0002-0000-0000-000001000000}">
      <formula1>"1 - Jan,2 - Feb,3 - Mar,4 - Apr,5 - May,6 - Jun,7 - Jul,8 - Aug,9 - Sep,10 - Oct,11 - Nov,12 - Dec"</formula1>
    </dataValidation>
    <dataValidation type="list" allowBlank="1" sqref="O29:O34 O18:O26 O37:O40" xr:uid="{00000000-0002-0000-0000-000002000000}">
      <formula1>"Positive,Neutral,Negative"</formula1>
    </dataValidation>
    <dataValidation type="list" allowBlank="1" sqref="L7" xr:uid="{00000000-0002-0000-0000-000003000000}">
      <formula1>"Yes,No"</formula1>
    </dataValidation>
  </dataValidations>
  <hyperlinks>
    <hyperlink ref="D8" r:id="rId1" xr:uid="{00000000-0004-0000-0000-000000000000}"/>
  </hyperlinks>
  <printOptions horizontalCentered="1"/>
  <pageMargins left="0.25" right="0.25" top="0.75" bottom="0.75" header="0" footer="0"/>
  <pageSetup scale="72" pageOrder="overThenDown" orientation="landscape" cellComments="atEnd"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0B27B-3D51-431C-AF8D-18C29A094C74}">
  <sheetPr>
    <pageSetUpPr fitToPage="1"/>
  </sheetPr>
  <dimension ref="A2:K39"/>
  <sheetViews>
    <sheetView showGridLines="0" view="pageBreakPreview" zoomScaleNormal="100" zoomScaleSheetLayoutView="100" workbookViewId="0">
      <selection activeCell="H28" sqref="H28"/>
    </sheetView>
  </sheetViews>
  <sheetFormatPr baseColWidth="10" defaultColWidth="8.6640625" defaultRowHeight="13"/>
  <cols>
    <col min="1" max="1" width="1.5" style="63" bestFit="1" customWidth="1"/>
    <col min="2" max="2" width="1.1640625" style="63" customWidth="1"/>
    <col min="3" max="3" width="26.83203125" style="63" customWidth="1"/>
    <col min="4" max="4" width="56.1640625" style="63" bestFit="1" customWidth="1"/>
    <col min="5" max="5" width="0.6640625" style="63" customWidth="1"/>
    <col min="6" max="9" width="11.83203125" style="63" customWidth="1"/>
    <col min="10" max="10" width="1.5" style="63" customWidth="1"/>
    <col min="11" max="16384" width="8.6640625" style="63"/>
  </cols>
  <sheetData>
    <row r="2" spans="1:11">
      <c r="A2" s="63" t="s">
        <v>4</v>
      </c>
      <c r="K2" s="63" t="s">
        <v>4</v>
      </c>
    </row>
    <row r="4" spans="1:11">
      <c r="B4" s="105"/>
      <c r="C4" s="106" t="s">
        <v>38</v>
      </c>
      <c r="D4" s="106"/>
      <c r="E4" s="106"/>
      <c r="F4" s="107">
        <v>2015</v>
      </c>
      <c r="G4" s="107">
        <v>2016</v>
      </c>
      <c r="H4" s="107">
        <v>2017</v>
      </c>
      <c r="I4" s="107">
        <v>2018</v>
      </c>
    </row>
    <row r="5" spans="1:11">
      <c r="B5" s="105"/>
      <c r="C5" s="173"/>
      <c r="D5" s="173"/>
      <c r="E5" s="179"/>
      <c r="F5" s="179"/>
      <c r="G5" s="104"/>
      <c r="H5" s="104"/>
      <c r="I5" s="104"/>
    </row>
    <row r="6" spans="1:11">
      <c r="B6" s="105"/>
      <c r="C6" s="64" t="s">
        <v>463</v>
      </c>
      <c r="D6" s="287" t="s">
        <v>464</v>
      </c>
      <c r="F6" s="275" t="s">
        <v>55</v>
      </c>
      <c r="G6" s="275" t="s">
        <v>55</v>
      </c>
      <c r="H6" s="275" t="s">
        <v>55</v>
      </c>
      <c r="I6" s="275" t="s">
        <v>55</v>
      </c>
    </row>
    <row r="7" spans="1:11">
      <c r="B7" s="105"/>
      <c r="C7" s="189" t="s">
        <v>465</v>
      </c>
      <c r="D7" s="209" t="s">
        <v>466</v>
      </c>
      <c r="F7" s="275" t="s">
        <v>55</v>
      </c>
      <c r="G7" s="275" t="s">
        <v>55</v>
      </c>
      <c r="H7" s="275" t="s">
        <v>55</v>
      </c>
      <c r="I7" s="275" t="s">
        <v>55</v>
      </c>
    </row>
    <row r="8" spans="1:11">
      <c r="B8" s="105"/>
      <c r="C8" s="64" t="s">
        <v>467</v>
      </c>
      <c r="D8" s="63" t="s">
        <v>468</v>
      </c>
      <c r="F8" s="275" t="s">
        <v>55</v>
      </c>
      <c r="G8" s="275" t="s">
        <v>55</v>
      </c>
      <c r="H8" s="275" t="s">
        <v>55</v>
      </c>
      <c r="I8" s="275" t="s">
        <v>55</v>
      </c>
    </row>
    <row r="9" spans="1:11">
      <c r="B9" s="105"/>
      <c r="C9" s="64" t="s">
        <v>469</v>
      </c>
      <c r="D9" s="290" t="s">
        <v>468</v>
      </c>
      <c r="F9" s="275" t="s">
        <v>55</v>
      </c>
      <c r="G9" s="275" t="s">
        <v>55</v>
      </c>
      <c r="H9" s="275" t="s">
        <v>55</v>
      </c>
      <c r="I9" s="275" t="s">
        <v>55</v>
      </c>
    </row>
    <row r="10" spans="1:11">
      <c r="B10" s="105"/>
      <c r="C10" s="64" t="s">
        <v>470</v>
      </c>
      <c r="D10" s="290" t="s">
        <v>471</v>
      </c>
      <c r="F10" s="275" t="s">
        <v>55</v>
      </c>
      <c r="G10" s="275" t="s">
        <v>55</v>
      </c>
      <c r="H10" s="275" t="s">
        <v>55</v>
      </c>
      <c r="I10" s="275" t="s">
        <v>55</v>
      </c>
    </row>
    <row r="11" spans="1:11">
      <c r="B11" s="105"/>
      <c r="C11" s="64" t="s">
        <v>472</v>
      </c>
      <c r="D11" s="290" t="s">
        <v>468</v>
      </c>
      <c r="F11" s="275" t="s">
        <v>55</v>
      </c>
      <c r="G11" s="275" t="s">
        <v>55</v>
      </c>
      <c r="H11" s="275" t="s">
        <v>55</v>
      </c>
      <c r="I11" s="275" t="s">
        <v>55</v>
      </c>
    </row>
    <row r="12" spans="1:11">
      <c r="B12" s="105"/>
      <c r="C12" s="64" t="s">
        <v>473</v>
      </c>
      <c r="D12" s="290" t="s">
        <v>471</v>
      </c>
      <c r="F12" s="275" t="s">
        <v>55</v>
      </c>
      <c r="G12" s="275" t="s">
        <v>55</v>
      </c>
      <c r="H12" s="275" t="s">
        <v>55</v>
      </c>
      <c r="I12" s="275" t="s">
        <v>55</v>
      </c>
    </row>
    <row r="13" spans="1:11">
      <c r="B13" s="105"/>
      <c r="C13" s="64" t="s">
        <v>474</v>
      </c>
      <c r="D13" s="290" t="s">
        <v>468</v>
      </c>
      <c r="F13" s="275" t="s">
        <v>55</v>
      </c>
      <c r="G13" s="275" t="s">
        <v>55</v>
      </c>
      <c r="H13" s="275" t="s">
        <v>55</v>
      </c>
      <c r="I13" s="275" t="s">
        <v>55</v>
      </c>
    </row>
    <row r="14" spans="1:11">
      <c r="B14" s="105"/>
      <c r="C14" s="64" t="s">
        <v>475</v>
      </c>
      <c r="D14" s="290" t="s">
        <v>468</v>
      </c>
      <c r="E14" s="179"/>
      <c r="F14" s="275" t="s">
        <v>55</v>
      </c>
      <c r="G14" s="275" t="s">
        <v>55</v>
      </c>
      <c r="H14" s="275" t="s">
        <v>55</v>
      </c>
      <c r="I14" s="275" t="s">
        <v>55</v>
      </c>
    </row>
    <row r="15" spans="1:11">
      <c r="B15" s="105"/>
      <c r="C15" s="64" t="s">
        <v>476</v>
      </c>
      <c r="D15" s="290" t="s">
        <v>468</v>
      </c>
      <c r="E15" s="179"/>
      <c r="F15" s="275" t="s">
        <v>55</v>
      </c>
      <c r="G15" s="275" t="s">
        <v>55</v>
      </c>
      <c r="H15" s="275" t="s">
        <v>55</v>
      </c>
      <c r="I15" s="275" t="s">
        <v>55</v>
      </c>
    </row>
    <row r="16" spans="1:11">
      <c r="B16" s="105"/>
      <c r="C16" s="64" t="s">
        <v>477</v>
      </c>
      <c r="D16" s="290" t="s">
        <v>471</v>
      </c>
      <c r="E16" s="179"/>
      <c r="F16" s="275" t="s">
        <v>55</v>
      </c>
      <c r="G16" s="275" t="s">
        <v>55</v>
      </c>
      <c r="H16" s="275" t="s">
        <v>55</v>
      </c>
      <c r="I16" s="275" t="s">
        <v>55</v>
      </c>
    </row>
    <row r="17" spans="2:9">
      <c r="B17" s="105"/>
      <c r="C17" s="173"/>
      <c r="D17" s="173"/>
      <c r="E17" s="179"/>
      <c r="F17" s="180"/>
      <c r="G17" s="104"/>
      <c r="H17" s="104"/>
      <c r="I17" s="104"/>
    </row>
    <row r="18" spans="2:9">
      <c r="B18" s="105"/>
      <c r="C18" s="64" t="s">
        <v>329</v>
      </c>
      <c r="D18" s="64"/>
      <c r="E18" s="181"/>
      <c r="F18" s="182">
        <f>SUM(F6:F17)</f>
        <v>0</v>
      </c>
      <c r="G18" s="182">
        <f>SUM(G6:G17)</f>
        <v>0</v>
      </c>
      <c r="H18" s="182">
        <f>SUM(H6:H17)</f>
        <v>0</v>
      </c>
      <c r="I18" s="182">
        <f>SUM(I6:I17)</f>
        <v>0</v>
      </c>
    </row>
    <row r="19" spans="2:9">
      <c r="B19" s="105"/>
      <c r="C19" s="173"/>
      <c r="D19" s="173"/>
      <c r="E19" s="179"/>
      <c r="F19" s="180"/>
      <c r="G19" s="104"/>
      <c r="H19" s="104"/>
      <c r="I19" s="104"/>
    </row>
    <row r="20" spans="2:9">
      <c r="B20" s="105"/>
      <c r="C20" s="106" t="s">
        <v>39</v>
      </c>
      <c r="D20" s="106"/>
      <c r="E20" s="107"/>
      <c r="F20" s="107">
        <v>2015</v>
      </c>
      <c r="G20" s="107">
        <v>2016</v>
      </c>
      <c r="H20" s="107">
        <v>2017</v>
      </c>
      <c r="I20" s="107">
        <v>2018</v>
      </c>
    </row>
    <row r="21" spans="2:9">
      <c r="B21" s="105"/>
      <c r="C21" s="104"/>
      <c r="D21" s="104"/>
      <c r="E21" s="117"/>
      <c r="F21" s="117"/>
      <c r="G21" s="117"/>
      <c r="H21" s="117"/>
      <c r="I21" s="104"/>
    </row>
    <row r="22" spans="2:9">
      <c r="B22" s="105"/>
      <c r="C22" s="64" t="s">
        <v>478</v>
      </c>
      <c r="D22" s="63" t="s">
        <v>479</v>
      </c>
      <c r="F22" s="275" t="s">
        <v>55</v>
      </c>
      <c r="G22" s="275" t="s">
        <v>55</v>
      </c>
      <c r="H22" s="275" t="s">
        <v>55</v>
      </c>
      <c r="I22" s="275" t="s">
        <v>55</v>
      </c>
    </row>
    <row r="23" spans="2:9">
      <c r="B23" s="105"/>
      <c r="C23" s="64" t="s">
        <v>480</v>
      </c>
      <c r="D23" s="63" t="s">
        <v>481</v>
      </c>
      <c r="F23" s="275" t="s">
        <v>55</v>
      </c>
      <c r="G23" s="275" t="s">
        <v>55</v>
      </c>
      <c r="H23" s="275" t="s">
        <v>55</v>
      </c>
      <c r="I23" s="275" t="s">
        <v>55</v>
      </c>
    </row>
    <row r="24" spans="2:9">
      <c r="B24" s="105"/>
      <c r="C24" s="183" t="s">
        <v>482</v>
      </c>
      <c r="D24" s="210" t="s">
        <v>483</v>
      </c>
      <c r="F24" s="275" t="s">
        <v>55</v>
      </c>
      <c r="G24" s="275" t="s">
        <v>55</v>
      </c>
      <c r="H24" s="275" t="s">
        <v>55</v>
      </c>
      <c r="I24" s="275" t="s">
        <v>55</v>
      </c>
    </row>
    <row r="25" spans="2:9">
      <c r="B25" s="105"/>
      <c r="C25" s="64" t="s">
        <v>484</v>
      </c>
      <c r="D25" s="210" t="s">
        <v>485</v>
      </c>
      <c r="F25" s="275" t="s">
        <v>55</v>
      </c>
      <c r="G25" s="275" t="s">
        <v>55</v>
      </c>
      <c r="H25" s="275" t="s">
        <v>55</v>
      </c>
      <c r="I25" s="275" t="s">
        <v>55</v>
      </c>
    </row>
    <row r="26" spans="2:9">
      <c r="B26" s="105"/>
      <c r="C26" s="64" t="s">
        <v>486</v>
      </c>
      <c r="D26" s="210" t="s">
        <v>487</v>
      </c>
      <c r="F26" s="275" t="s">
        <v>55</v>
      </c>
      <c r="G26" s="275" t="s">
        <v>55</v>
      </c>
      <c r="H26" s="275" t="s">
        <v>55</v>
      </c>
      <c r="I26" s="275" t="s">
        <v>55</v>
      </c>
    </row>
    <row r="27" spans="2:9">
      <c r="B27" s="105"/>
      <c r="C27" s="64" t="s">
        <v>488</v>
      </c>
      <c r="D27" s="63" t="s">
        <v>489</v>
      </c>
      <c r="E27" s="104"/>
      <c r="F27" s="277" t="s">
        <v>55</v>
      </c>
      <c r="G27" s="277" t="s">
        <v>55</v>
      </c>
      <c r="H27" s="277" t="s">
        <v>55</v>
      </c>
      <c r="I27" s="275" t="s">
        <v>55</v>
      </c>
    </row>
    <row r="28" spans="2:9">
      <c r="B28" s="105"/>
      <c r="C28" s="64" t="s">
        <v>490</v>
      </c>
      <c r="D28" s="210" t="s">
        <v>491</v>
      </c>
      <c r="E28" s="104"/>
      <c r="F28" s="275" t="s">
        <v>55</v>
      </c>
      <c r="G28" s="275" t="s">
        <v>55</v>
      </c>
      <c r="H28" s="277" t="s">
        <v>55</v>
      </c>
      <c r="I28" s="275" t="s">
        <v>55</v>
      </c>
    </row>
    <row r="29" spans="2:9">
      <c r="B29" s="105"/>
      <c r="C29" s="64" t="s">
        <v>492</v>
      </c>
      <c r="D29" s="210" t="s">
        <v>493</v>
      </c>
      <c r="E29" s="104"/>
      <c r="F29" s="275" t="s">
        <v>55</v>
      </c>
      <c r="G29" s="275" t="s">
        <v>55</v>
      </c>
      <c r="H29" s="275" t="s">
        <v>55</v>
      </c>
      <c r="I29" s="275" t="s">
        <v>55</v>
      </c>
    </row>
    <row r="30" spans="2:9">
      <c r="B30" s="105"/>
      <c r="C30" s="64" t="s">
        <v>494</v>
      </c>
      <c r="D30" s="210" t="s">
        <v>495</v>
      </c>
      <c r="E30" s="104"/>
      <c r="F30" s="275" t="s">
        <v>55</v>
      </c>
      <c r="G30" s="275" t="s">
        <v>55</v>
      </c>
      <c r="H30" s="275" t="s">
        <v>55</v>
      </c>
      <c r="I30" s="275" t="s">
        <v>55</v>
      </c>
    </row>
    <row r="31" spans="2:9">
      <c r="B31" s="105"/>
      <c r="C31" s="64" t="s">
        <v>496</v>
      </c>
      <c r="D31" s="210" t="s">
        <v>497</v>
      </c>
      <c r="E31" s="104"/>
      <c r="F31" s="275" t="s">
        <v>55</v>
      </c>
      <c r="G31" s="275" t="s">
        <v>55</v>
      </c>
      <c r="H31" s="275" t="s">
        <v>55</v>
      </c>
      <c r="I31" s="275" t="s">
        <v>55</v>
      </c>
    </row>
    <row r="32" spans="2:9">
      <c r="B32" s="105"/>
      <c r="C32" s="64" t="s">
        <v>498</v>
      </c>
      <c r="D32" s="210" t="s">
        <v>499</v>
      </c>
      <c r="E32" s="104"/>
      <c r="F32" s="275" t="s">
        <v>55</v>
      </c>
      <c r="G32" s="275" t="s">
        <v>55</v>
      </c>
      <c r="H32" s="275" t="s">
        <v>55</v>
      </c>
      <c r="I32" s="275" t="s">
        <v>55</v>
      </c>
    </row>
    <row r="33" spans="1:11" s="290" customFormat="1">
      <c r="B33" s="105"/>
      <c r="C33" s="64" t="s">
        <v>500</v>
      </c>
      <c r="D33" s="210" t="s">
        <v>501</v>
      </c>
      <c r="E33" s="104"/>
      <c r="F33" s="275"/>
      <c r="G33" s="275"/>
      <c r="H33" s="275"/>
      <c r="I33" s="275"/>
    </row>
    <row r="34" spans="1:11" s="290" customFormat="1">
      <c r="B34" s="105"/>
      <c r="C34" s="64" t="s">
        <v>502</v>
      </c>
      <c r="D34" s="210" t="s">
        <v>503</v>
      </c>
      <c r="E34" s="104"/>
      <c r="F34" s="275"/>
      <c r="G34" s="275"/>
      <c r="H34" s="275"/>
      <c r="I34" s="275"/>
    </row>
    <row r="35" spans="1:11" s="290" customFormat="1">
      <c r="B35" s="105"/>
      <c r="C35" s="64" t="s">
        <v>504</v>
      </c>
      <c r="D35" s="210" t="s">
        <v>505</v>
      </c>
      <c r="E35" s="104"/>
      <c r="F35" s="275"/>
      <c r="G35" s="275"/>
      <c r="H35" s="275"/>
      <c r="I35" s="275"/>
    </row>
    <row r="36" spans="1:11">
      <c r="B36" s="105"/>
      <c r="C36" s="178"/>
      <c r="E36" s="117"/>
      <c r="F36" s="268"/>
      <c r="G36" s="268"/>
      <c r="H36" s="268"/>
      <c r="I36" s="268"/>
    </row>
    <row r="37" spans="1:11">
      <c r="B37" s="105"/>
      <c r="C37" s="64" t="s">
        <v>330</v>
      </c>
      <c r="D37" s="64"/>
      <c r="E37" s="181"/>
      <c r="F37" s="182">
        <f>SUM(F22:F32)</f>
        <v>0</v>
      </c>
      <c r="G37" s="182">
        <f t="shared" ref="G37:I37" si="0">SUM(G22:G32)</f>
        <v>0</v>
      </c>
      <c r="H37" s="182">
        <f t="shared" si="0"/>
        <v>0</v>
      </c>
      <c r="I37" s="182">
        <f t="shared" si="0"/>
        <v>0</v>
      </c>
    </row>
    <row r="39" spans="1:11">
      <c r="A39" s="63" t="s">
        <v>4</v>
      </c>
      <c r="K39" s="63" t="s">
        <v>4</v>
      </c>
    </row>
  </sheetData>
  <pageMargins left="0.7" right="0.7" top="0.75" bottom="0.75" header="0.3" footer="0.3"/>
  <pageSetup scale="8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905D-B153-448D-B9D6-0373B35619DA}">
  <sheetPr>
    <tabColor theme="1"/>
  </sheetPr>
  <dimension ref="A1:U1048576"/>
  <sheetViews>
    <sheetView topLeftCell="A2" zoomScaleNormal="100" workbookViewId="0">
      <selection activeCell="E3" sqref="E3"/>
    </sheetView>
  </sheetViews>
  <sheetFormatPr baseColWidth="10" defaultColWidth="8.6640625" defaultRowHeight="13"/>
  <cols>
    <col min="1" max="1" width="11.5" style="75" customWidth="1"/>
    <col min="2" max="4" width="8" style="75" bestFit="1" customWidth="1"/>
    <col min="5" max="5" width="8.1640625" style="75" bestFit="1" customWidth="1"/>
    <col min="6" max="6" width="8" style="75" bestFit="1" customWidth="1"/>
    <col min="7" max="7" width="10.6640625" style="75" bestFit="1" customWidth="1"/>
    <col min="8" max="8" width="8" style="75" bestFit="1" customWidth="1"/>
    <col min="9" max="9" width="7.6640625" style="75" bestFit="1" customWidth="1"/>
    <col min="10" max="10" width="8.6640625" style="75" bestFit="1"/>
    <col min="11" max="11" width="9.83203125" style="75" bestFit="1" customWidth="1"/>
    <col min="12" max="12" width="7.6640625" style="75" customWidth="1"/>
    <col min="13" max="13" width="9.83203125" style="75" bestFit="1" customWidth="1"/>
    <col min="14" max="14" width="8.6640625" style="75" bestFit="1"/>
    <col min="15" max="15" width="8.6640625" style="75" bestFit="1" customWidth="1"/>
    <col min="16" max="18" width="10.33203125" style="44" customWidth="1"/>
    <col min="19" max="21" width="8.6640625" style="75" bestFit="1"/>
    <col min="22" max="16384" width="8.6640625" style="75"/>
  </cols>
  <sheetData>
    <row r="1" spans="1:21">
      <c r="A1" s="84" t="s">
        <v>142</v>
      </c>
      <c r="B1" s="84"/>
      <c r="C1" s="84"/>
      <c r="D1" s="84"/>
      <c r="E1" s="84"/>
      <c r="F1" s="84"/>
      <c r="G1" s="84"/>
      <c r="H1" s="84"/>
      <c r="I1" s="84"/>
      <c r="J1" s="84"/>
      <c r="K1" s="84"/>
      <c r="L1" s="84"/>
      <c r="M1" s="84"/>
      <c r="N1" s="84"/>
      <c r="O1" s="84"/>
      <c r="P1" s="84"/>
      <c r="Q1" s="84"/>
      <c r="R1" s="84"/>
      <c r="S1" s="84"/>
      <c r="T1" s="75" t="s">
        <v>4</v>
      </c>
      <c r="U1" s="75">
        <v>0</v>
      </c>
    </row>
    <row r="2" spans="1:21" ht="42">
      <c r="A2" s="193" t="s">
        <v>37</v>
      </c>
      <c r="B2" s="194" t="s">
        <v>317</v>
      </c>
      <c r="C2" s="194" t="s">
        <v>318</v>
      </c>
      <c r="D2" s="194" t="s">
        <v>316</v>
      </c>
      <c r="E2" s="194" t="s">
        <v>143</v>
      </c>
      <c r="F2" s="194" t="s">
        <v>315</v>
      </c>
      <c r="G2" s="194" t="s">
        <v>301</v>
      </c>
      <c r="H2" s="195" t="s">
        <v>144</v>
      </c>
      <c r="I2" s="195" t="s">
        <v>145</v>
      </c>
      <c r="J2" s="195" t="s">
        <v>146</v>
      </c>
      <c r="K2" s="195" t="s">
        <v>147</v>
      </c>
      <c r="L2" s="195" t="s">
        <v>323</v>
      </c>
      <c r="M2" s="195" t="s">
        <v>302</v>
      </c>
      <c r="N2" s="195" t="s">
        <v>303</v>
      </c>
      <c r="O2" s="195" t="s">
        <v>148</v>
      </c>
      <c r="P2" s="195" t="s">
        <v>26</v>
      </c>
      <c r="Q2" s="195" t="s">
        <v>325</v>
      </c>
      <c r="R2" s="195" t="s">
        <v>328</v>
      </c>
      <c r="S2" s="195" t="s">
        <v>324</v>
      </c>
    </row>
    <row r="3" spans="1:21">
      <c r="A3" s="196">
        <v>39973</v>
      </c>
      <c r="B3" s="122">
        <v>10.35</v>
      </c>
      <c r="C3" s="122">
        <v>10.47</v>
      </c>
      <c r="D3" s="122">
        <v>10.18</v>
      </c>
      <c r="E3" s="122">
        <v>10.45</v>
      </c>
      <c r="F3" s="122">
        <v>6.589429</v>
      </c>
      <c r="G3" s="197">
        <v>181000</v>
      </c>
      <c r="H3" s="198">
        <f>E3*(1+'Trading Model'!$E$13)</f>
        <v>10.9725</v>
      </c>
      <c r="I3" s="198">
        <f>E3*(1-'Trading Model'!$E$14)</f>
        <v>9.9274999999999984</v>
      </c>
      <c r="J3" s="198">
        <f>-E3</f>
        <v>-10.45</v>
      </c>
      <c r="K3" s="198">
        <v>0</v>
      </c>
      <c r="L3" s="198">
        <f>-'Trading Model'!E15</f>
        <v>-0.1</v>
      </c>
      <c r="M3" s="198">
        <f t="shared" ref="M3:M66" si="0">SUM(J3:L3)</f>
        <v>-10.549999999999999</v>
      </c>
      <c r="N3" s="153">
        <v>1</v>
      </c>
      <c r="O3" s="257">
        <f>M3</f>
        <v>-10.549999999999999</v>
      </c>
      <c r="P3" s="199">
        <f t="shared" ref="P3:P66" si="1">IFERROR(VLOOKUP(A3,Dividends,2,FALSE),$U$1)</f>
        <v>0</v>
      </c>
      <c r="Q3" s="160">
        <v>100</v>
      </c>
      <c r="R3" s="160" t="s">
        <v>55</v>
      </c>
      <c r="S3" s="200" t="s">
        <v>55</v>
      </c>
    </row>
    <row r="4" spans="1:21">
      <c r="A4" s="196">
        <v>39974</v>
      </c>
      <c r="B4" s="122">
        <v>10.47</v>
      </c>
      <c r="C4" s="122">
        <v>10.7</v>
      </c>
      <c r="D4" s="122">
        <v>10.47</v>
      </c>
      <c r="E4" s="122">
        <v>10.68</v>
      </c>
      <c r="F4" s="122">
        <v>6.7344600000000003</v>
      </c>
      <c r="G4" s="197">
        <v>261800</v>
      </c>
      <c r="H4" s="198">
        <f>IF(AND(E3&gt;=H3,E4&gt;=E3),E3*(1+'Trading Model'!$E$13),IF(AND(E4&lt;E3,E3&gt;=H3),E4*(1+'Trading Model'!$E$13),H3))</f>
        <v>10.9725</v>
      </c>
      <c r="I4" s="198">
        <f>IF(K4&gt;0,E4*(1-'Trading Model'!E14),IF(E4&lt;I3,I3*(1-'Trading Model'!$E$14),I3))</f>
        <v>9.9274999999999984</v>
      </c>
      <c r="J4" s="198">
        <f>IF(I3&gt;=E4,-E4,0)</f>
        <v>0</v>
      </c>
      <c r="K4" s="198">
        <f t="shared" ref="K4:K67" si="2">IF(E4&gt;=H4,E4,0)</f>
        <v>0</v>
      </c>
      <c r="L4" s="198">
        <f>COUNTIF(J4:K4,"&lt;&gt;0")*-'Trading Model'!$E$15</f>
        <v>0</v>
      </c>
      <c r="M4" s="198">
        <f t="shared" si="0"/>
        <v>0</v>
      </c>
      <c r="N4" s="75">
        <f t="shared" ref="N4:N67" si="3">IF(AND(J4&lt;0,K4&gt;0),N3,(IF(J4&lt;0,N3+1,IF(K4&gt;0,N3+1,N3))))</f>
        <v>1</v>
      </c>
      <c r="O4" s="202">
        <f t="shared" ref="O4:O67" si="4">P4</f>
        <v>0</v>
      </c>
      <c r="P4" s="199">
        <f t="shared" si="1"/>
        <v>0</v>
      </c>
      <c r="Q4" s="203">
        <f t="shared" ref="Q4:Q67" si="5">IF(E4&lt;E3,Q3-0.1,Q3)</f>
        <v>100</v>
      </c>
      <c r="R4" s="203" t="s">
        <v>55</v>
      </c>
      <c r="S4" s="201">
        <f t="shared" ref="S4:S67" si="6">E4/E3-1</f>
        <v>2.2009569377990479E-2</v>
      </c>
    </row>
    <row r="5" spans="1:21">
      <c r="A5" s="196">
        <v>39975</v>
      </c>
      <c r="B5" s="122">
        <v>10.64</v>
      </c>
      <c r="C5" s="122">
        <v>10.87</v>
      </c>
      <c r="D5" s="122">
        <v>10.47</v>
      </c>
      <c r="E5" s="122">
        <v>10.5</v>
      </c>
      <c r="F5" s="122">
        <v>6.620959</v>
      </c>
      <c r="G5" s="197">
        <v>266600</v>
      </c>
      <c r="H5" s="198">
        <f>IF(AND(E4&gt;=H4,E5&gt;=E4),E4*(1+'Trading Model'!$E$13),IF(AND(E5&lt;E4,E4&gt;=H4),E5*(1+'Trading Model'!$E$13),H4))</f>
        <v>10.9725</v>
      </c>
      <c r="I5" s="198">
        <f>IF(K5&gt;0,E5*(1-'Trading Model'!E15),IF(E5&lt;I4,I4*(1-'Trading Model'!$E$14),I4))</f>
        <v>9.9274999999999984</v>
      </c>
      <c r="J5" s="198">
        <f t="shared" ref="J5:J68" si="7">IF(E5&gt;=H5,-E5,IF(E5&lt;=I4,-E5,0))</f>
        <v>0</v>
      </c>
      <c r="K5" s="198">
        <f t="shared" si="2"/>
        <v>0</v>
      </c>
      <c r="L5" s="198">
        <f>COUNTIF(J5:K5,"&lt;&gt;0")*-'Trading Model'!$E$15</f>
        <v>0</v>
      </c>
      <c r="M5" s="198">
        <f t="shared" si="0"/>
        <v>0</v>
      </c>
      <c r="N5" s="75">
        <f t="shared" si="3"/>
        <v>1</v>
      </c>
      <c r="O5" s="202">
        <f t="shared" si="4"/>
        <v>0</v>
      </c>
      <c r="P5" s="199">
        <f t="shared" si="1"/>
        <v>0</v>
      </c>
      <c r="Q5" s="203">
        <f t="shared" si="5"/>
        <v>99.9</v>
      </c>
      <c r="R5" s="203" t="s">
        <v>55</v>
      </c>
      <c r="S5" s="201">
        <f t="shared" si="6"/>
        <v>-1.6853932584269593E-2</v>
      </c>
    </row>
    <row r="6" spans="1:21">
      <c r="A6" s="196">
        <v>39976</v>
      </c>
      <c r="B6" s="122">
        <v>10.41</v>
      </c>
      <c r="C6" s="122">
        <v>10.62</v>
      </c>
      <c r="D6" s="122">
        <v>10.29</v>
      </c>
      <c r="E6" s="122">
        <v>10.45</v>
      </c>
      <c r="F6" s="122">
        <v>6.589429</v>
      </c>
      <c r="G6" s="197">
        <v>207700</v>
      </c>
      <c r="H6" s="198">
        <f>IF(AND(E5&gt;=H5,E6&gt;=E5),E5*(1+'Trading Model'!$E$13),IF(AND(E6&lt;E5,E5&gt;=H5),E6*(1+'Trading Model'!$E$13),H5))</f>
        <v>10.9725</v>
      </c>
      <c r="I6" s="198">
        <f>IF(K6&gt;0,E6*(1-'Trading Model'!E16),IF(E6&lt;I5,I5*(1-'Trading Model'!$E$14),I5))</f>
        <v>9.9274999999999984</v>
      </c>
      <c r="J6" s="198">
        <f t="shared" si="7"/>
        <v>0</v>
      </c>
      <c r="K6" s="198">
        <f t="shared" si="2"/>
        <v>0</v>
      </c>
      <c r="L6" s="198">
        <f>COUNTIF(J6:K6,"&lt;&gt;0")*-'Trading Model'!$E$15</f>
        <v>0</v>
      </c>
      <c r="M6" s="198">
        <f t="shared" si="0"/>
        <v>0</v>
      </c>
      <c r="N6" s="75">
        <f t="shared" si="3"/>
        <v>1</v>
      </c>
      <c r="O6" s="202">
        <f t="shared" si="4"/>
        <v>0</v>
      </c>
      <c r="P6" s="199">
        <f t="shared" si="1"/>
        <v>0</v>
      </c>
      <c r="Q6" s="203">
        <f t="shared" si="5"/>
        <v>99.800000000000011</v>
      </c>
      <c r="R6" s="203" t="s">
        <v>55</v>
      </c>
      <c r="S6" s="201">
        <f t="shared" si="6"/>
        <v>-4.761904761904856E-3</v>
      </c>
    </row>
    <row r="7" spans="1:21">
      <c r="A7" s="196">
        <v>39979</v>
      </c>
      <c r="B7" s="122">
        <v>10.41</v>
      </c>
      <c r="C7" s="122">
        <v>10.87</v>
      </c>
      <c r="D7" s="122">
        <v>10.3</v>
      </c>
      <c r="E7" s="122">
        <v>10.75</v>
      </c>
      <c r="F7" s="122">
        <v>6.7786</v>
      </c>
      <c r="G7" s="197">
        <v>217600</v>
      </c>
      <c r="H7" s="198">
        <f>IF(AND(E6&gt;=H6,E7&gt;=E6),E6*(1+'Trading Model'!$E$13),IF(AND(E7&lt;E6,E6&gt;=H6),E7*(1+'Trading Model'!$E$13),H6))</f>
        <v>10.9725</v>
      </c>
      <c r="I7" s="198">
        <f>IF(K7&gt;0,E7*(1-'Trading Model'!E17),IF(E7&lt;I6,I6*(1-'Trading Model'!$E$14),I6))</f>
        <v>9.9274999999999984</v>
      </c>
      <c r="J7" s="198">
        <f t="shared" si="7"/>
        <v>0</v>
      </c>
      <c r="K7" s="198">
        <f t="shared" si="2"/>
        <v>0</v>
      </c>
      <c r="L7" s="198">
        <f>COUNTIF(J7:K7,"&lt;&gt;0")*-'Trading Model'!$E$15</f>
        <v>0</v>
      </c>
      <c r="M7" s="198">
        <f t="shared" si="0"/>
        <v>0</v>
      </c>
      <c r="N7" s="75">
        <f t="shared" si="3"/>
        <v>1</v>
      </c>
      <c r="O7" s="202">
        <f t="shared" si="4"/>
        <v>0</v>
      </c>
      <c r="P7" s="199">
        <f t="shared" si="1"/>
        <v>0</v>
      </c>
      <c r="Q7" s="203">
        <f t="shared" si="5"/>
        <v>99.800000000000011</v>
      </c>
      <c r="R7" s="201">
        <f>E7/B3-1</f>
        <v>3.8647342995169032E-2</v>
      </c>
      <c r="S7" s="201">
        <f t="shared" si="6"/>
        <v>2.8708133971292016E-2</v>
      </c>
    </row>
    <row r="8" spans="1:21">
      <c r="A8" s="196">
        <v>39980</v>
      </c>
      <c r="B8" s="122">
        <v>10.77</v>
      </c>
      <c r="C8" s="122">
        <v>10.77</v>
      </c>
      <c r="D8" s="122">
        <v>10.029999999999999</v>
      </c>
      <c r="E8" s="122">
        <v>10.15</v>
      </c>
      <c r="F8" s="122">
        <v>6.400258</v>
      </c>
      <c r="G8" s="197">
        <v>344000</v>
      </c>
      <c r="H8" s="198">
        <f>IF(AND(E7&gt;=H7,E8&gt;=E7),E7*(1+'Trading Model'!$E$13),IF(AND(E8&lt;E7,E7&gt;=H7),E8*(1+'Trading Model'!$E$13),H7))</f>
        <v>10.9725</v>
      </c>
      <c r="I8" s="198">
        <f>IF(K8&gt;0,E8*(1-'Trading Model'!E18),IF(E8&lt;I7,I7*(1-'Trading Model'!$E$14),I7))</f>
        <v>9.9274999999999984</v>
      </c>
      <c r="J8" s="198">
        <f t="shared" si="7"/>
        <v>0</v>
      </c>
      <c r="K8" s="198">
        <f t="shared" si="2"/>
        <v>0</v>
      </c>
      <c r="L8" s="198">
        <f>COUNTIF(J8:K8,"&lt;&gt;0")*-'Trading Model'!$E$15</f>
        <v>0</v>
      </c>
      <c r="M8" s="198">
        <f t="shared" si="0"/>
        <v>0</v>
      </c>
      <c r="N8" s="75">
        <f t="shared" si="3"/>
        <v>1</v>
      </c>
      <c r="O8" s="202">
        <f t="shared" si="4"/>
        <v>0</v>
      </c>
      <c r="P8" s="199">
        <f t="shared" si="1"/>
        <v>0</v>
      </c>
      <c r="Q8" s="203">
        <f t="shared" si="5"/>
        <v>99.700000000000017</v>
      </c>
      <c r="R8" s="160" t="s">
        <v>55</v>
      </c>
      <c r="S8" s="201">
        <f t="shared" si="6"/>
        <v>-5.5813953488372037E-2</v>
      </c>
    </row>
    <row r="9" spans="1:21">
      <c r="A9" s="196">
        <v>39981</v>
      </c>
      <c r="B9" s="122">
        <v>10.19</v>
      </c>
      <c r="C9" s="122">
        <v>10.72</v>
      </c>
      <c r="D9" s="122">
        <v>10.14</v>
      </c>
      <c r="E9" s="122">
        <v>10.66</v>
      </c>
      <c r="F9" s="122">
        <v>6.7218479999999996</v>
      </c>
      <c r="G9" s="197">
        <v>266400</v>
      </c>
      <c r="H9" s="198">
        <f>IF(AND(E8&gt;=H8,E9&gt;=E8),E8*(1+'Trading Model'!$E$13),IF(AND(E9&lt;E8,E8&gt;=H8),E9*(1+'Trading Model'!$E$13),H8))</f>
        <v>10.9725</v>
      </c>
      <c r="I9" s="198">
        <f>IF(K9&gt;0,E9*(1-'Trading Model'!E19),IF(E9&lt;I8,I8*(1-'Trading Model'!$E$14),I8))</f>
        <v>9.9274999999999984</v>
      </c>
      <c r="J9" s="198">
        <f t="shared" si="7"/>
        <v>0</v>
      </c>
      <c r="K9" s="198">
        <f t="shared" si="2"/>
        <v>0</v>
      </c>
      <c r="L9" s="198">
        <f>COUNTIF(J9:K9,"&lt;&gt;0")*-'Trading Model'!$E$15</f>
        <v>0</v>
      </c>
      <c r="M9" s="198">
        <f t="shared" si="0"/>
        <v>0</v>
      </c>
      <c r="N9" s="75">
        <f t="shared" si="3"/>
        <v>1</v>
      </c>
      <c r="O9" s="202">
        <f t="shared" si="4"/>
        <v>0</v>
      </c>
      <c r="P9" s="199">
        <f t="shared" si="1"/>
        <v>0</v>
      </c>
      <c r="Q9" s="203">
        <f t="shared" si="5"/>
        <v>99.700000000000017</v>
      </c>
      <c r="R9" s="203" t="s">
        <v>55</v>
      </c>
      <c r="S9" s="201">
        <f t="shared" si="6"/>
        <v>5.0246305418719217E-2</v>
      </c>
    </row>
    <row r="10" spans="1:21">
      <c r="A10" s="196">
        <v>39982</v>
      </c>
      <c r="B10" s="122">
        <v>10.61</v>
      </c>
      <c r="C10" s="122">
        <v>10.84</v>
      </c>
      <c r="D10" s="122">
        <v>10.53</v>
      </c>
      <c r="E10" s="122">
        <v>10.62</v>
      </c>
      <c r="F10" s="122">
        <v>6.6966260000000002</v>
      </c>
      <c r="G10" s="197">
        <v>557800</v>
      </c>
      <c r="H10" s="198">
        <f>IF(AND(E9&gt;=H9,E10&gt;=E9),E9*(1+'Trading Model'!$E$13),IF(AND(E10&lt;E9,E9&gt;=H9),E10*(1+'Trading Model'!$E$13),H9))</f>
        <v>10.9725</v>
      </c>
      <c r="I10" s="198">
        <f>IF(K10&gt;0,E10*(1-'Trading Model'!E20),IF(E10&lt;I9,I9*(1-'Trading Model'!$E$14),I9))</f>
        <v>9.9274999999999984</v>
      </c>
      <c r="J10" s="198">
        <f t="shared" si="7"/>
        <v>0</v>
      </c>
      <c r="K10" s="198">
        <f t="shared" si="2"/>
        <v>0</v>
      </c>
      <c r="L10" s="198">
        <f>COUNTIF(J10:K10,"&lt;&gt;0")*-'Trading Model'!$E$15</f>
        <v>0</v>
      </c>
      <c r="M10" s="198">
        <f t="shared" si="0"/>
        <v>0</v>
      </c>
      <c r="N10" s="75">
        <f t="shared" si="3"/>
        <v>1</v>
      </c>
      <c r="O10" s="202">
        <f t="shared" si="4"/>
        <v>0</v>
      </c>
      <c r="P10" s="199">
        <f t="shared" si="1"/>
        <v>0</v>
      </c>
      <c r="Q10" s="203">
        <f t="shared" si="5"/>
        <v>99.600000000000023</v>
      </c>
      <c r="R10" s="203" t="s">
        <v>55</v>
      </c>
      <c r="S10" s="201">
        <f t="shared" si="6"/>
        <v>-3.7523452157599557E-3</v>
      </c>
    </row>
    <row r="11" spans="1:21">
      <c r="A11" s="196">
        <v>39983</v>
      </c>
      <c r="B11" s="122">
        <v>10.71</v>
      </c>
      <c r="C11" s="122">
        <v>11.19</v>
      </c>
      <c r="D11" s="122">
        <v>10.62</v>
      </c>
      <c r="E11" s="122">
        <v>11</v>
      </c>
      <c r="F11" s="122">
        <v>6.9362409999999999</v>
      </c>
      <c r="G11" s="197">
        <v>347200</v>
      </c>
      <c r="H11" s="198">
        <f>IF(AND(E10&gt;=H10,E11&gt;=E10),E10*(1+'Trading Model'!$E$13),IF(AND(E11&lt;E10,E10&gt;=H10),E11*(1+'Trading Model'!$E$13),H10))</f>
        <v>10.9725</v>
      </c>
      <c r="I11" s="198">
        <f>IF(K11&gt;0,E11*(1-'Trading Model'!E21),IF(E11&lt;I10,I10*(1-'Trading Model'!$E$14),I10))</f>
        <v>11</v>
      </c>
      <c r="J11" s="198">
        <f t="shared" si="7"/>
        <v>-11</v>
      </c>
      <c r="K11" s="198">
        <f t="shared" si="2"/>
        <v>11</v>
      </c>
      <c r="L11" s="198">
        <f>COUNTIF(J11:K11,"&lt;&gt;0")*-'Trading Model'!$E$15</f>
        <v>-0.2</v>
      </c>
      <c r="M11" s="198">
        <f t="shared" si="0"/>
        <v>-0.2</v>
      </c>
      <c r="N11" s="75">
        <f t="shared" si="3"/>
        <v>1</v>
      </c>
      <c r="O11" s="202">
        <f t="shared" si="4"/>
        <v>0</v>
      </c>
      <c r="P11" s="199">
        <f t="shared" si="1"/>
        <v>0</v>
      </c>
      <c r="Q11" s="203">
        <f t="shared" si="5"/>
        <v>99.600000000000023</v>
      </c>
      <c r="R11" s="203" t="s">
        <v>55</v>
      </c>
      <c r="S11" s="201">
        <f t="shared" si="6"/>
        <v>3.5781544256120679E-2</v>
      </c>
    </row>
    <row r="12" spans="1:21">
      <c r="A12" s="196">
        <v>39986</v>
      </c>
      <c r="B12" s="122">
        <v>10.9</v>
      </c>
      <c r="C12" s="122">
        <v>11.44</v>
      </c>
      <c r="D12" s="122">
        <v>10.65</v>
      </c>
      <c r="E12" s="122">
        <v>11.32</v>
      </c>
      <c r="F12" s="122">
        <v>7.1380220000000003</v>
      </c>
      <c r="G12" s="197">
        <v>277300</v>
      </c>
      <c r="H12" s="198">
        <f>IF(AND(E11&gt;=H11,E12&gt;=E11),E11*(1+'Trading Model'!$E$13),IF(AND(E12&lt;E11,E11&gt;=H11),E12*(1+'Trading Model'!$E$13),H11))</f>
        <v>11.55</v>
      </c>
      <c r="I12" s="198">
        <f>IF(K12&gt;0,E12*(1-'Trading Model'!E22),IF(E12&lt;I11,I11*(1-'Trading Model'!$E$14),I11))</f>
        <v>11</v>
      </c>
      <c r="J12" s="198">
        <f t="shared" si="7"/>
        <v>0</v>
      </c>
      <c r="K12" s="198">
        <f t="shared" si="2"/>
        <v>0</v>
      </c>
      <c r="L12" s="198">
        <f>COUNTIF(J12:K12,"&lt;&gt;0")*-'Trading Model'!$E$15</f>
        <v>0</v>
      </c>
      <c r="M12" s="198">
        <f t="shared" si="0"/>
        <v>0</v>
      </c>
      <c r="N12" s="75">
        <f t="shared" si="3"/>
        <v>1</v>
      </c>
      <c r="O12" s="202">
        <f t="shared" si="4"/>
        <v>0</v>
      </c>
      <c r="P12" s="199">
        <f t="shared" si="1"/>
        <v>0</v>
      </c>
      <c r="Q12" s="203">
        <f t="shared" si="5"/>
        <v>99.600000000000023</v>
      </c>
      <c r="R12" s="201">
        <f>E12/B8-1</f>
        <v>5.1067780872794843E-2</v>
      </c>
      <c r="S12" s="201">
        <f t="shared" si="6"/>
        <v>2.9090909090909056E-2</v>
      </c>
    </row>
    <row r="13" spans="1:21">
      <c r="A13" s="196">
        <v>39987</v>
      </c>
      <c r="B13" s="122">
        <v>11.87</v>
      </c>
      <c r="C13" s="122">
        <v>11.87</v>
      </c>
      <c r="D13" s="122">
        <v>11.22</v>
      </c>
      <c r="E13" s="122">
        <v>11.34</v>
      </c>
      <c r="F13" s="122">
        <v>7.1506340000000002</v>
      </c>
      <c r="G13" s="197">
        <v>241400</v>
      </c>
      <c r="H13" s="198">
        <f>IF(AND(E12&gt;=H12,E13&gt;=E12),E12*(1+'Trading Model'!$E$13),IF(AND(E13&lt;E12,E12&gt;=H12),E13*(1+'Trading Model'!$E$13),H12))</f>
        <v>11.55</v>
      </c>
      <c r="I13" s="198">
        <f>IF(K13&gt;0,E13*(1-'Trading Model'!E23),IF(E13&lt;I12,I12*(1-'Trading Model'!$E$14),I12))</f>
        <v>11</v>
      </c>
      <c r="J13" s="198">
        <f t="shared" si="7"/>
        <v>0</v>
      </c>
      <c r="K13" s="198">
        <f t="shared" si="2"/>
        <v>0</v>
      </c>
      <c r="L13" s="198">
        <f>COUNTIF(J13:K13,"&lt;&gt;0")*-'Trading Model'!$E$15</f>
        <v>0</v>
      </c>
      <c r="M13" s="198">
        <f t="shared" si="0"/>
        <v>0</v>
      </c>
      <c r="N13" s="75">
        <f t="shared" si="3"/>
        <v>1</v>
      </c>
      <c r="O13" s="202">
        <f t="shared" si="4"/>
        <v>0</v>
      </c>
      <c r="P13" s="199">
        <f t="shared" si="1"/>
        <v>0</v>
      </c>
      <c r="Q13" s="203">
        <f t="shared" si="5"/>
        <v>99.600000000000023</v>
      </c>
      <c r="R13" s="160" t="s">
        <v>55</v>
      </c>
      <c r="S13" s="201">
        <f t="shared" si="6"/>
        <v>1.7667844522968323E-3</v>
      </c>
    </row>
    <row r="14" spans="1:21">
      <c r="A14" s="196">
        <v>39988</v>
      </c>
      <c r="B14" s="122">
        <v>11.38</v>
      </c>
      <c r="C14" s="122">
        <v>11.51</v>
      </c>
      <c r="D14" s="122">
        <v>11.09</v>
      </c>
      <c r="E14" s="122">
        <v>11.31</v>
      </c>
      <c r="F14" s="122">
        <v>7.1317170000000001</v>
      </c>
      <c r="G14" s="197">
        <v>174800</v>
      </c>
      <c r="H14" s="198">
        <f>IF(AND(E13&gt;=H13,E14&gt;=E13),E13*(1+'Trading Model'!$E$13),IF(AND(E14&lt;E13,E13&gt;=H13),E14*(1+'Trading Model'!$E$13),H13))</f>
        <v>11.55</v>
      </c>
      <c r="I14" s="198">
        <f>IF(K14&gt;0,E14*(1-'Trading Model'!E24),IF(E14&lt;I13,I13*(1-'Trading Model'!$E$14),I13))</f>
        <v>11</v>
      </c>
      <c r="J14" s="198">
        <f t="shared" si="7"/>
        <v>0</v>
      </c>
      <c r="K14" s="198">
        <f t="shared" si="2"/>
        <v>0</v>
      </c>
      <c r="L14" s="198">
        <f>COUNTIF(J14:K14,"&lt;&gt;0")*-'Trading Model'!$E$15</f>
        <v>0</v>
      </c>
      <c r="M14" s="198">
        <f t="shared" si="0"/>
        <v>0</v>
      </c>
      <c r="N14" s="75">
        <f t="shared" si="3"/>
        <v>1</v>
      </c>
      <c r="O14" s="202">
        <f t="shared" si="4"/>
        <v>0</v>
      </c>
      <c r="P14" s="199">
        <f t="shared" si="1"/>
        <v>0</v>
      </c>
      <c r="Q14" s="203">
        <f t="shared" si="5"/>
        <v>99.500000000000028</v>
      </c>
      <c r="R14" s="203" t="s">
        <v>55</v>
      </c>
      <c r="S14" s="201">
        <f t="shared" si="6"/>
        <v>-2.6455026455025621E-3</v>
      </c>
    </row>
    <row r="15" spans="1:21">
      <c r="A15" s="196">
        <v>39989</v>
      </c>
      <c r="B15" s="122">
        <v>11.16</v>
      </c>
      <c r="C15" s="122">
        <v>11.91</v>
      </c>
      <c r="D15" s="122">
        <v>11.11</v>
      </c>
      <c r="E15" s="122">
        <v>11.84</v>
      </c>
      <c r="F15" s="122">
        <v>7.4659180000000003</v>
      </c>
      <c r="G15" s="197">
        <v>283100</v>
      </c>
      <c r="H15" s="198">
        <f>IF(AND(E14&gt;=H14,E15&gt;=E14),E14*(1+'Trading Model'!$E$13),IF(AND(E15&lt;E14,E14&gt;=H14),E15*(1+'Trading Model'!$E$13),H14))</f>
        <v>11.55</v>
      </c>
      <c r="I15" s="198">
        <f>IF(K15&gt;0,E15*(1-'Trading Model'!E25),IF(E15&lt;I14,I14*(1-'Trading Model'!$E$14),I14))</f>
        <v>11.84</v>
      </c>
      <c r="J15" s="198">
        <f t="shared" si="7"/>
        <v>-11.84</v>
      </c>
      <c r="K15" s="198">
        <f t="shared" si="2"/>
        <v>11.84</v>
      </c>
      <c r="L15" s="198">
        <f>COUNTIF(J15:K15,"&lt;&gt;0")*-'Trading Model'!$E$15</f>
        <v>-0.2</v>
      </c>
      <c r="M15" s="198">
        <f t="shared" si="0"/>
        <v>-0.2</v>
      </c>
      <c r="N15" s="75">
        <f t="shared" si="3"/>
        <v>1</v>
      </c>
      <c r="O15" s="202">
        <f t="shared" si="4"/>
        <v>0</v>
      </c>
      <c r="P15" s="199">
        <f t="shared" si="1"/>
        <v>0</v>
      </c>
      <c r="Q15" s="203">
        <f t="shared" si="5"/>
        <v>99.500000000000028</v>
      </c>
      <c r="R15" s="203" t="s">
        <v>55</v>
      </c>
      <c r="S15" s="201">
        <f t="shared" si="6"/>
        <v>4.6861184792219124E-2</v>
      </c>
    </row>
    <row r="16" spans="1:21">
      <c r="A16" s="196">
        <v>39990</v>
      </c>
      <c r="B16" s="122">
        <v>11.81</v>
      </c>
      <c r="C16" s="122">
        <v>11.81</v>
      </c>
      <c r="D16" s="122">
        <v>11.48</v>
      </c>
      <c r="E16" s="122">
        <v>11.66</v>
      </c>
      <c r="F16" s="122">
        <v>7.3524159999999998</v>
      </c>
      <c r="G16" s="197">
        <v>174800</v>
      </c>
      <c r="H16" s="198">
        <f>IF(AND(E15&gt;=H15,E16&gt;=E15),E15*(1+'Trading Model'!$E$13),IF(AND(E16&lt;E15,E15&gt;=H15),E16*(1+'Trading Model'!$E$13),H15))</f>
        <v>12.243</v>
      </c>
      <c r="I16" s="198">
        <f>IF(K16&gt;0,E16*(1-'Trading Model'!E26),IF(E16&lt;I15,I15*(1-'Trading Model'!$E$14),I15))</f>
        <v>11.247999999999999</v>
      </c>
      <c r="J16" s="198">
        <f t="shared" si="7"/>
        <v>-11.66</v>
      </c>
      <c r="K16" s="198">
        <f t="shared" si="2"/>
        <v>0</v>
      </c>
      <c r="L16" s="198">
        <f>COUNTIF(J16:K16,"&lt;&gt;0")*-'Trading Model'!$E$15</f>
        <v>-0.1</v>
      </c>
      <c r="M16" s="198">
        <f t="shared" si="0"/>
        <v>-11.76</v>
      </c>
      <c r="N16" s="75">
        <f t="shared" si="3"/>
        <v>2</v>
      </c>
      <c r="O16" s="202">
        <f t="shared" si="4"/>
        <v>0</v>
      </c>
      <c r="P16" s="199">
        <f t="shared" si="1"/>
        <v>0</v>
      </c>
      <c r="Q16" s="203">
        <f t="shared" si="5"/>
        <v>99.400000000000034</v>
      </c>
      <c r="R16" s="203" t="s">
        <v>55</v>
      </c>
      <c r="S16" s="201">
        <f t="shared" si="6"/>
        <v>-1.5202702702702631E-2</v>
      </c>
    </row>
    <row r="17" spans="1:19">
      <c r="A17" s="196">
        <v>39993</v>
      </c>
      <c r="B17" s="122">
        <v>11.81</v>
      </c>
      <c r="C17" s="122">
        <v>12.54</v>
      </c>
      <c r="D17" s="122">
        <v>11.75</v>
      </c>
      <c r="E17" s="122">
        <v>12.46</v>
      </c>
      <c r="F17" s="122">
        <v>7.8568699999999998</v>
      </c>
      <c r="G17" s="197">
        <v>495200</v>
      </c>
      <c r="H17" s="198">
        <f>IF(AND(E16&gt;=H16,E17&gt;=E16),E16*(1+'Trading Model'!$E$13),IF(AND(E17&lt;E16,E16&gt;=H16),E17*(1+'Trading Model'!$E$13),H16))</f>
        <v>12.243</v>
      </c>
      <c r="I17" s="198">
        <f>IF(K17&gt;0,E17*(1-'Trading Model'!E27),IF(E17&lt;I16,I16*(1-'Trading Model'!$E$14),I16))</f>
        <v>12.46</v>
      </c>
      <c r="J17" s="198">
        <f t="shared" si="7"/>
        <v>-12.46</v>
      </c>
      <c r="K17" s="198">
        <f t="shared" si="2"/>
        <v>12.46</v>
      </c>
      <c r="L17" s="198">
        <f>COUNTIF(J17:K17,"&lt;&gt;0")*-'Trading Model'!$E$15</f>
        <v>-0.2</v>
      </c>
      <c r="M17" s="198">
        <f t="shared" si="0"/>
        <v>-0.2</v>
      </c>
      <c r="N17" s="75">
        <f t="shared" si="3"/>
        <v>2</v>
      </c>
      <c r="O17" s="202">
        <f t="shared" si="4"/>
        <v>0</v>
      </c>
      <c r="P17" s="199">
        <f t="shared" si="1"/>
        <v>0</v>
      </c>
      <c r="Q17" s="203">
        <f t="shared" si="5"/>
        <v>99.400000000000034</v>
      </c>
      <c r="R17" s="201">
        <f>E17/B13-1</f>
        <v>4.9705139005897347E-2</v>
      </c>
      <c r="S17" s="201">
        <f t="shared" si="6"/>
        <v>6.8610634648370583E-2</v>
      </c>
    </row>
    <row r="18" spans="1:19">
      <c r="A18" s="196">
        <v>39994</v>
      </c>
      <c r="B18" s="122">
        <v>12.2</v>
      </c>
      <c r="C18" s="122">
        <v>13.1</v>
      </c>
      <c r="D18" s="122">
        <v>12.05</v>
      </c>
      <c r="E18" s="122">
        <v>12.83</v>
      </c>
      <c r="F18" s="122">
        <v>8.0901779999999999</v>
      </c>
      <c r="G18" s="197">
        <v>660100</v>
      </c>
      <c r="H18" s="198">
        <f>IF(AND(E17&gt;=H17,E18&gt;=E17),E17*(1+'Trading Model'!$E$13),IF(AND(E18&lt;E17,E17&gt;=H17),E18*(1+'Trading Model'!$E$13),H17))</f>
        <v>13.083000000000002</v>
      </c>
      <c r="I18" s="198">
        <f>IF(K18&gt;0,E18*(1-'Trading Model'!E28),IF(E18&lt;I17,I17*(1-'Trading Model'!$E$14),I17))</f>
        <v>12.46</v>
      </c>
      <c r="J18" s="198">
        <f t="shared" si="7"/>
        <v>0</v>
      </c>
      <c r="K18" s="198">
        <f t="shared" si="2"/>
        <v>0</v>
      </c>
      <c r="L18" s="198">
        <f>COUNTIF(J18:K18,"&lt;&gt;0")*-'Trading Model'!$E$15</f>
        <v>0</v>
      </c>
      <c r="M18" s="198">
        <f t="shared" si="0"/>
        <v>0</v>
      </c>
      <c r="N18" s="75">
        <f t="shared" si="3"/>
        <v>2</v>
      </c>
      <c r="O18" s="202">
        <f t="shared" si="4"/>
        <v>0</v>
      </c>
      <c r="P18" s="199">
        <f t="shared" si="1"/>
        <v>0</v>
      </c>
      <c r="Q18" s="203">
        <f t="shared" si="5"/>
        <v>99.400000000000034</v>
      </c>
      <c r="R18" s="160" t="s">
        <v>55</v>
      </c>
      <c r="S18" s="201">
        <f t="shared" si="6"/>
        <v>2.9695024077046384E-2</v>
      </c>
    </row>
    <row r="19" spans="1:19">
      <c r="A19" s="196">
        <v>39995</v>
      </c>
      <c r="B19" s="122">
        <v>12.93</v>
      </c>
      <c r="C19" s="122">
        <v>13.04</v>
      </c>
      <c r="D19" s="122">
        <v>12.62</v>
      </c>
      <c r="E19" s="122">
        <v>12.78</v>
      </c>
      <c r="F19" s="122">
        <v>8.0586509999999993</v>
      </c>
      <c r="G19" s="197">
        <v>437500</v>
      </c>
      <c r="H19" s="198">
        <f>IF(AND(E18&gt;=H18,E19&gt;=E18),E18*(1+'Trading Model'!$E$13),IF(AND(E19&lt;E18,E18&gt;=H18),E19*(1+'Trading Model'!$E$13),H18))</f>
        <v>13.083000000000002</v>
      </c>
      <c r="I19" s="198">
        <f>IF(K19&gt;0,E19*(1-'Trading Model'!E29),IF(E19&lt;I18,I18*(1-'Trading Model'!$E$14),I18))</f>
        <v>12.46</v>
      </c>
      <c r="J19" s="198">
        <f t="shared" si="7"/>
        <v>0</v>
      </c>
      <c r="K19" s="198">
        <f t="shared" si="2"/>
        <v>0</v>
      </c>
      <c r="L19" s="198">
        <f>COUNTIF(J19:K19,"&lt;&gt;0")*-'Trading Model'!$E$15</f>
        <v>0</v>
      </c>
      <c r="M19" s="198">
        <f t="shared" si="0"/>
        <v>0</v>
      </c>
      <c r="N19" s="75">
        <f t="shared" si="3"/>
        <v>2</v>
      </c>
      <c r="O19" s="202">
        <f t="shared" si="4"/>
        <v>0</v>
      </c>
      <c r="P19" s="199">
        <f t="shared" si="1"/>
        <v>0</v>
      </c>
      <c r="Q19" s="203">
        <f t="shared" si="5"/>
        <v>99.30000000000004</v>
      </c>
      <c r="R19" s="203" t="s">
        <v>55</v>
      </c>
      <c r="S19" s="201">
        <f t="shared" si="6"/>
        <v>-3.8971161340608518E-3</v>
      </c>
    </row>
    <row r="20" spans="1:19">
      <c r="A20" s="196">
        <v>39996</v>
      </c>
      <c r="B20" s="122">
        <v>12.64</v>
      </c>
      <c r="C20" s="122">
        <v>12.73</v>
      </c>
      <c r="D20" s="122">
        <v>12.33</v>
      </c>
      <c r="E20" s="122">
        <v>12.6</v>
      </c>
      <c r="F20" s="122">
        <v>7.9451489999999998</v>
      </c>
      <c r="G20" s="197">
        <v>414800</v>
      </c>
      <c r="H20" s="198">
        <f>IF(AND(E19&gt;=H19,E20&gt;=E19),E19*(1+'Trading Model'!$E$13),IF(AND(E20&lt;E19,E19&gt;=H19),E20*(1+'Trading Model'!$E$13),H19))</f>
        <v>13.083000000000002</v>
      </c>
      <c r="I20" s="198">
        <f>IF(K20&gt;0,E20*(1-'Trading Model'!E30),IF(E20&lt;I19,I19*(1-'Trading Model'!$E$14),I19))</f>
        <v>12.46</v>
      </c>
      <c r="J20" s="198">
        <f t="shared" si="7"/>
        <v>0</v>
      </c>
      <c r="K20" s="198">
        <f t="shared" si="2"/>
        <v>0</v>
      </c>
      <c r="L20" s="198">
        <f>COUNTIF(J20:K20,"&lt;&gt;0")*-'Trading Model'!$E$15</f>
        <v>0</v>
      </c>
      <c r="M20" s="198">
        <f t="shared" si="0"/>
        <v>0</v>
      </c>
      <c r="N20" s="75">
        <f t="shared" si="3"/>
        <v>2</v>
      </c>
      <c r="O20" s="202">
        <f t="shared" si="4"/>
        <v>0</v>
      </c>
      <c r="P20" s="199">
        <f t="shared" si="1"/>
        <v>0</v>
      </c>
      <c r="Q20" s="203">
        <f t="shared" si="5"/>
        <v>99.200000000000045</v>
      </c>
      <c r="R20" s="203" t="s">
        <v>55</v>
      </c>
      <c r="S20" s="201">
        <f t="shared" si="6"/>
        <v>-1.4084507042253502E-2</v>
      </c>
    </row>
    <row r="21" spans="1:19">
      <c r="A21" s="196">
        <v>40000</v>
      </c>
      <c r="B21" s="122">
        <v>12.49</v>
      </c>
      <c r="C21" s="122">
        <v>12.82</v>
      </c>
      <c r="D21" s="122">
        <v>12.19</v>
      </c>
      <c r="E21" s="122">
        <v>12.21</v>
      </c>
      <c r="F21" s="122">
        <v>7.6992260000000003</v>
      </c>
      <c r="G21" s="197">
        <v>219800</v>
      </c>
      <c r="H21" s="198">
        <f>IF(AND(E20&gt;=H20,E21&gt;=E20),E20*(1+'Trading Model'!$E$13),IF(AND(E21&lt;E20,E20&gt;=H20),E21*(1+'Trading Model'!$E$13),H20))</f>
        <v>13.083000000000002</v>
      </c>
      <c r="I21" s="198">
        <f>IF(K21&gt;0,E21*(1-'Trading Model'!E31),IF(E21&lt;I20,I20*(1-'Trading Model'!$E$14),I20))</f>
        <v>11.837</v>
      </c>
      <c r="J21" s="198">
        <f t="shared" si="7"/>
        <v>-12.21</v>
      </c>
      <c r="K21" s="198">
        <f t="shared" si="2"/>
        <v>0</v>
      </c>
      <c r="L21" s="198">
        <f>COUNTIF(J21:K21,"&lt;&gt;0")*-'Trading Model'!$E$15</f>
        <v>-0.1</v>
      </c>
      <c r="M21" s="198">
        <f t="shared" si="0"/>
        <v>-12.31</v>
      </c>
      <c r="N21" s="75">
        <f t="shared" si="3"/>
        <v>3</v>
      </c>
      <c r="O21" s="202">
        <f t="shared" si="4"/>
        <v>0</v>
      </c>
      <c r="P21" s="199">
        <f t="shared" si="1"/>
        <v>0</v>
      </c>
      <c r="Q21" s="203">
        <f t="shared" si="5"/>
        <v>99.100000000000051</v>
      </c>
      <c r="R21" s="203" t="s">
        <v>55</v>
      </c>
      <c r="S21" s="201">
        <f t="shared" si="6"/>
        <v>-3.0952380952380842E-2</v>
      </c>
    </row>
    <row r="22" spans="1:19">
      <c r="A22" s="196">
        <v>40001</v>
      </c>
      <c r="B22" s="122">
        <v>12.2</v>
      </c>
      <c r="C22" s="122">
        <v>12.72</v>
      </c>
      <c r="D22" s="122">
        <v>12.17</v>
      </c>
      <c r="E22" s="122">
        <v>12.53</v>
      </c>
      <c r="F22" s="122">
        <v>7.9010100000000003</v>
      </c>
      <c r="G22" s="197">
        <v>385800</v>
      </c>
      <c r="H22" s="198">
        <f>IF(AND(E21&gt;=H21,E22&gt;=E21),E21*(1+'Trading Model'!$E$13),IF(AND(E22&lt;E21,E21&gt;=H21),E22*(1+'Trading Model'!$E$13),H21))</f>
        <v>13.083000000000002</v>
      </c>
      <c r="I22" s="198">
        <f>IF(K22&gt;0,E22*(1-'Trading Model'!E32),IF(E22&lt;I21,I21*(1-'Trading Model'!$E$14),I21))</f>
        <v>11.837</v>
      </c>
      <c r="J22" s="198">
        <f t="shared" si="7"/>
        <v>0</v>
      </c>
      <c r="K22" s="198">
        <f t="shared" si="2"/>
        <v>0</v>
      </c>
      <c r="L22" s="198">
        <f>COUNTIF(J22:K22,"&lt;&gt;0")*-'Trading Model'!$E$15</f>
        <v>0</v>
      </c>
      <c r="M22" s="198">
        <f t="shared" si="0"/>
        <v>0</v>
      </c>
      <c r="N22" s="75">
        <f t="shared" si="3"/>
        <v>3</v>
      </c>
      <c r="O22" s="202">
        <f t="shared" si="4"/>
        <v>0</v>
      </c>
      <c r="P22" s="199">
        <f t="shared" si="1"/>
        <v>0</v>
      </c>
      <c r="Q22" s="203">
        <f t="shared" si="5"/>
        <v>99.100000000000051</v>
      </c>
      <c r="R22" s="201">
        <f>E22/B18-1</f>
        <v>2.704918032786896E-2</v>
      </c>
      <c r="S22" s="201">
        <f t="shared" si="6"/>
        <v>2.6208026208025981E-2</v>
      </c>
    </row>
    <row r="23" spans="1:19">
      <c r="A23" s="196">
        <v>40002</v>
      </c>
      <c r="B23" s="122">
        <v>12.56</v>
      </c>
      <c r="C23" s="122">
        <v>12.61</v>
      </c>
      <c r="D23" s="122">
        <v>11.93</v>
      </c>
      <c r="E23" s="122">
        <v>12.34</v>
      </c>
      <c r="F23" s="122">
        <v>7.7812010000000003</v>
      </c>
      <c r="G23" s="197">
        <v>209900</v>
      </c>
      <c r="H23" s="198">
        <f>IF(AND(E22&gt;=H22,E23&gt;=E22),E22*(1+'Trading Model'!$E$13),IF(AND(E23&lt;E22,E22&gt;=H22),E23*(1+'Trading Model'!$E$13),H22))</f>
        <v>13.083000000000002</v>
      </c>
      <c r="I23" s="198">
        <f>IF(K23&gt;0,E23*(1-'Trading Model'!E33),IF(E23&lt;I22,I22*(1-'Trading Model'!$E$14),I22))</f>
        <v>11.837</v>
      </c>
      <c r="J23" s="198">
        <f t="shared" si="7"/>
        <v>0</v>
      </c>
      <c r="K23" s="198">
        <f t="shared" si="2"/>
        <v>0</v>
      </c>
      <c r="L23" s="198">
        <f>COUNTIF(J23:K23,"&lt;&gt;0")*-'Trading Model'!$E$15</f>
        <v>0</v>
      </c>
      <c r="M23" s="198">
        <f t="shared" si="0"/>
        <v>0</v>
      </c>
      <c r="N23" s="75">
        <f t="shared" si="3"/>
        <v>3</v>
      </c>
      <c r="O23" s="202">
        <f t="shared" si="4"/>
        <v>0</v>
      </c>
      <c r="P23" s="199">
        <f t="shared" si="1"/>
        <v>0</v>
      </c>
      <c r="Q23" s="203">
        <f t="shared" si="5"/>
        <v>99.000000000000057</v>
      </c>
      <c r="R23" s="160" t="s">
        <v>55</v>
      </c>
      <c r="S23" s="201">
        <f t="shared" si="6"/>
        <v>-1.5163607342378205E-2</v>
      </c>
    </row>
    <row r="24" spans="1:19">
      <c r="A24" s="196">
        <v>40003</v>
      </c>
      <c r="B24" s="122">
        <v>12.46</v>
      </c>
      <c r="C24" s="122">
        <v>12.64</v>
      </c>
      <c r="D24" s="122">
        <v>12.23</v>
      </c>
      <c r="E24" s="122">
        <v>12.35</v>
      </c>
      <c r="F24" s="122">
        <v>7.7875079999999999</v>
      </c>
      <c r="G24" s="197">
        <v>281500</v>
      </c>
      <c r="H24" s="198">
        <f>IF(AND(E23&gt;=H23,E24&gt;=E23),E23*(1+'Trading Model'!$E$13),IF(AND(E24&lt;E23,E23&gt;=H23),E24*(1+'Trading Model'!$E$13),H23))</f>
        <v>13.083000000000002</v>
      </c>
      <c r="I24" s="198">
        <f>IF(K24&gt;0,E24*(1-'Trading Model'!E34),IF(E24&lt;I23,I23*(1-'Trading Model'!$E$14),I23))</f>
        <v>11.837</v>
      </c>
      <c r="J24" s="198">
        <f t="shared" si="7"/>
        <v>0</v>
      </c>
      <c r="K24" s="198">
        <f t="shared" si="2"/>
        <v>0</v>
      </c>
      <c r="L24" s="198">
        <f>COUNTIF(J24:K24,"&lt;&gt;0")*-'Trading Model'!$E$15</f>
        <v>0</v>
      </c>
      <c r="M24" s="198">
        <f t="shared" si="0"/>
        <v>0</v>
      </c>
      <c r="N24" s="75">
        <f t="shared" si="3"/>
        <v>3</v>
      </c>
      <c r="O24" s="202">
        <f t="shared" si="4"/>
        <v>0</v>
      </c>
      <c r="P24" s="199">
        <f t="shared" si="1"/>
        <v>0</v>
      </c>
      <c r="Q24" s="203">
        <f t="shared" si="5"/>
        <v>99.000000000000057</v>
      </c>
      <c r="R24" s="203" t="s">
        <v>55</v>
      </c>
      <c r="S24" s="201">
        <f t="shared" si="6"/>
        <v>8.103727714747766E-4</v>
      </c>
    </row>
    <row r="25" spans="1:19">
      <c r="A25" s="196">
        <v>40004</v>
      </c>
      <c r="B25" s="122">
        <v>12.18</v>
      </c>
      <c r="C25" s="122">
        <v>12.76</v>
      </c>
      <c r="D25" s="122">
        <v>11.98</v>
      </c>
      <c r="E25" s="122">
        <v>12.64</v>
      </c>
      <c r="F25" s="122">
        <v>7.97037</v>
      </c>
      <c r="G25" s="197">
        <v>205500</v>
      </c>
      <c r="H25" s="198">
        <f>IF(AND(E24&gt;=H24,E25&gt;=E24),E24*(1+'Trading Model'!$E$13),IF(AND(E25&lt;E24,E24&gt;=H24),E25*(1+'Trading Model'!$E$13),H24))</f>
        <v>13.083000000000002</v>
      </c>
      <c r="I25" s="198">
        <f>IF(K25&gt;0,E25*(1-'Trading Model'!E35),IF(E25&lt;I24,I24*(1-'Trading Model'!$E$14),I24))</f>
        <v>11.837</v>
      </c>
      <c r="J25" s="198">
        <f t="shared" si="7"/>
        <v>0</v>
      </c>
      <c r="K25" s="198">
        <f t="shared" si="2"/>
        <v>0</v>
      </c>
      <c r="L25" s="198">
        <f>COUNTIF(J25:K25,"&lt;&gt;0")*-'Trading Model'!$E$15</f>
        <v>0</v>
      </c>
      <c r="M25" s="198">
        <f t="shared" si="0"/>
        <v>0</v>
      </c>
      <c r="N25" s="75">
        <f t="shared" si="3"/>
        <v>3</v>
      </c>
      <c r="O25" s="202">
        <f t="shared" si="4"/>
        <v>0</v>
      </c>
      <c r="P25" s="199">
        <f t="shared" si="1"/>
        <v>0</v>
      </c>
      <c r="Q25" s="203">
        <f t="shared" si="5"/>
        <v>99.000000000000057</v>
      </c>
      <c r="R25" s="203" t="s">
        <v>55</v>
      </c>
      <c r="S25" s="201">
        <f t="shared" si="6"/>
        <v>2.348178137651824E-2</v>
      </c>
    </row>
    <row r="26" spans="1:19">
      <c r="A26" s="196">
        <v>40007</v>
      </c>
      <c r="B26" s="122">
        <v>12.76</v>
      </c>
      <c r="C26" s="122">
        <v>12.87</v>
      </c>
      <c r="D26" s="122">
        <v>12.36</v>
      </c>
      <c r="E26" s="122">
        <v>12.68</v>
      </c>
      <c r="F26" s="122">
        <v>7.9955939999999996</v>
      </c>
      <c r="G26" s="197">
        <v>359200</v>
      </c>
      <c r="H26" s="198">
        <f>IF(AND(E25&gt;=H25,E26&gt;=E25),E25*(1+'Trading Model'!$E$13),IF(AND(E26&lt;E25,E25&gt;=H25),E26*(1+'Trading Model'!$E$13),H25))</f>
        <v>13.083000000000002</v>
      </c>
      <c r="I26" s="198">
        <f>IF(K26&gt;0,E26*(1-'Trading Model'!E36),IF(E26&lt;I25,I25*(1-'Trading Model'!$E$14),I25))</f>
        <v>11.837</v>
      </c>
      <c r="J26" s="198">
        <f t="shared" si="7"/>
        <v>0</v>
      </c>
      <c r="K26" s="198">
        <f t="shared" si="2"/>
        <v>0</v>
      </c>
      <c r="L26" s="198">
        <f>COUNTIF(J26:K26,"&lt;&gt;0")*-'Trading Model'!$E$15</f>
        <v>0</v>
      </c>
      <c r="M26" s="198">
        <f t="shared" si="0"/>
        <v>0</v>
      </c>
      <c r="N26" s="75">
        <f t="shared" si="3"/>
        <v>3</v>
      </c>
      <c r="O26" s="202">
        <f t="shared" si="4"/>
        <v>0</v>
      </c>
      <c r="P26" s="199">
        <f t="shared" si="1"/>
        <v>0</v>
      </c>
      <c r="Q26" s="203">
        <f t="shared" si="5"/>
        <v>99.000000000000057</v>
      </c>
      <c r="R26" s="203" t="s">
        <v>55</v>
      </c>
      <c r="S26" s="201">
        <f t="shared" si="6"/>
        <v>3.1645569620253333E-3</v>
      </c>
    </row>
    <row r="27" spans="1:19">
      <c r="A27" s="196">
        <v>40008</v>
      </c>
      <c r="B27" s="122">
        <v>12.65</v>
      </c>
      <c r="C27" s="122">
        <v>13</v>
      </c>
      <c r="D27" s="122">
        <v>12.65</v>
      </c>
      <c r="E27" s="122">
        <v>12.8</v>
      </c>
      <c r="F27" s="122">
        <v>8.0712600000000005</v>
      </c>
      <c r="G27" s="197">
        <v>182400</v>
      </c>
      <c r="H27" s="198">
        <f>IF(AND(E26&gt;=H26,E27&gt;=E26),E26*(1+'Trading Model'!$E$13),IF(AND(E27&lt;E26,E26&gt;=H26),E27*(1+'Trading Model'!$E$13),H26))</f>
        <v>13.083000000000002</v>
      </c>
      <c r="I27" s="198">
        <f>IF(K27&gt;0,E27*(1-'Trading Model'!E37),IF(E27&lt;I26,I26*(1-'Trading Model'!$E$14),I26))</f>
        <v>11.837</v>
      </c>
      <c r="J27" s="198">
        <f t="shared" si="7"/>
        <v>0</v>
      </c>
      <c r="K27" s="198">
        <f t="shared" si="2"/>
        <v>0</v>
      </c>
      <c r="L27" s="198">
        <f>COUNTIF(J27:K27,"&lt;&gt;0")*-'Trading Model'!$E$15</f>
        <v>0</v>
      </c>
      <c r="M27" s="198">
        <f t="shared" si="0"/>
        <v>0</v>
      </c>
      <c r="N27" s="75">
        <f t="shared" si="3"/>
        <v>3</v>
      </c>
      <c r="O27" s="202">
        <f t="shared" si="4"/>
        <v>0</v>
      </c>
      <c r="P27" s="199">
        <f t="shared" si="1"/>
        <v>0</v>
      </c>
      <c r="Q27" s="203">
        <f t="shared" si="5"/>
        <v>99.000000000000057</v>
      </c>
      <c r="R27" s="201">
        <f>E27/B23-1</f>
        <v>1.9108280254777066E-2</v>
      </c>
      <c r="S27" s="201">
        <f t="shared" si="6"/>
        <v>9.4637223974765039E-3</v>
      </c>
    </row>
    <row r="28" spans="1:19">
      <c r="A28" s="196">
        <v>40009</v>
      </c>
      <c r="B28" s="122">
        <v>13.03</v>
      </c>
      <c r="C28" s="122">
        <v>13.46</v>
      </c>
      <c r="D28" s="122">
        <v>12.84</v>
      </c>
      <c r="E28" s="122">
        <v>12.99</v>
      </c>
      <c r="F28" s="122">
        <v>8.1910720000000001</v>
      </c>
      <c r="G28" s="197">
        <v>268600</v>
      </c>
      <c r="H28" s="198">
        <f>IF(AND(E27&gt;=H27,E28&gt;=E27),E27*(1+'Trading Model'!$E$13),IF(AND(E28&lt;E27,E27&gt;=H27),E28*(1+'Trading Model'!$E$13),H27))</f>
        <v>13.083000000000002</v>
      </c>
      <c r="I28" s="198">
        <f>IF(K28&gt;0,E28*(1-'Trading Model'!E38),IF(E28&lt;I27,I27*(1-'Trading Model'!$E$14),I27))</f>
        <v>11.837</v>
      </c>
      <c r="J28" s="198">
        <f t="shared" si="7"/>
        <v>0</v>
      </c>
      <c r="K28" s="198">
        <f t="shared" si="2"/>
        <v>0</v>
      </c>
      <c r="L28" s="198">
        <f>COUNTIF(J28:K28,"&lt;&gt;0")*-'Trading Model'!$E$15</f>
        <v>0</v>
      </c>
      <c r="M28" s="198">
        <f t="shared" si="0"/>
        <v>0</v>
      </c>
      <c r="N28" s="75">
        <f t="shared" si="3"/>
        <v>3</v>
      </c>
      <c r="O28" s="202">
        <f t="shared" si="4"/>
        <v>0</v>
      </c>
      <c r="P28" s="199">
        <f t="shared" si="1"/>
        <v>0</v>
      </c>
      <c r="Q28" s="203">
        <f t="shared" si="5"/>
        <v>99.000000000000057</v>
      </c>
      <c r="R28" s="160" t="s">
        <v>55</v>
      </c>
      <c r="S28" s="201">
        <f t="shared" si="6"/>
        <v>1.4843750000000044E-2</v>
      </c>
    </row>
    <row r="29" spans="1:19">
      <c r="A29" s="196">
        <v>40010</v>
      </c>
      <c r="B29" s="122">
        <v>12.99</v>
      </c>
      <c r="C29" s="122">
        <v>13.1</v>
      </c>
      <c r="D29" s="122">
        <v>12.77</v>
      </c>
      <c r="E29" s="122">
        <v>13.01</v>
      </c>
      <c r="F29" s="122">
        <v>8.2036809999999996</v>
      </c>
      <c r="G29" s="197">
        <v>138900</v>
      </c>
      <c r="H29" s="198">
        <f>IF(AND(E28&gt;=H28,E29&gt;=E28),E28*(1+'Trading Model'!$E$13),IF(AND(E29&lt;E28,E28&gt;=H28),E29*(1+'Trading Model'!$E$13),H28))</f>
        <v>13.083000000000002</v>
      </c>
      <c r="I29" s="198">
        <f>IF(K29&gt;0,E29*(1-'Trading Model'!E39),IF(E29&lt;I28,I28*(1-'Trading Model'!$E$14),I28))</f>
        <v>11.837</v>
      </c>
      <c r="J29" s="198">
        <f t="shared" si="7"/>
        <v>0</v>
      </c>
      <c r="K29" s="198">
        <f t="shared" si="2"/>
        <v>0</v>
      </c>
      <c r="L29" s="198">
        <f>COUNTIF(J29:K29,"&lt;&gt;0")*-'Trading Model'!$E$15</f>
        <v>0</v>
      </c>
      <c r="M29" s="198">
        <f t="shared" si="0"/>
        <v>0</v>
      </c>
      <c r="N29" s="75">
        <f t="shared" si="3"/>
        <v>3</v>
      </c>
      <c r="O29" s="202">
        <f t="shared" si="4"/>
        <v>0</v>
      </c>
      <c r="P29" s="199">
        <f t="shared" si="1"/>
        <v>0</v>
      </c>
      <c r="Q29" s="203">
        <f t="shared" si="5"/>
        <v>99.000000000000057</v>
      </c>
      <c r="R29" s="203" t="s">
        <v>55</v>
      </c>
      <c r="S29" s="201">
        <f t="shared" si="6"/>
        <v>1.5396458814471714E-3</v>
      </c>
    </row>
    <row r="30" spans="1:19">
      <c r="A30" s="196">
        <v>40011</v>
      </c>
      <c r="B30" s="122">
        <v>13</v>
      </c>
      <c r="C30" s="122">
        <v>13.24</v>
      </c>
      <c r="D30" s="122">
        <v>12.79</v>
      </c>
      <c r="E30" s="122">
        <v>12.99</v>
      </c>
      <c r="F30" s="122">
        <v>8.1910720000000001</v>
      </c>
      <c r="G30" s="197">
        <v>169100</v>
      </c>
      <c r="H30" s="198">
        <f>IF(AND(E29&gt;=H29,E30&gt;=E29),E29*(1+'Trading Model'!$E$13),IF(AND(E30&lt;E29,E29&gt;=H29),E30*(1+'Trading Model'!$E$13),H29))</f>
        <v>13.083000000000002</v>
      </c>
      <c r="I30" s="198">
        <f>IF(K30&gt;0,E30*(1-'Trading Model'!E40),IF(E30&lt;I29,I29*(1-'Trading Model'!$E$14),I29))</f>
        <v>11.837</v>
      </c>
      <c r="J30" s="198">
        <f t="shared" si="7"/>
        <v>0</v>
      </c>
      <c r="K30" s="198">
        <f t="shared" si="2"/>
        <v>0</v>
      </c>
      <c r="L30" s="198">
        <f>COUNTIF(J30:K30,"&lt;&gt;0")*-'Trading Model'!$E$15</f>
        <v>0</v>
      </c>
      <c r="M30" s="198">
        <f t="shared" si="0"/>
        <v>0</v>
      </c>
      <c r="N30" s="75">
        <f t="shared" si="3"/>
        <v>3</v>
      </c>
      <c r="O30" s="202">
        <f t="shared" si="4"/>
        <v>0</v>
      </c>
      <c r="P30" s="199">
        <f t="shared" si="1"/>
        <v>0</v>
      </c>
      <c r="Q30" s="203">
        <f t="shared" si="5"/>
        <v>98.900000000000063</v>
      </c>
      <c r="R30" s="203" t="s">
        <v>55</v>
      </c>
      <c r="S30" s="201">
        <f t="shared" si="6"/>
        <v>-1.537279016141424E-3</v>
      </c>
    </row>
    <row r="31" spans="1:19">
      <c r="A31" s="196">
        <v>40014</v>
      </c>
      <c r="B31" s="122">
        <v>13.17</v>
      </c>
      <c r="C31" s="122">
        <v>13.45</v>
      </c>
      <c r="D31" s="122">
        <v>13.14</v>
      </c>
      <c r="E31" s="122">
        <v>13.3</v>
      </c>
      <c r="F31" s="122">
        <v>8.3865459999999992</v>
      </c>
      <c r="G31" s="197">
        <v>171400</v>
      </c>
      <c r="H31" s="198">
        <f>IF(AND(E30&gt;=H30,E31&gt;=E30),E30*(1+'Trading Model'!$E$13),IF(AND(E31&lt;E30,E30&gt;=H30),E31*(1+'Trading Model'!$E$13),H30))</f>
        <v>13.083000000000002</v>
      </c>
      <c r="I31" s="198">
        <f>IF(K31&gt;0,E31*(1-'Trading Model'!E41),IF(E31&lt;I30,I30*(1-'Trading Model'!$E$14),I30))</f>
        <v>13.3</v>
      </c>
      <c r="J31" s="198">
        <f t="shared" si="7"/>
        <v>-13.3</v>
      </c>
      <c r="K31" s="198">
        <f t="shared" si="2"/>
        <v>13.3</v>
      </c>
      <c r="L31" s="198">
        <f>COUNTIF(J31:K31,"&lt;&gt;0")*-'Trading Model'!$E$15</f>
        <v>-0.2</v>
      </c>
      <c r="M31" s="198">
        <f t="shared" si="0"/>
        <v>-0.2</v>
      </c>
      <c r="N31" s="75">
        <f t="shared" si="3"/>
        <v>3</v>
      </c>
      <c r="O31" s="202">
        <f t="shared" si="4"/>
        <v>0</v>
      </c>
      <c r="P31" s="199">
        <f t="shared" si="1"/>
        <v>0</v>
      </c>
      <c r="Q31" s="203">
        <f t="shared" si="5"/>
        <v>98.900000000000063</v>
      </c>
      <c r="R31" s="203" t="s">
        <v>55</v>
      </c>
      <c r="S31" s="201">
        <f t="shared" si="6"/>
        <v>2.3864511162432711E-2</v>
      </c>
    </row>
    <row r="32" spans="1:19">
      <c r="A32" s="196">
        <v>40015</v>
      </c>
      <c r="B32" s="122">
        <v>13.48</v>
      </c>
      <c r="C32" s="122">
        <v>13.65</v>
      </c>
      <c r="D32" s="122">
        <v>12.78</v>
      </c>
      <c r="E32" s="122">
        <v>13.04</v>
      </c>
      <c r="F32" s="122">
        <v>8.2225979999999996</v>
      </c>
      <c r="G32" s="197">
        <v>186300</v>
      </c>
      <c r="H32" s="198">
        <f>IF(AND(E31&gt;=H31,E32&gt;=E31),E31*(1+'Trading Model'!$E$13),IF(AND(E32&lt;E31,E31&gt;=H31),E32*(1+'Trading Model'!$E$13),H31))</f>
        <v>13.692</v>
      </c>
      <c r="I32" s="198">
        <f>IF(K32&gt;0,E32*(1-'Trading Model'!E42),IF(E32&lt;I31,I31*(1-'Trading Model'!$E$14),I31))</f>
        <v>12.635</v>
      </c>
      <c r="J32" s="198">
        <f t="shared" si="7"/>
        <v>-13.04</v>
      </c>
      <c r="K32" s="198">
        <f t="shared" si="2"/>
        <v>0</v>
      </c>
      <c r="L32" s="198">
        <f>COUNTIF(J32:K32,"&lt;&gt;0")*-'Trading Model'!$E$15</f>
        <v>-0.1</v>
      </c>
      <c r="M32" s="198">
        <f t="shared" si="0"/>
        <v>-13.139999999999999</v>
      </c>
      <c r="N32" s="75">
        <f t="shared" si="3"/>
        <v>4</v>
      </c>
      <c r="O32" s="202">
        <f t="shared" si="4"/>
        <v>0</v>
      </c>
      <c r="P32" s="199">
        <f t="shared" si="1"/>
        <v>0</v>
      </c>
      <c r="Q32" s="203">
        <f t="shared" si="5"/>
        <v>98.800000000000068</v>
      </c>
      <c r="R32" s="201">
        <f>E32/B28-1</f>
        <v>7.6745970836533672E-4</v>
      </c>
      <c r="S32" s="201">
        <f t="shared" si="6"/>
        <v>-1.9548872180451204E-2</v>
      </c>
    </row>
    <row r="33" spans="1:19">
      <c r="A33" s="196">
        <v>40016</v>
      </c>
      <c r="B33" s="122">
        <v>12.78</v>
      </c>
      <c r="C33" s="122">
        <v>13.48</v>
      </c>
      <c r="D33" s="122">
        <v>12.48</v>
      </c>
      <c r="E33" s="122">
        <v>13.29</v>
      </c>
      <c r="F33" s="122">
        <v>8.3802400000000006</v>
      </c>
      <c r="G33" s="197">
        <v>206800</v>
      </c>
      <c r="H33" s="198">
        <f>IF(AND(E32&gt;=H32,E33&gt;=E32),E32*(1+'Trading Model'!$E$13),IF(AND(E33&lt;E32,E32&gt;=H32),E33*(1+'Trading Model'!$E$13),H32))</f>
        <v>13.692</v>
      </c>
      <c r="I33" s="198">
        <f>IF(K33&gt;0,E33*(1-'Trading Model'!E43),IF(E33&lt;I32,I32*(1-'Trading Model'!$E$14),I32))</f>
        <v>12.635</v>
      </c>
      <c r="J33" s="198">
        <f t="shared" si="7"/>
        <v>0</v>
      </c>
      <c r="K33" s="198">
        <f t="shared" si="2"/>
        <v>0</v>
      </c>
      <c r="L33" s="198">
        <f>COUNTIF(J33:K33,"&lt;&gt;0")*-'Trading Model'!$E$15</f>
        <v>0</v>
      </c>
      <c r="M33" s="198">
        <f t="shared" si="0"/>
        <v>0</v>
      </c>
      <c r="N33" s="75">
        <f t="shared" si="3"/>
        <v>4</v>
      </c>
      <c r="O33" s="202">
        <f t="shared" si="4"/>
        <v>0</v>
      </c>
      <c r="P33" s="199">
        <f t="shared" si="1"/>
        <v>0</v>
      </c>
      <c r="Q33" s="203">
        <f t="shared" si="5"/>
        <v>98.800000000000068</v>
      </c>
      <c r="R33" s="160" t="s">
        <v>55</v>
      </c>
      <c r="S33" s="201">
        <f t="shared" si="6"/>
        <v>1.917177914110435E-2</v>
      </c>
    </row>
    <row r="34" spans="1:19">
      <c r="A34" s="196">
        <v>40017</v>
      </c>
      <c r="B34" s="122">
        <v>13.32</v>
      </c>
      <c r="C34" s="122">
        <v>14.09</v>
      </c>
      <c r="D34" s="122">
        <v>13.26</v>
      </c>
      <c r="E34" s="122">
        <v>13.72</v>
      </c>
      <c r="F34" s="122">
        <v>8.6513829999999992</v>
      </c>
      <c r="G34" s="197">
        <v>253100</v>
      </c>
      <c r="H34" s="198">
        <f>IF(AND(E33&gt;=H33,E34&gt;=E33),E33*(1+'Trading Model'!$E$13),IF(AND(E34&lt;E33,E33&gt;=H33),E34*(1+'Trading Model'!$E$13),H33))</f>
        <v>13.692</v>
      </c>
      <c r="I34" s="198">
        <f>IF(K34&gt;0,E34*(1-'Trading Model'!E44),IF(E34&lt;I33,I33*(1-'Trading Model'!$E$14),I33))</f>
        <v>13.72</v>
      </c>
      <c r="J34" s="198">
        <f t="shared" si="7"/>
        <v>-13.72</v>
      </c>
      <c r="K34" s="198">
        <f t="shared" si="2"/>
        <v>13.72</v>
      </c>
      <c r="L34" s="198">
        <f>COUNTIF(J34:K34,"&lt;&gt;0")*-'Trading Model'!$E$15</f>
        <v>-0.2</v>
      </c>
      <c r="M34" s="198">
        <f t="shared" si="0"/>
        <v>-0.2</v>
      </c>
      <c r="N34" s="75">
        <f t="shared" si="3"/>
        <v>4</v>
      </c>
      <c r="O34" s="202">
        <f t="shared" si="4"/>
        <v>0</v>
      </c>
      <c r="P34" s="199">
        <f t="shared" si="1"/>
        <v>0</v>
      </c>
      <c r="Q34" s="203">
        <f t="shared" si="5"/>
        <v>98.800000000000068</v>
      </c>
      <c r="R34" s="203" t="s">
        <v>55</v>
      </c>
      <c r="S34" s="201">
        <f t="shared" si="6"/>
        <v>3.2355154251316964E-2</v>
      </c>
    </row>
    <row r="35" spans="1:19">
      <c r="A35" s="196">
        <v>40018</v>
      </c>
      <c r="B35" s="122">
        <v>13.69</v>
      </c>
      <c r="C35" s="122">
        <v>14.01</v>
      </c>
      <c r="D35" s="122">
        <v>13.07</v>
      </c>
      <c r="E35" s="122">
        <v>13.4</v>
      </c>
      <c r="F35" s="122">
        <v>8.4496020000000005</v>
      </c>
      <c r="G35" s="197">
        <v>156900</v>
      </c>
      <c r="H35" s="198">
        <f>IF(AND(E34&gt;=H34,E35&gt;=E34),E34*(1+'Trading Model'!$E$13),IF(AND(E35&lt;E34,E34&gt;=H34),E35*(1+'Trading Model'!$E$13),H34))</f>
        <v>14.07</v>
      </c>
      <c r="I35" s="198">
        <f>IF(K35&gt;0,E35*(1-'Trading Model'!E45),IF(E35&lt;I34,I34*(1-'Trading Model'!$E$14),I34))</f>
        <v>13.034000000000001</v>
      </c>
      <c r="J35" s="198">
        <f t="shared" si="7"/>
        <v>-13.4</v>
      </c>
      <c r="K35" s="198">
        <f t="shared" si="2"/>
        <v>0</v>
      </c>
      <c r="L35" s="198">
        <f>COUNTIF(J35:K35,"&lt;&gt;0")*-'Trading Model'!$E$15</f>
        <v>-0.1</v>
      </c>
      <c r="M35" s="198">
        <f t="shared" si="0"/>
        <v>-13.5</v>
      </c>
      <c r="N35" s="75">
        <f t="shared" si="3"/>
        <v>5</v>
      </c>
      <c r="O35" s="202">
        <f t="shared" si="4"/>
        <v>0</v>
      </c>
      <c r="P35" s="199">
        <f t="shared" si="1"/>
        <v>0</v>
      </c>
      <c r="Q35" s="203">
        <f t="shared" si="5"/>
        <v>98.700000000000074</v>
      </c>
      <c r="R35" s="203" t="s">
        <v>55</v>
      </c>
      <c r="S35" s="201">
        <f t="shared" si="6"/>
        <v>-2.3323615160349864E-2</v>
      </c>
    </row>
    <row r="36" spans="1:19">
      <c r="A36" s="196">
        <v>40021</v>
      </c>
      <c r="B36" s="122">
        <v>12.87</v>
      </c>
      <c r="C36" s="122">
        <v>13.6</v>
      </c>
      <c r="D36" s="122">
        <v>12.78</v>
      </c>
      <c r="E36" s="122">
        <v>13.07</v>
      </c>
      <c r="F36" s="122">
        <v>8.2415160000000007</v>
      </c>
      <c r="G36" s="197">
        <v>221100</v>
      </c>
      <c r="H36" s="198">
        <f>IF(AND(E35&gt;=H35,E36&gt;=E35),E35*(1+'Trading Model'!$E$13),IF(AND(E36&lt;E35,E35&gt;=H35),E36*(1+'Trading Model'!$E$13),H35))</f>
        <v>14.07</v>
      </c>
      <c r="I36" s="198">
        <f>IF(K36&gt;0,E36*(1-'Trading Model'!E46),IF(E36&lt;I35,I35*(1-'Trading Model'!$E$14),I35))</f>
        <v>13.034000000000001</v>
      </c>
      <c r="J36" s="198">
        <f t="shared" si="7"/>
        <v>0</v>
      </c>
      <c r="K36" s="198">
        <f t="shared" si="2"/>
        <v>0</v>
      </c>
      <c r="L36" s="198">
        <f>COUNTIF(J36:K36,"&lt;&gt;0")*-'Trading Model'!$E$15</f>
        <v>0</v>
      </c>
      <c r="M36" s="198">
        <f t="shared" si="0"/>
        <v>0</v>
      </c>
      <c r="N36" s="75">
        <f t="shared" si="3"/>
        <v>5</v>
      </c>
      <c r="O36" s="202">
        <f t="shared" si="4"/>
        <v>0</v>
      </c>
      <c r="P36" s="199">
        <f t="shared" si="1"/>
        <v>0</v>
      </c>
      <c r="Q36" s="203">
        <f t="shared" si="5"/>
        <v>98.60000000000008</v>
      </c>
      <c r="R36" s="203" t="s">
        <v>55</v>
      </c>
      <c r="S36" s="201">
        <f t="shared" si="6"/>
        <v>-2.4626865671641851E-2</v>
      </c>
    </row>
    <row r="37" spans="1:19">
      <c r="A37" s="196">
        <v>40022</v>
      </c>
      <c r="B37" s="122">
        <v>13.06</v>
      </c>
      <c r="C37" s="122">
        <v>13.52</v>
      </c>
      <c r="D37" s="122">
        <v>12.83</v>
      </c>
      <c r="E37" s="122">
        <v>12.94</v>
      </c>
      <c r="F37" s="122">
        <v>8.1595410000000008</v>
      </c>
      <c r="G37" s="197">
        <v>207100</v>
      </c>
      <c r="H37" s="198">
        <f>IF(AND(E36&gt;=H36,E37&gt;=E36),E36*(1+'Trading Model'!$E$13),IF(AND(E37&lt;E36,E36&gt;=H36),E37*(1+'Trading Model'!$E$13),H36))</f>
        <v>14.07</v>
      </c>
      <c r="I37" s="198">
        <f>IF(K37&gt;0,E37*(1-'Trading Model'!E47),IF(E37&lt;I36,I36*(1-'Trading Model'!$E$14),I36))</f>
        <v>12.382300000000001</v>
      </c>
      <c r="J37" s="198">
        <f t="shared" si="7"/>
        <v>-12.94</v>
      </c>
      <c r="K37" s="198">
        <f t="shared" si="2"/>
        <v>0</v>
      </c>
      <c r="L37" s="198">
        <f>COUNTIF(J37:K37,"&lt;&gt;0")*-'Trading Model'!$E$15</f>
        <v>-0.1</v>
      </c>
      <c r="M37" s="198">
        <f t="shared" si="0"/>
        <v>-13.04</v>
      </c>
      <c r="N37" s="75">
        <f t="shared" si="3"/>
        <v>6</v>
      </c>
      <c r="O37" s="202">
        <f t="shared" si="4"/>
        <v>0</v>
      </c>
      <c r="P37" s="199">
        <f t="shared" si="1"/>
        <v>0</v>
      </c>
      <c r="Q37" s="203">
        <f t="shared" si="5"/>
        <v>98.500000000000085</v>
      </c>
      <c r="R37" s="201">
        <f>E37/B33-1</f>
        <v>1.2519561815336422E-2</v>
      </c>
      <c r="S37" s="201">
        <f t="shared" si="6"/>
        <v>-9.9464422341239977E-3</v>
      </c>
    </row>
    <row r="38" spans="1:19">
      <c r="A38" s="196">
        <v>40023</v>
      </c>
      <c r="B38" s="122">
        <v>13.11</v>
      </c>
      <c r="C38" s="122">
        <v>13.21</v>
      </c>
      <c r="D38" s="122">
        <v>12.84</v>
      </c>
      <c r="E38" s="122">
        <v>13.05</v>
      </c>
      <c r="F38" s="122">
        <v>8.2289049999999992</v>
      </c>
      <c r="G38" s="197">
        <v>136500</v>
      </c>
      <c r="H38" s="198">
        <f>IF(AND(E37&gt;=H37,E38&gt;=E37),E37*(1+'Trading Model'!$E$13),IF(AND(E38&lt;E37,E37&gt;=H37),E38*(1+'Trading Model'!$E$13),H37))</f>
        <v>14.07</v>
      </c>
      <c r="I38" s="198">
        <f>IF(K38&gt;0,E38*(1-'Trading Model'!E48),IF(E38&lt;I37,I37*(1-'Trading Model'!$E$14),I37))</f>
        <v>12.382300000000001</v>
      </c>
      <c r="J38" s="198">
        <f t="shared" si="7"/>
        <v>0</v>
      </c>
      <c r="K38" s="198">
        <f t="shared" si="2"/>
        <v>0</v>
      </c>
      <c r="L38" s="198">
        <f>COUNTIF(J38:K38,"&lt;&gt;0")*-'Trading Model'!$E$15</f>
        <v>0</v>
      </c>
      <c r="M38" s="198">
        <f t="shared" si="0"/>
        <v>0</v>
      </c>
      <c r="N38" s="75">
        <f t="shared" si="3"/>
        <v>6</v>
      </c>
      <c r="O38" s="202">
        <f t="shared" si="4"/>
        <v>0</v>
      </c>
      <c r="P38" s="199">
        <f t="shared" si="1"/>
        <v>0</v>
      </c>
      <c r="Q38" s="203">
        <f t="shared" si="5"/>
        <v>98.500000000000085</v>
      </c>
      <c r="R38" s="160" t="s">
        <v>55</v>
      </c>
      <c r="S38" s="201">
        <f t="shared" si="6"/>
        <v>8.5007727975270342E-3</v>
      </c>
    </row>
    <row r="39" spans="1:19">
      <c r="A39" s="196">
        <v>40024</v>
      </c>
      <c r="B39" s="122">
        <v>13.2</v>
      </c>
      <c r="C39" s="122">
        <v>13.47</v>
      </c>
      <c r="D39" s="122">
        <v>13.15</v>
      </c>
      <c r="E39" s="122">
        <v>13.45</v>
      </c>
      <c r="F39" s="122">
        <v>8.4811329999999998</v>
      </c>
      <c r="G39" s="197">
        <v>203800</v>
      </c>
      <c r="H39" s="198">
        <f>IF(AND(E38&gt;=H38,E39&gt;=E38),E38*(1+'Trading Model'!$E$13),IF(AND(E39&lt;E38,E38&gt;=H38),E39*(1+'Trading Model'!$E$13),H38))</f>
        <v>14.07</v>
      </c>
      <c r="I39" s="198">
        <f>IF(K39&gt;0,E39*(1-'Trading Model'!E49),IF(E39&lt;I38,I38*(1-'Trading Model'!$E$14),I38))</f>
        <v>12.382300000000001</v>
      </c>
      <c r="J39" s="198">
        <f t="shared" si="7"/>
        <v>0</v>
      </c>
      <c r="K39" s="198">
        <f t="shared" si="2"/>
        <v>0</v>
      </c>
      <c r="L39" s="198">
        <f>COUNTIF(J39:K39,"&lt;&gt;0")*-'Trading Model'!$E$15</f>
        <v>0</v>
      </c>
      <c r="M39" s="198">
        <f t="shared" si="0"/>
        <v>0</v>
      </c>
      <c r="N39" s="75">
        <f t="shared" si="3"/>
        <v>6</v>
      </c>
      <c r="O39" s="202">
        <f t="shared" si="4"/>
        <v>0</v>
      </c>
      <c r="P39" s="199">
        <f t="shared" si="1"/>
        <v>0</v>
      </c>
      <c r="Q39" s="203">
        <f t="shared" si="5"/>
        <v>98.500000000000085</v>
      </c>
      <c r="R39" s="203" t="s">
        <v>55</v>
      </c>
      <c r="S39" s="201">
        <f t="shared" si="6"/>
        <v>3.0651340996168397E-2</v>
      </c>
    </row>
    <row r="40" spans="1:19">
      <c r="A40" s="196">
        <v>40025</v>
      </c>
      <c r="B40" s="122">
        <v>13.45</v>
      </c>
      <c r="C40" s="122">
        <v>13.98</v>
      </c>
      <c r="D40" s="122">
        <v>13.39</v>
      </c>
      <c r="E40" s="122">
        <v>13.67</v>
      </c>
      <c r="F40" s="122">
        <v>8.6198560000000004</v>
      </c>
      <c r="G40" s="197">
        <v>254800</v>
      </c>
      <c r="H40" s="198">
        <f>IF(AND(E39&gt;=H39,E40&gt;=E39),E39*(1+'Trading Model'!$E$13),IF(AND(E40&lt;E39,E39&gt;=H39),E40*(1+'Trading Model'!$E$13),H39))</f>
        <v>14.07</v>
      </c>
      <c r="I40" s="198">
        <f>IF(K40&gt;0,E40*(1-'Trading Model'!E50),IF(E40&lt;I39,I39*(1-'Trading Model'!$E$14),I39))</f>
        <v>12.382300000000001</v>
      </c>
      <c r="J40" s="198">
        <f t="shared" si="7"/>
        <v>0</v>
      </c>
      <c r="K40" s="198">
        <f t="shared" si="2"/>
        <v>0</v>
      </c>
      <c r="L40" s="198">
        <f>COUNTIF(J40:K40,"&lt;&gt;0")*-'Trading Model'!$E$15</f>
        <v>0</v>
      </c>
      <c r="M40" s="198">
        <f t="shared" si="0"/>
        <v>0</v>
      </c>
      <c r="N40" s="75">
        <f t="shared" si="3"/>
        <v>6</v>
      </c>
      <c r="O40" s="202">
        <f t="shared" si="4"/>
        <v>0</v>
      </c>
      <c r="P40" s="199">
        <f t="shared" si="1"/>
        <v>0</v>
      </c>
      <c r="Q40" s="203">
        <f t="shared" si="5"/>
        <v>98.500000000000085</v>
      </c>
      <c r="R40" s="203" t="s">
        <v>55</v>
      </c>
      <c r="S40" s="201">
        <f t="shared" si="6"/>
        <v>1.6356877323420171E-2</v>
      </c>
    </row>
    <row r="41" spans="1:19">
      <c r="A41" s="196">
        <v>40028</v>
      </c>
      <c r="B41" s="122">
        <v>14.11</v>
      </c>
      <c r="C41" s="122">
        <v>14.11</v>
      </c>
      <c r="D41" s="122">
        <v>13.71</v>
      </c>
      <c r="E41" s="122">
        <v>14.09</v>
      </c>
      <c r="F41" s="122">
        <v>8.8846950000000007</v>
      </c>
      <c r="G41" s="197">
        <v>397400</v>
      </c>
      <c r="H41" s="198">
        <f>IF(AND(E40&gt;=H40,E41&gt;=E40),E40*(1+'Trading Model'!$E$13),IF(AND(E41&lt;E40,E40&gt;=H40),E41*(1+'Trading Model'!$E$13),H40))</f>
        <v>14.07</v>
      </c>
      <c r="I41" s="198">
        <f>IF(K41&gt;0,E41*(1-'Trading Model'!E51),IF(E41&lt;I40,I40*(1-'Trading Model'!$E$14),I40))</f>
        <v>14.09</v>
      </c>
      <c r="J41" s="198">
        <f t="shared" si="7"/>
        <v>-14.09</v>
      </c>
      <c r="K41" s="198">
        <f t="shared" si="2"/>
        <v>14.09</v>
      </c>
      <c r="L41" s="198">
        <f>COUNTIF(J41:K41,"&lt;&gt;0")*-'Trading Model'!$E$15</f>
        <v>-0.2</v>
      </c>
      <c r="M41" s="198">
        <f t="shared" si="0"/>
        <v>-0.2</v>
      </c>
      <c r="N41" s="75">
        <f t="shared" si="3"/>
        <v>6</v>
      </c>
      <c r="O41" s="202">
        <f t="shared" si="4"/>
        <v>0</v>
      </c>
      <c r="P41" s="199">
        <f t="shared" si="1"/>
        <v>0</v>
      </c>
      <c r="Q41" s="203">
        <f t="shared" si="5"/>
        <v>98.500000000000085</v>
      </c>
      <c r="R41" s="203" t="s">
        <v>55</v>
      </c>
      <c r="S41" s="201">
        <f t="shared" si="6"/>
        <v>3.0724213606437401E-2</v>
      </c>
    </row>
    <row r="42" spans="1:19">
      <c r="A42" s="196">
        <v>40029</v>
      </c>
      <c r="B42" s="122">
        <v>14.04</v>
      </c>
      <c r="C42" s="122">
        <v>14.19</v>
      </c>
      <c r="D42" s="122">
        <v>13.8</v>
      </c>
      <c r="E42" s="122">
        <v>14.12</v>
      </c>
      <c r="F42" s="122">
        <v>8.9036089999999994</v>
      </c>
      <c r="G42" s="197">
        <v>308600</v>
      </c>
      <c r="H42" s="198">
        <f>IF(AND(E41&gt;=H41,E42&gt;=E41),E41*(1+'Trading Model'!$E$13),IF(AND(E42&lt;E41,E41&gt;=H41),E42*(1+'Trading Model'!$E$13),H41))</f>
        <v>14.794500000000001</v>
      </c>
      <c r="I42" s="198">
        <f>IF(K42&gt;0,E42*(1-'Trading Model'!E52),IF(E42&lt;I41,I41*(1-'Trading Model'!$E$14),I41))</f>
        <v>14.09</v>
      </c>
      <c r="J42" s="198">
        <f t="shared" si="7"/>
        <v>0</v>
      </c>
      <c r="K42" s="198">
        <f t="shared" si="2"/>
        <v>0</v>
      </c>
      <c r="L42" s="198">
        <f>COUNTIF(J42:K42,"&lt;&gt;0")*-'Trading Model'!$E$15</f>
        <v>0</v>
      </c>
      <c r="M42" s="198">
        <f t="shared" si="0"/>
        <v>0</v>
      </c>
      <c r="N42" s="75">
        <f t="shared" si="3"/>
        <v>6</v>
      </c>
      <c r="O42" s="202">
        <f t="shared" si="4"/>
        <v>0</v>
      </c>
      <c r="P42" s="199">
        <f t="shared" si="1"/>
        <v>0</v>
      </c>
      <c r="Q42" s="203">
        <f t="shared" si="5"/>
        <v>98.500000000000085</v>
      </c>
      <c r="R42" s="201">
        <f>E42/B38-1</f>
        <v>7.7040427154843716E-2</v>
      </c>
      <c r="S42" s="201">
        <f t="shared" si="6"/>
        <v>2.1291696238465718E-3</v>
      </c>
    </row>
    <row r="43" spans="1:19">
      <c r="A43" s="196">
        <v>40030</v>
      </c>
      <c r="B43" s="122">
        <v>14.06</v>
      </c>
      <c r="C43" s="122">
        <v>14.09</v>
      </c>
      <c r="D43" s="122">
        <v>13.25</v>
      </c>
      <c r="E43" s="122">
        <v>13.88</v>
      </c>
      <c r="F43" s="122">
        <v>8.7522769999999994</v>
      </c>
      <c r="G43" s="197">
        <v>163100</v>
      </c>
      <c r="H43" s="198">
        <f>IF(AND(E42&gt;=H42,E43&gt;=E42),E42*(1+'Trading Model'!$E$13),IF(AND(E43&lt;E42,E42&gt;=H42),E43*(1+'Trading Model'!$E$13),H42))</f>
        <v>14.794500000000001</v>
      </c>
      <c r="I43" s="198">
        <f>IF(K43&gt;0,E43*(1-'Trading Model'!E53),IF(E43&lt;I42,I42*(1-'Trading Model'!$E$14),I42))</f>
        <v>13.385499999999999</v>
      </c>
      <c r="J43" s="198">
        <f t="shared" si="7"/>
        <v>-13.88</v>
      </c>
      <c r="K43" s="198">
        <f t="shared" si="2"/>
        <v>0</v>
      </c>
      <c r="L43" s="198">
        <f>COUNTIF(J43:K43,"&lt;&gt;0")*-'Trading Model'!$E$15</f>
        <v>-0.1</v>
      </c>
      <c r="M43" s="198">
        <f t="shared" si="0"/>
        <v>-13.98</v>
      </c>
      <c r="N43" s="75">
        <f t="shared" si="3"/>
        <v>7</v>
      </c>
      <c r="O43" s="202">
        <f t="shared" si="4"/>
        <v>0</v>
      </c>
      <c r="P43" s="199">
        <f t="shared" si="1"/>
        <v>0</v>
      </c>
      <c r="Q43" s="203">
        <f t="shared" si="5"/>
        <v>98.400000000000091</v>
      </c>
      <c r="R43" s="160" t="s">
        <v>55</v>
      </c>
      <c r="S43" s="201">
        <f t="shared" si="6"/>
        <v>-1.6997167138810054E-2</v>
      </c>
    </row>
    <row r="44" spans="1:19">
      <c r="A44" s="196">
        <v>40031</v>
      </c>
      <c r="B44" s="122">
        <v>13.96</v>
      </c>
      <c r="C44" s="122">
        <v>13.99</v>
      </c>
      <c r="D44" s="122">
        <v>13.44</v>
      </c>
      <c r="E44" s="122">
        <v>13.6</v>
      </c>
      <c r="F44" s="122">
        <v>8.5757169999999991</v>
      </c>
      <c r="G44" s="197">
        <v>133500</v>
      </c>
      <c r="H44" s="198">
        <f>IF(AND(E43&gt;=H43,E44&gt;=E43),E43*(1+'Trading Model'!$E$13),IF(AND(E44&lt;E43,E43&gt;=H43),E44*(1+'Trading Model'!$E$13),H43))</f>
        <v>14.794500000000001</v>
      </c>
      <c r="I44" s="198">
        <f>IF(K44&gt;0,E44*(1-'Trading Model'!E54),IF(E44&lt;I43,I43*(1-'Trading Model'!$E$14),I43))</f>
        <v>13.385499999999999</v>
      </c>
      <c r="J44" s="198">
        <f t="shared" si="7"/>
        <v>0</v>
      </c>
      <c r="K44" s="198">
        <f t="shared" si="2"/>
        <v>0</v>
      </c>
      <c r="L44" s="198">
        <f>COUNTIF(J44:K44,"&lt;&gt;0")*-'Trading Model'!$E$15</f>
        <v>0</v>
      </c>
      <c r="M44" s="198">
        <f t="shared" si="0"/>
        <v>0</v>
      </c>
      <c r="N44" s="75">
        <f t="shared" si="3"/>
        <v>7</v>
      </c>
      <c r="O44" s="202">
        <f t="shared" si="4"/>
        <v>0</v>
      </c>
      <c r="P44" s="199">
        <f t="shared" si="1"/>
        <v>0</v>
      </c>
      <c r="Q44" s="203">
        <f t="shared" si="5"/>
        <v>98.300000000000097</v>
      </c>
      <c r="R44" s="203" t="s">
        <v>55</v>
      </c>
      <c r="S44" s="201">
        <f t="shared" si="6"/>
        <v>-2.0172910662824339E-2</v>
      </c>
    </row>
    <row r="45" spans="1:19">
      <c r="A45" s="196">
        <v>40032</v>
      </c>
      <c r="B45" s="122">
        <v>13.61</v>
      </c>
      <c r="C45" s="122">
        <v>13.96</v>
      </c>
      <c r="D45" s="122">
        <v>13.61</v>
      </c>
      <c r="E45" s="122">
        <v>13.67</v>
      </c>
      <c r="F45" s="122">
        <v>8.6198560000000004</v>
      </c>
      <c r="G45" s="197">
        <v>200900</v>
      </c>
      <c r="H45" s="198">
        <f>IF(AND(E44&gt;=H44,E45&gt;=E44),E44*(1+'Trading Model'!$E$13),IF(AND(E45&lt;E44,E44&gt;=H44),E45*(1+'Trading Model'!$E$13),H44))</f>
        <v>14.794500000000001</v>
      </c>
      <c r="I45" s="198">
        <f>IF(K45&gt;0,E45*(1-'Trading Model'!E55),IF(E45&lt;I44,I44*(1-'Trading Model'!$E$14),I44))</f>
        <v>13.385499999999999</v>
      </c>
      <c r="J45" s="198">
        <f t="shared" si="7"/>
        <v>0</v>
      </c>
      <c r="K45" s="198">
        <f t="shared" si="2"/>
        <v>0</v>
      </c>
      <c r="L45" s="198">
        <f>COUNTIF(J45:K45,"&lt;&gt;0")*-'Trading Model'!$E$15</f>
        <v>0</v>
      </c>
      <c r="M45" s="198">
        <f t="shared" si="0"/>
        <v>0</v>
      </c>
      <c r="N45" s="75">
        <f t="shared" si="3"/>
        <v>7</v>
      </c>
      <c r="O45" s="202">
        <f t="shared" si="4"/>
        <v>0</v>
      </c>
      <c r="P45" s="199">
        <f t="shared" si="1"/>
        <v>0</v>
      </c>
      <c r="Q45" s="203">
        <f t="shared" si="5"/>
        <v>98.300000000000097</v>
      </c>
      <c r="R45" s="203" t="s">
        <v>55</v>
      </c>
      <c r="S45" s="201">
        <f t="shared" si="6"/>
        <v>5.1470588235293935E-3</v>
      </c>
    </row>
    <row r="46" spans="1:19">
      <c r="A46" s="196">
        <v>40035</v>
      </c>
      <c r="B46" s="122">
        <v>13.6</v>
      </c>
      <c r="C46" s="122">
        <v>14.1</v>
      </c>
      <c r="D46" s="122">
        <v>13.56</v>
      </c>
      <c r="E46" s="122">
        <v>14</v>
      </c>
      <c r="F46" s="122">
        <v>8.8279429999999994</v>
      </c>
      <c r="G46" s="197">
        <v>205000</v>
      </c>
      <c r="H46" s="198">
        <f>IF(AND(E45&gt;=H45,E46&gt;=E45),E45*(1+'Trading Model'!$E$13),IF(AND(E46&lt;E45,E45&gt;=H45),E46*(1+'Trading Model'!$E$13),H45))</f>
        <v>14.794500000000001</v>
      </c>
      <c r="I46" s="198">
        <f>IF(K46&gt;0,E46*(1-'Trading Model'!E56),IF(E46&lt;I45,I45*(1-'Trading Model'!$E$14),I45))</f>
        <v>13.385499999999999</v>
      </c>
      <c r="J46" s="198">
        <f t="shared" si="7"/>
        <v>0</v>
      </c>
      <c r="K46" s="198">
        <f t="shared" si="2"/>
        <v>0</v>
      </c>
      <c r="L46" s="198">
        <f>COUNTIF(J46:K46,"&lt;&gt;0")*-'Trading Model'!$E$15</f>
        <v>0</v>
      </c>
      <c r="M46" s="198">
        <f t="shared" si="0"/>
        <v>0</v>
      </c>
      <c r="N46" s="75">
        <f t="shared" si="3"/>
        <v>7</v>
      </c>
      <c r="O46" s="202">
        <f t="shared" si="4"/>
        <v>0</v>
      </c>
      <c r="P46" s="199">
        <f t="shared" si="1"/>
        <v>0</v>
      </c>
      <c r="Q46" s="203">
        <f t="shared" si="5"/>
        <v>98.300000000000097</v>
      </c>
      <c r="R46" s="203" t="s">
        <v>55</v>
      </c>
      <c r="S46" s="201">
        <f t="shared" si="6"/>
        <v>2.4140453547915053E-2</v>
      </c>
    </row>
    <row r="47" spans="1:19">
      <c r="A47" s="196">
        <v>40036</v>
      </c>
      <c r="B47" s="122">
        <v>14.05</v>
      </c>
      <c r="C47" s="122">
        <v>14.28</v>
      </c>
      <c r="D47" s="122">
        <v>13.87</v>
      </c>
      <c r="E47" s="122">
        <v>14.01</v>
      </c>
      <c r="F47" s="122">
        <v>8.8342489999999998</v>
      </c>
      <c r="G47" s="197">
        <v>150800</v>
      </c>
      <c r="H47" s="198">
        <f>IF(AND(E46&gt;=H46,E47&gt;=E46),E46*(1+'Trading Model'!$E$13),IF(AND(E47&lt;E46,E46&gt;=H46),E47*(1+'Trading Model'!$E$13),H46))</f>
        <v>14.794500000000001</v>
      </c>
      <c r="I47" s="198">
        <f>IF(K47&gt;0,E47*(1-'Trading Model'!E57),IF(E47&lt;I46,I46*(1-'Trading Model'!$E$14),I46))</f>
        <v>13.385499999999999</v>
      </c>
      <c r="J47" s="198">
        <f t="shared" si="7"/>
        <v>0</v>
      </c>
      <c r="K47" s="198">
        <f t="shared" si="2"/>
        <v>0</v>
      </c>
      <c r="L47" s="198">
        <f>COUNTIF(J47:K47,"&lt;&gt;0")*-'Trading Model'!$E$15</f>
        <v>0</v>
      </c>
      <c r="M47" s="198">
        <f t="shared" si="0"/>
        <v>0</v>
      </c>
      <c r="N47" s="75">
        <f t="shared" si="3"/>
        <v>7</v>
      </c>
      <c r="O47" s="202">
        <f t="shared" si="4"/>
        <v>0</v>
      </c>
      <c r="P47" s="199">
        <f t="shared" si="1"/>
        <v>0</v>
      </c>
      <c r="Q47" s="203">
        <f t="shared" si="5"/>
        <v>98.300000000000097</v>
      </c>
      <c r="R47" s="201">
        <f>E47/B43-1</f>
        <v>-3.5561877667141806E-3</v>
      </c>
      <c r="S47" s="201">
        <f t="shared" si="6"/>
        <v>7.1428571428566734E-4</v>
      </c>
    </row>
    <row r="48" spans="1:19">
      <c r="A48" s="196">
        <v>40037</v>
      </c>
      <c r="B48" s="122">
        <v>14.08</v>
      </c>
      <c r="C48" s="122">
        <v>14.4</v>
      </c>
      <c r="D48" s="122">
        <v>14</v>
      </c>
      <c r="E48" s="122">
        <v>14.23</v>
      </c>
      <c r="F48" s="122">
        <v>8.9729729999999996</v>
      </c>
      <c r="G48" s="197">
        <v>197300</v>
      </c>
      <c r="H48" s="198">
        <f>IF(AND(E47&gt;=H47,E48&gt;=E47),E47*(1+'Trading Model'!$E$13),IF(AND(E48&lt;E47,E47&gt;=H47),E48*(1+'Trading Model'!$E$13),H47))</f>
        <v>14.794500000000001</v>
      </c>
      <c r="I48" s="198">
        <f>IF(K48&gt;0,E48*(1-'Trading Model'!E58),IF(E48&lt;I47,I47*(1-'Trading Model'!$E$14),I47))</f>
        <v>13.385499999999999</v>
      </c>
      <c r="J48" s="198">
        <f t="shared" si="7"/>
        <v>0</v>
      </c>
      <c r="K48" s="198">
        <f t="shared" si="2"/>
        <v>0</v>
      </c>
      <c r="L48" s="198">
        <f>COUNTIF(J48:K48,"&lt;&gt;0")*-'Trading Model'!$E$15</f>
        <v>0</v>
      </c>
      <c r="M48" s="198">
        <f t="shared" si="0"/>
        <v>0</v>
      </c>
      <c r="N48" s="75">
        <f t="shared" si="3"/>
        <v>7</v>
      </c>
      <c r="O48" s="202">
        <f t="shared" si="4"/>
        <v>0</v>
      </c>
      <c r="P48" s="199">
        <f t="shared" si="1"/>
        <v>0</v>
      </c>
      <c r="Q48" s="203">
        <f t="shared" si="5"/>
        <v>98.300000000000097</v>
      </c>
      <c r="R48" s="160" t="s">
        <v>55</v>
      </c>
      <c r="S48" s="201">
        <f t="shared" si="6"/>
        <v>1.5703069236259859E-2</v>
      </c>
    </row>
    <row r="49" spans="1:19">
      <c r="A49" s="196">
        <v>40038</v>
      </c>
      <c r="B49" s="122">
        <v>14.32</v>
      </c>
      <c r="C49" s="122">
        <v>14.98</v>
      </c>
      <c r="D49" s="122">
        <v>14.29</v>
      </c>
      <c r="E49" s="122">
        <v>14.93</v>
      </c>
      <c r="F49" s="122">
        <v>9.4143709999999992</v>
      </c>
      <c r="G49" s="197">
        <v>210000</v>
      </c>
      <c r="H49" s="198">
        <f>IF(AND(E48&gt;=H48,E49&gt;=E48),E48*(1+'Trading Model'!$E$13),IF(AND(E49&lt;E48,E48&gt;=H48),E49*(1+'Trading Model'!$E$13),H48))</f>
        <v>14.794500000000001</v>
      </c>
      <c r="I49" s="198">
        <f>IF(K49&gt;0,E49*(1-'Trading Model'!E59),IF(E49&lt;I48,I48*(1-'Trading Model'!$E$14),I48))</f>
        <v>14.93</v>
      </c>
      <c r="J49" s="198">
        <f t="shared" si="7"/>
        <v>-14.93</v>
      </c>
      <c r="K49" s="198">
        <f t="shared" si="2"/>
        <v>14.93</v>
      </c>
      <c r="L49" s="198">
        <f>COUNTIF(J49:K49,"&lt;&gt;0")*-'Trading Model'!$E$15</f>
        <v>-0.2</v>
      </c>
      <c r="M49" s="198">
        <f t="shared" si="0"/>
        <v>-0.2</v>
      </c>
      <c r="N49" s="75">
        <f t="shared" si="3"/>
        <v>7</v>
      </c>
      <c r="O49" s="202">
        <f t="shared" si="4"/>
        <v>0</v>
      </c>
      <c r="P49" s="199">
        <f t="shared" si="1"/>
        <v>0</v>
      </c>
      <c r="Q49" s="203">
        <f t="shared" si="5"/>
        <v>98.300000000000097</v>
      </c>
      <c r="R49" s="203" t="s">
        <v>55</v>
      </c>
      <c r="S49" s="201">
        <f t="shared" si="6"/>
        <v>4.9191848208011146E-2</v>
      </c>
    </row>
    <row r="50" spans="1:19">
      <c r="A50" s="196">
        <v>40039</v>
      </c>
      <c r="B50" s="122">
        <v>14.98</v>
      </c>
      <c r="C50" s="122">
        <v>14.98</v>
      </c>
      <c r="D50" s="122">
        <v>14.53</v>
      </c>
      <c r="E50" s="122">
        <v>14.78</v>
      </c>
      <c r="F50" s="122">
        <v>9.3197860000000006</v>
      </c>
      <c r="G50" s="197">
        <v>198100</v>
      </c>
      <c r="H50" s="198">
        <f>IF(AND(E49&gt;=H49,E50&gt;=E49),E49*(1+'Trading Model'!$E$13),IF(AND(E50&lt;E49,E49&gt;=H49),E50*(1+'Trading Model'!$E$13),H49))</f>
        <v>15.519</v>
      </c>
      <c r="I50" s="198">
        <f>IF(K50&gt;0,E50*(1-'Trading Model'!E60),IF(E50&lt;I49,I49*(1-'Trading Model'!$E$14),I49))</f>
        <v>14.183499999999999</v>
      </c>
      <c r="J50" s="198">
        <f t="shared" si="7"/>
        <v>-14.78</v>
      </c>
      <c r="K50" s="198">
        <f t="shared" si="2"/>
        <v>0</v>
      </c>
      <c r="L50" s="198">
        <f>COUNTIF(J50:K50,"&lt;&gt;0")*-'Trading Model'!$E$15</f>
        <v>-0.1</v>
      </c>
      <c r="M50" s="198">
        <f t="shared" si="0"/>
        <v>-14.879999999999999</v>
      </c>
      <c r="N50" s="75">
        <f t="shared" si="3"/>
        <v>8</v>
      </c>
      <c r="O50" s="202">
        <f t="shared" si="4"/>
        <v>0</v>
      </c>
      <c r="P50" s="199">
        <f t="shared" si="1"/>
        <v>0</v>
      </c>
      <c r="Q50" s="203">
        <f t="shared" si="5"/>
        <v>98.200000000000102</v>
      </c>
      <c r="R50" s="203" t="s">
        <v>55</v>
      </c>
      <c r="S50" s="201">
        <f t="shared" si="6"/>
        <v>-1.0046885465505695E-2</v>
      </c>
    </row>
    <row r="51" spans="1:19">
      <c r="A51" s="196">
        <v>40042</v>
      </c>
      <c r="B51" s="122">
        <v>14.54</v>
      </c>
      <c r="C51" s="122">
        <v>14.68</v>
      </c>
      <c r="D51" s="122">
        <v>14.11</v>
      </c>
      <c r="E51" s="122">
        <v>14.13</v>
      </c>
      <c r="F51" s="122">
        <v>8.9099179999999993</v>
      </c>
      <c r="G51" s="197">
        <v>141400</v>
      </c>
      <c r="H51" s="198">
        <f>IF(AND(E50&gt;=H50,E51&gt;=E50),E50*(1+'Trading Model'!$E$13),IF(AND(E51&lt;E50,E50&gt;=H50),E51*(1+'Trading Model'!$E$13),H50))</f>
        <v>15.519</v>
      </c>
      <c r="I51" s="198">
        <f>IF(K51&gt;0,E51*(1-'Trading Model'!E61),IF(E51&lt;I50,I50*(1-'Trading Model'!$E$14),I50))</f>
        <v>13.474324999999999</v>
      </c>
      <c r="J51" s="198">
        <f t="shared" si="7"/>
        <v>-14.13</v>
      </c>
      <c r="K51" s="198">
        <f t="shared" si="2"/>
        <v>0</v>
      </c>
      <c r="L51" s="198">
        <f>COUNTIF(J51:K51,"&lt;&gt;0")*-'Trading Model'!$E$15</f>
        <v>-0.1</v>
      </c>
      <c r="M51" s="198">
        <f t="shared" si="0"/>
        <v>-14.23</v>
      </c>
      <c r="N51" s="75">
        <f t="shared" si="3"/>
        <v>9</v>
      </c>
      <c r="O51" s="202">
        <f t="shared" si="4"/>
        <v>0</v>
      </c>
      <c r="P51" s="199">
        <f t="shared" si="1"/>
        <v>0</v>
      </c>
      <c r="Q51" s="203">
        <f t="shared" si="5"/>
        <v>98.100000000000108</v>
      </c>
      <c r="R51" s="203" t="s">
        <v>55</v>
      </c>
      <c r="S51" s="201">
        <f t="shared" si="6"/>
        <v>-4.3978349120432969E-2</v>
      </c>
    </row>
    <row r="52" spans="1:19">
      <c r="A52" s="196">
        <v>40043</v>
      </c>
      <c r="B52" s="122">
        <v>14.23</v>
      </c>
      <c r="C52" s="122">
        <v>14.38</v>
      </c>
      <c r="D52" s="122">
        <v>14.15</v>
      </c>
      <c r="E52" s="122">
        <v>14.27</v>
      </c>
      <c r="F52" s="122">
        <v>8.9981969999999993</v>
      </c>
      <c r="G52" s="197">
        <v>90100</v>
      </c>
      <c r="H52" s="198">
        <f>IF(AND(E51&gt;=H51,E52&gt;=E51),E51*(1+'Trading Model'!$E$13),IF(AND(E52&lt;E51,E51&gt;=H51),E52*(1+'Trading Model'!$E$13),H51))</f>
        <v>15.519</v>
      </c>
      <c r="I52" s="198">
        <f>IF(K52&gt;0,E52*(1-'Trading Model'!E62),IF(E52&lt;I51,I51*(1-'Trading Model'!$E$14),I51))</f>
        <v>13.474324999999999</v>
      </c>
      <c r="J52" s="198">
        <f t="shared" si="7"/>
        <v>0</v>
      </c>
      <c r="K52" s="198">
        <f t="shared" si="2"/>
        <v>0</v>
      </c>
      <c r="L52" s="198">
        <f>COUNTIF(J52:K52,"&lt;&gt;0")*-'Trading Model'!$E$15</f>
        <v>0</v>
      </c>
      <c r="M52" s="198">
        <f t="shared" si="0"/>
        <v>0</v>
      </c>
      <c r="N52" s="75">
        <f t="shared" si="3"/>
        <v>9</v>
      </c>
      <c r="O52" s="202">
        <f t="shared" si="4"/>
        <v>0</v>
      </c>
      <c r="P52" s="199">
        <f t="shared" si="1"/>
        <v>0</v>
      </c>
      <c r="Q52" s="203">
        <f t="shared" si="5"/>
        <v>98.100000000000108</v>
      </c>
      <c r="R52" s="201">
        <f>E52/B48-1</f>
        <v>1.3494318181818121E-2</v>
      </c>
      <c r="S52" s="201">
        <f t="shared" si="6"/>
        <v>9.9079971691435897E-3</v>
      </c>
    </row>
    <row r="53" spans="1:19">
      <c r="A53" s="196">
        <v>40044</v>
      </c>
      <c r="B53" s="122">
        <v>14.14</v>
      </c>
      <c r="C53" s="122">
        <v>14.29</v>
      </c>
      <c r="D53" s="122">
        <v>14.01</v>
      </c>
      <c r="E53" s="122">
        <v>14.2</v>
      </c>
      <c r="F53" s="122">
        <v>8.9540570000000006</v>
      </c>
      <c r="G53" s="197">
        <v>107300</v>
      </c>
      <c r="H53" s="198">
        <f>IF(AND(E52&gt;=H52,E53&gt;=E52),E52*(1+'Trading Model'!$E$13),IF(AND(E53&lt;E52,E52&gt;=H52),E53*(1+'Trading Model'!$E$13),H52))</f>
        <v>15.519</v>
      </c>
      <c r="I53" s="198">
        <f>IF(K53&gt;0,E53*(1-'Trading Model'!E63),IF(E53&lt;I52,I52*(1-'Trading Model'!$E$14),I52))</f>
        <v>13.474324999999999</v>
      </c>
      <c r="J53" s="198">
        <f t="shared" si="7"/>
        <v>0</v>
      </c>
      <c r="K53" s="198">
        <f t="shared" si="2"/>
        <v>0</v>
      </c>
      <c r="L53" s="198">
        <f>COUNTIF(J53:K53,"&lt;&gt;0")*-'Trading Model'!$E$15</f>
        <v>0</v>
      </c>
      <c r="M53" s="198">
        <f t="shared" si="0"/>
        <v>0</v>
      </c>
      <c r="N53" s="75">
        <f t="shared" si="3"/>
        <v>9</v>
      </c>
      <c r="O53" s="202">
        <f t="shared" si="4"/>
        <v>0</v>
      </c>
      <c r="P53" s="199">
        <f t="shared" si="1"/>
        <v>0</v>
      </c>
      <c r="Q53" s="203">
        <f t="shared" si="5"/>
        <v>98.000000000000114</v>
      </c>
      <c r="R53" s="160" t="s">
        <v>55</v>
      </c>
      <c r="S53" s="201">
        <f t="shared" si="6"/>
        <v>-4.9053959355290777E-3</v>
      </c>
    </row>
    <row r="54" spans="1:19">
      <c r="A54" s="196">
        <v>40045</v>
      </c>
      <c r="B54" s="122">
        <v>14.28</v>
      </c>
      <c r="C54" s="122">
        <v>14.6</v>
      </c>
      <c r="D54" s="122">
        <v>14.08</v>
      </c>
      <c r="E54" s="122">
        <v>14.55</v>
      </c>
      <c r="F54" s="122">
        <v>9.1747549999999993</v>
      </c>
      <c r="G54" s="197">
        <v>150600</v>
      </c>
      <c r="H54" s="198">
        <f>IF(AND(E53&gt;=H53,E54&gt;=E53),E53*(1+'Trading Model'!$E$13),IF(AND(E54&lt;E53,E53&gt;=H53),E54*(1+'Trading Model'!$E$13),H53))</f>
        <v>15.519</v>
      </c>
      <c r="I54" s="198">
        <f>IF(K54&gt;0,E54*(1-'Trading Model'!E64),IF(E54&lt;I53,I53*(1-'Trading Model'!$E$14),I53))</f>
        <v>13.474324999999999</v>
      </c>
      <c r="J54" s="198">
        <f t="shared" si="7"/>
        <v>0</v>
      </c>
      <c r="K54" s="198">
        <f t="shared" si="2"/>
        <v>0</v>
      </c>
      <c r="L54" s="198">
        <f>COUNTIF(J54:K54,"&lt;&gt;0")*-'Trading Model'!$E$15</f>
        <v>0</v>
      </c>
      <c r="M54" s="198">
        <f t="shared" si="0"/>
        <v>0</v>
      </c>
      <c r="N54" s="75">
        <f t="shared" si="3"/>
        <v>9</v>
      </c>
      <c r="O54" s="202">
        <f t="shared" si="4"/>
        <v>0</v>
      </c>
      <c r="P54" s="199">
        <f t="shared" si="1"/>
        <v>0</v>
      </c>
      <c r="Q54" s="203">
        <f t="shared" si="5"/>
        <v>98.000000000000114</v>
      </c>
      <c r="R54" s="203" t="s">
        <v>55</v>
      </c>
      <c r="S54" s="201">
        <f t="shared" si="6"/>
        <v>2.464788732394374E-2</v>
      </c>
    </row>
    <row r="55" spans="1:19">
      <c r="A55" s="196">
        <v>40046</v>
      </c>
      <c r="B55" s="122">
        <v>14.7</v>
      </c>
      <c r="C55" s="122">
        <v>15.12</v>
      </c>
      <c r="D55" s="122">
        <v>14.5</v>
      </c>
      <c r="E55" s="122">
        <v>14.89</v>
      </c>
      <c r="F55" s="122">
        <v>9.3891480000000005</v>
      </c>
      <c r="G55" s="197">
        <v>99900</v>
      </c>
      <c r="H55" s="198">
        <f>IF(AND(E54&gt;=H54,E55&gt;=E54),E54*(1+'Trading Model'!$E$13),IF(AND(E55&lt;E54,E54&gt;=H54),E55*(1+'Trading Model'!$E$13),H54))</f>
        <v>15.519</v>
      </c>
      <c r="I55" s="198">
        <f>IF(K55&gt;0,E55*(1-'Trading Model'!E65),IF(E55&lt;I54,I54*(1-'Trading Model'!$E$14),I54))</f>
        <v>13.474324999999999</v>
      </c>
      <c r="J55" s="198">
        <f t="shared" si="7"/>
        <v>0</v>
      </c>
      <c r="K55" s="198">
        <f t="shared" si="2"/>
        <v>0</v>
      </c>
      <c r="L55" s="198">
        <f>COUNTIF(J55:K55,"&lt;&gt;0")*-'Trading Model'!$E$15</f>
        <v>0</v>
      </c>
      <c r="M55" s="198">
        <f t="shared" si="0"/>
        <v>0</v>
      </c>
      <c r="N55" s="75">
        <f t="shared" si="3"/>
        <v>9</v>
      </c>
      <c r="O55" s="202">
        <f t="shared" si="4"/>
        <v>0</v>
      </c>
      <c r="P55" s="199">
        <f t="shared" si="1"/>
        <v>0</v>
      </c>
      <c r="Q55" s="203">
        <f t="shared" si="5"/>
        <v>98.000000000000114</v>
      </c>
      <c r="R55" s="203" t="s">
        <v>55</v>
      </c>
      <c r="S55" s="201">
        <f t="shared" si="6"/>
        <v>2.3367697594501635E-2</v>
      </c>
    </row>
    <row r="56" spans="1:19">
      <c r="A56" s="196">
        <v>40049</v>
      </c>
      <c r="B56" s="122">
        <v>14.77</v>
      </c>
      <c r="C56" s="122">
        <v>15.12</v>
      </c>
      <c r="D56" s="122">
        <v>14.55</v>
      </c>
      <c r="E56" s="122">
        <v>14.62</v>
      </c>
      <c r="F56" s="122">
        <v>9.2188949999999998</v>
      </c>
      <c r="G56" s="197">
        <v>98100</v>
      </c>
      <c r="H56" s="198">
        <f>IF(AND(E55&gt;=H55,E56&gt;=E55),E55*(1+'Trading Model'!$E$13),IF(AND(E56&lt;E55,E55&gt;=H55),E56*(1+'Trading Model'!$E$13),H55))</f>
        <v>15.519</v>
      </c>
      <c r="I56" s="198">
        <f>IF(K56&gt;0,E56*(1-'Trading Model'!E66),IF(E56&lt;I55,I55*(1-'Trading Model'!$E$14),I55))</f>
        <v>13.474324999999999</v>
      </c>
      <c r="J56" s="198">
        <f t="shared" si="7"/>
        <v>0</v>
      </c>
      <c r="K56" s="198">
        <f t="shared" si="2"/>
        <v>0</v>
      </c>
      <c r="L56" s="198">
        <f>COUNTIF(J56:K56,"&lt;&gt;0")*-'Trading Model'!$E$15</f>
        <v>0</v>
      </c>
      <c r="M56" s="198">
        <f t="shared" si="0"/>
        <v>0</v>
      </c>
      <c r="N56" s="75">
        <f t="shared" si="3"/>
        <v>9</v>
      </c>
      <c r="O56" s="202">
        <f t="shared" si="4"/>
        <v>0</v>
      </c>
      <c r="P56" s="199">
        <f t="shared" si="1"/>
        <v>0</v>
      </c>
      <c r="Q56" s="203">
        <f t="shared" si="5"/>
        <v>97.900000000000119</v>
      </c>
      <c r="R56" s="203" t="s">
        <v>55</v>
      </c>
      <c r="S56" s="201">
        <f t="shared" si="6"/>
        <v>-1.8132975151108233E-2</v>
      </c>
    </row>
    <row r="57" spans="1:19">
      <c r="A57" s="196">
        <v>40050</v>
      </c>
      <c r="B57" s="122">
        <v>14.75</v>
      </c>
      <c r="C57" s="122">
        <v>15.03</v>
      </c>
      <c r="D57" s="122">
        <v>14.61</v>
      </c>
      <c r="E57" s="122">
        <v>14.76</v>
      </c>
      <c r="F57" s="122">
        <v>9.3071750000000009</v>
      </c>
      <c r="G57" s="197">
        <v>95400</v>
      </c>
      <c r="H57" s="198">
        <f>IF(AND(E56&gt;=H56,E57&gt;=E56),E56*(1+'Trading Model'!$E$13),IF(AND(E57&lt;E56,E56&gt;=H56),E57*(1+'Trading Model'!$E$13),H56))</f>
        <v>15.519</v>
      </c>
      <c r="I57" s="198">
        <f>IF(K57&gt;0,E57*(1-'Trading Model'!E67),IF(E57&lt;I56,I56*(1-'Trading Model'!$E$14),I56))</f>
        <v>13.474324999999999</v>
      </c>
      <c r="J57" s="198">
        <f t="shared" si="7"/>
        <v>0</v>
      </c>
      <c r="K57" s="198">
        <f t="shared" si="2"/>
        <v>0</v>
      </c>
      <c r="L57" s="198">
        <f>COUNTIF(J57:K57,"&lt;&gt;0")*-'Trading Model'!$E$15</f>
        <v>0</v>
      </c>
      <c r="M57" s="198">
        <f t="shared" si="0"/>
        <v>0</v>
      </c>
      <c r="N57" s="75">
        <f t="shared" si="3"/>
        <v>9</v>
      </c>
      <c r="O57" s="202">
        <f t="shared" si="4"/>
        <v>0</v>
      </c>
      <c r="P57" s="199">
        <f t="shared" si="1"/>
        <v>0</v>
      </c>
      <c r="Q57" s="203">
        <f t="shared" si="5"/>
        <v>97.900000000000119</v>
      </c>
      <c r="R57" s="201">
        <f>E57/B53-1</f>
        <v>4.3847241867043696E-2</v>
      </c>
      <c r="S57" s="201">
        <f t="shared" si="6"/>
        <v>9.5759233926129284E-3</v>
      </c>
    </row>
    <row r="58" spans="1:19">
      <c r="A58" s="196">
        <v>40051</v>
      </c>
      <c r="B58" s="122">
        <v>14.8</v>
      </c>
      <c r="C58" s="122">
        <v>14.8</v>
      </c>
      <c r="D58" s="122">
        <v>14.21</v>
      </c>
      <c r="E58" s="122">
        <v>14.54</v>
      </c>
      <c r="F58" s="122">
        <v>9.1684479999999997</v>
      </c>
      <c r="G58" s="197">
        <v>124800</v>
      </c>
      <c r="H58" s="198">
        <f>IF(AND(E57&gt;=H57,E58&gt;=E57),E57*(1+'Trading Model'!$E$13),IF(AND(E58&lt;E57,E57&gt;=H57),E58*(1+'Trading Model'!$E$13),H57))</f>
        <v>15.519</v>
      </c>
      <c r="I58" s="198">
        <f>IF(K58&gt;0,E58*(1-'Trading Model'!E68),IF(E58&lt;I57,I57*(1-'Trading Model'!$E$14),I57))</f>
        <v>13.474324999999999</v>
      </c>
      <c r="J58" s="198">
        <f t="shared" si="7"/>
        <v>0</v>
      </c>
      <c r="K58" s="198">
        <f t="shared" si="2"/>
        <v>0</v>
      </c>
      <c r="L58" s="198">
        <f>COUNTIF(J58:K58,"&lt;&gt;0")*-'Trading Model'!$E$15</f>
        <v>0</v>
      </c>
      <c r="M58" s="198">
        <f t="shared" si="0"/>
        <v>0</v>
      </c>
      <c r="N58" s="75">
        <f t="shared" si="3"/>
        <v>9</v>
      </c>
      <c r="O58" s="202">
        <f t="shared" si="4"/>
        <v>0</v>
      </c>
      <c r="P58" s="199">
        <f t="shared" si="1"/>
        <v>0</v>
      </c>
      <c r="Q58" s="203">
        <f t="shared" si="5"/>
        <v>97.800000000000125</v>
      </c>
      <c r="R58" s="160" t="s">
        <v>55</v>
      </c>
      <c r="S58" s="201">
        <f t="shared" si="6"/>
        <v>-1.490514905149054E-2</v>
      </c>
    </row>
    <row r="59" spans="1:19">
      <c r="A59" s="196">
        <v>40052</v>
      </c>
      <c r="B59" s="122">
        <v>14.65</v>
      </c>
      <c r="C59" s="122">
        <v>14.65</v>
      </c>
      <c r="D59" s="122">
        <v>14.35</v>
      </c>
      <c r="E59" s="122">
        <v>14.39</v>
      </c>
      <c r="F59" s="122">
        <v>9.0738640000000004</v>
      </c>
      <c r="G59" s="197">
        <v>105100</v>
      </c>
      <c r="H59" s="198">
        <f>IF(AND(E58&gt;=H58,E59&gt;=E58),E58*(1+'Trading Model'!$E$13),IF(AND(E59&lt;E58,E58&gt;=H58),E59*(1+'Trading Model'!$E$13),H58))</f>
        <v>15.519</v>
      </c>
      <c r="I59" s="198">
        <f>IF(K59&gt;0,E59*(1-'Trading Model'!E69),IF(E59&lt;I58,I58*(1-'Trading Model'!$E$14),I58))</f>
        <v>13.474324999999999</v>
      </c>
      <c r="J59" s="198">
        <f t="shared" si="7"/>
        <v>0</v>
      </c>
      <c r="K59" s="198">
        <f t="shared" si="2"/>
        <v>0</v>
      </c>
      <c r="L59" s="198">
        <f>COUNTIF(J59:K59,"&lt;&gt;0")*-'Trading Model'!$E$15</f>
        <v>0</v>
      </c>
      <c r="M59" s="198">
        <f t="shared" si="0"/>
        <v>0</v>
      </c>
      <c r="N59" s="75">
        <f t="shared" si="3"/>
        <v>9</v>
      </c>
      <c r="O59" s="202">
        <f t="shared" si="4"/>
        <v>0</v>
      </c>
      <c r="P59" s="199">
        <f t="shared" si="1"/>
        <v>0</v>
      </c>
      <c r="Q59" s="203">
        <f t="shared" si="5"/>
        <v>97.700000000000131</v>
      </c>
      <c r="R59" s="203" t="s">
        <v>55</v>
      </c>
      <c r="S59" s="201">
        <f t="shared" si="6"/>
        <v>-1.0316368638239259E-2</v>
      </c>
    </row>
    <row r="60" spans="1:19">
      <c r="A60" s="196">
        <v>40053</v>
      </c>
      <c r="B60" s="122">
        <v>14.55</v>
      </c>
      <c r="C60" s="122">
        <v>14.99</v>
      </c>
      <c r="D60" s="122">
        <v>14.54</v>
      </c>
      <c r="E60" s="122">
        <v>14.82</v>
      </c>
      <c r="F60" s="122">
        <v>9.3450089999999992</v>
      </c>
      <c r="G60" s="197">
        <v>228900</v>
      </c>
      <c r="H60" s="198">
        <f>IF(AND(E59&gt;=H59,E60&gt;=E59),E59*(1+'Trading Model'!$E$13),IF(AND(E60&lt;E59,E59&gt;=H59),E60*(1+'Trading Model'!$E$13),H59))</f>
        <v>15.519</v>
      </c>
      <c r="I60" s="198">
        <f>IF(K60&gt;0,E60*(1-'Trading Model'!E70),IF(E60&lt;I59,I59*(1-'Trading Model'!$E$14),I59))</f>
        <v>13.474324999999999</v>
      </c>
      <c r="J60" s="198">
        <f t="shared" si="7"/>
        <v>0</v>
      </c>
      <c r="K60" s="198">
        <f t="shared" si="2"/>
        <v>0</v>
      </c>
      <c r="L60" s="198">
        <f>COUNTIF(J60:K60,"&lt;&gt;0")*-'Trading Model'!$E$15</f>
        <v>0</v>
      </c>
      <c r="M60" s="198">
        <f t="shared" si="0"/>
        <v>0</v>
      </c>
      <c r="N60" s="75">
        <f t="shared" si="3"/>
        <v>9</v>
      </c>
      <c r="O60" s="202">
        <f t="shared" si="4"/>
        <v>0</v>
      </c>
      <c r="P60" s="199">
        <f t="shared" si="1"/>
        <v>0</v>
      </c>
      <c r="Q60" s="203">
        <f t="shared" si="5"/>
        <v>97.700000000000131</v>
      </c>
      <c r="R60" s="203" t="s">
        <v>55</v>
      </c>
      <c r="S60" s="201">
        <f t="shared" si="6"/>
        <v>2.9881862404447457E-2</v>
      </c>
    </row>
    <row r="61" spans="1:19">
      <c r="A61" s="196">
        <v>40056</v>
      </c>
      <c r="B61" s="122">
        <v>14.99</v>
      </c>
      <c r="C61" s="122">
        <v>14.99</v>
      </c>
      <c r="D61" s="122">
        <v>14.76</v>
      </c>
      <c r="E61" s="122">
        <v>14.83</v>
      </c>
      <c r="F61" s="122">
        <v>9.3513140000000003</v>
      </c>
      <c r="G61" s="197">
        <v>247500</v>
      </c>
      <c r="H61" s="198">
        <f>IF(AND(E60&gt;=H60,E61&gt;=E60),E60*(1+'Trading Model'!$E$13),IF(AND(E61&lt;E60,E60&gt;=H60),E61*(1+'Trading Model'!$E$13),H60))</f>
        <v>15.519</v>
      </c>
      <c r="I61" s="198">
        <f>IF(K61&gt;0,E61*(1-'Trading Model'!E71),IF(E61&lt;I60,I60*(1-'Trading Model'!$E$14),I60))</f>
        <v>13.474324999999999</v>
      </c>
      <c r="J61" s="198">
        <f t="shared" si="7"/>
        <v>0</v>
      </c>
      <c r="K61" s="198">
        <f t="shared" si="2"/>
        <v>0</v>
      </c>
      <c r="L61" s="198">
        <f>COUNTIF(J61:K61,"&lt;&gt;0")*-'Trading Model'!$E$15</f>
        <v>0</v>
      </c>
      <c r="M61" s="198">
        <f t="shared" si="0"/>
        <v>0</v>
      </c>
      <c r="N61" s="75">
        <f t="shared" si="3"/>
        <v>9</v>
      </c>
      <c r="O61" s="202">
        <f t="shared" si="4"/>
        <v>0</v>
      </c>
      <c r="P61" s="199">
        <f t="shared" si="1"/>
        <v>0</v>
      </c>
      <c r="Q61" s="203">
        <f t="shared" si="5"/>
        <v>97.700000000000131</v>
      </c>
      <c r="R61" s="203" t="s">
        <v>55</v>
      </c>
      <c r="S61" s="201">
        <f t="shared" si="6"/>
        <v>6.7476383265852036E-4</v>
      </c>
    </row>
    <row r="62" spans="1:19">
      <c r="A62" s="196">
        <v>40057</v>
      </c>
      <c r="B62" s="122">
        <v>14.81</v>
      </c>
      <c r="C62" s="122">
        <v>14.9</v>
      </c>
      <c r="D62" s="122">
        <v>14.58</v>
      </c>
      <c r="E62" s="122">
        <v>14.68</v>
      </c>
      <c r="F62" s="122">
        <v>9.256729</v>
      </c>
      <c r="G62" s="197">
        <v>173600</v>
      </c>
      <c r="H62" s="198">
        <f>IF(AND(E61&gt;=H61,E62&gt;=E61),E61*(1+'Trading Model'!$E$13),IF(AND(E62&lt;E61,E61&gt;=H61),E62*(1+'Trading Model'!$E$13),H61))</f>
        <v>15.519</v>
      </c>
      <c r="I62" s="198">
        <f>IF(K62&gt;0,E62*(1-'Trading Model'!E72),IF(E62&lt;I61,I61*(1-'Trading Model'!$E$14),I61))</f>
        <v>13.474324999999999</v>
      </c>
      <c r="J62" s="198">
        <f t="shared" si="7"/>
        <v>0</v>
      </c>
      <c r="K62" s="198">
        <f t="shared" si="2"/>
        <v>0</v>
      </c>
      <c r="L62" s="198">
        <f>COUNTIF(J62:K62,"&lt;&gt;0")*-'Trading Model'!$E$15</f>
        <v>0</v>
      </c>
      <c r="M62" s="198">
        <f t="shared" si="0"/>
        <v>0</v>
      </c>
      <c r="N62" s="75">
        <f t="shared" si="3"/>
        <v>9</v>
      </c>
      <c r="O62" s="202">
        <f t="shared" si="4"/>
        <v>0</v>
      </c>
      <c r="P62" s="199">
        <f t="shared" si="1"/>
        <v>0</v>
      </c>
      <c r="Q62" s="203">
        <f t="shared" si="5"/>
        <v>97.600000000000136</v>
      </c>
      <c r="R62" s="201">
        <f>E62/B58-1</f>
        <v>-8.1081081081081363E-3</v>
      </c>
      <c r="S62" s="201">
        <f t="shared" si="6"/>
        <v>-1.0114632501685761E-2</v>
      </c>
    </row>
    <row r="63" spans="1:19">
      <c r="A63" s="196">
        <v>40058</v>
      </c>
      <c r="B63" s="122">
        <v>14.49</v>
      </c>
      <c r="C63" s="122">
        <v>14.69</v>
      </c>
      <c r="D63" s="122">
        <v>14.36</v>
      </c>
      <c r="E63" s="122">
        <v>14.43</v>
      </c>
      <c r="F63" s="122">
        <v>9.0990870000000008</v>
      </c>
      <c r="G63" s="197">
        <v>410900</v>
      </c>
      <c r="H63" s="198">
        <f>IF(AND(E62&gt;=H62,E63&gt;=E62),E62*(1+'Trading Model'!$E$13),IF(AND(E63&lt;E62,E62&gt;=H62),E63*(1+'Trading Model'!$E$13),H62))</f>
        <v>15.519</v>
      </c>
      <c r="I63" s="198">
        <f>IF(K63&gt;0,E63*(1-'Trading Model'!E73),IF(E63&lt;I62,I62*(1-'Trading Model'!$E$14),I62))</f>
        <v>13.474324999999999</v>
      </c>
      <c r="J63" s="198">
        <f t="shared" si="7"/>
        <v>0</v>
      </c>
      <c r="K63" s="198">
        <f t="shared" si="2"/>
        <v>0</v>
      </c>
      <c r="L63" s="198">
        <f>COUNTIF(J63:K63,"&lt;&gt;0")*-'Trading Model'!$E$15</f>
        <v>0</v>
      </c>
      <c r="M63" s="198">
        <f t="shared" si="0"/>
        <v>0</v>
      </c>
      <c r="N63" s="75">
        <f t="shared" si="3"/>
        <v>9</v>
      </c>
      <c r="O63" s="202">
        <f t="shared" si="4"/>
        <v>0</v>
      </c>
      <c r="P63" s="199">
        <f t="shared" si="1"/>
        <v>0</v>
      </c>
      <c r="Q63" s="203">
        <f t="shared" si="5"/>
        <v>97.500000000000142</v>
      </c>
      <c r="R63" s="160" t="s">
        <v>55</v>
      </c>
      <c r="S63" s="201">
        <f t="shared" si="6"/>
        <v>-1.7029972752043543E-2</v>
      </c>
    </row>
    <row r="64" spans="1:19">
      <c r="A64" s="196">
        <v>40059</v>
      </c>
      <c r="B64" s="122">
        <v>14.46</v>
      </c>
      <c r="C64" s="122">
        <v>14.46</v>
      </c>
      <c r="D64" s="122">
        <v>14.26</v>
      </c>
      <c r="E64" s="122">
        <v>14.37</v>
      </c>
      <c r="F64" s="122">
        <v>9.0612519999999996</v>
      </c>
      <c r="G64" s="197">
        <v>128500</v>
      </c>
      <c r="H64" s="198">
        <f>IF(AND(E63&gt;=H63,E64&gt;=E63),E63*(1+'Trading Model'!$E$13),IF(AND(E64&lt;E63,E63&gt;=H63),E64*(1+'Trading Model'!$E$13),H63))</f>
        <v>15.519</v>
      </c>
      <c r="I64" s="198">
        <f>IF(K64&gt;0,E64*(1-'Trading Model'!E74),IF(E64&lt;I63,I63*(1-'Trading Model'!$E$14),I63))</f>
        <v>13.474324999999999</v>
      </c>
      <c r="J64" s="198">
        <f t="shared" si="7"/>
        <v>0</v>
      </c>
      <c r="K64" s="198">
        <f t="shared" si="2"/>
        <v>0</v>
      </c>
      <c r="L64" s="198">
        <f>COUNTIF(J64:K64,"&lt;&gt;0")*-'Trading Model'!$E$15</f>
        <v>0</v>
      </c>
      <c r="M64" s="198">
        <f t="shared" si="0"/>
        <v>0</v>
      </c>
      <c r="N64" s="75">
        <f t="shared" si="3"/>
        <v>9</v>
      </c>
      <c r="O64" s="202">
        <f t="shared" si="4"/>
        <v>0</v>
      </c>
      <c r="P64" s="199">
        <f t="shared" si="1"/>
        <v>0</v>
      </c>
      <c r="Q64" s="203">
        <f t="shared" si="5"/>
        <v>97.400000000000148</v>
      </c>
      <c r="R64" s="203" t="s">
        <v>55</v>
      </c>
      <c r="S64" s="201">
        <f t="shared" si="6"/>
        <v>-4.1580041580041582E-3</v>
      </c>
    </row>
    <row r="65" spans="1:19">
      <c r="A65" s="196">
        <v>40060</v>
      </c>
      <c r="B65" s="122">
        <v>14.46</v>
      </c>
      <c r="C65" s="122">
        <v>14.61</v>
      </c>
      <c r="D65" s="122">
        <v>14.26</v>
      </c>
      <c r="E65" s="122">
        <v>14.45</v>
      </c>
      <c r="F65" s="122">
        <v>9.1116969999999995</v>
      </c>
      <c r="G65" s="197">
        <v>71000</v>
      </c>
      <c r="H65" s="198">
        <f>IF(AND(E64&gt;=H64,E65&gt;=E64),E64*(1+'Trading Model'!$E$13),IF(AND(E65&lt;E64,E64&gt;=H64),E65*(1+'Trading Model'!$E$13),H64))</f>
        <v>15.519</v>
      </c>
      <c r="I65" s="198">
        <f>IF(K65&gt;0,E65*(1-'Trading Model'!E75),IF(E65&lt;I64,I64*(1-'Trading Model'!$E$14),I64))</f>
        <v>13.474324999999999</v>
      </c>
      <c r="J65" s="198">
        <f t="shared" si="7"/>
        <v>0</v>
      </c>
      <c r="K65" s="198">
        <f t="shared" si="2"/>
        <v>0</v>
      </c>
      <c r="L65" s="198">
        <f>COUNTIF(J65:K65,"&lt;&gt;0")*-'Trading Model'!$E$15</f>
        <v>0</v>
      </c>
      <c r="M65" s="198">
        <f t="shared" si="0"/>
        <v>0</v>
      </c>
      <c r="N65" s="75">
        <f t="shared" si="3"/>
        <v>9</v>
      </c>
      <c r="O65" s="202">
        <f t="shared" si="4"/>
        <v>0</v>
      </c>
      <c r="P65" s="199">
        <f t="shared" si="1"/>
        <v>0</v>
      </c>
      <c r="Q65" s="203">
        <f t="shared" si="5"/>
        <v>97.400000000000148</v>
      </c>
      <c r="R65" s="203" t="s">
        <v>55</v>
      </c>
      <c r="S65" s="201">
        <f t="shared" si="6"/>
        <v>5.5671537926236248E-3</v>
      </c>
    </row>
    <row r="66" spans="1:19">
      <c r="A66" s="196">
        <v>40064</v>
      </c>
      <c r="B66" s="122">
        <v>14.49</v>
      </c>
      <c r="C66" s="122">
        <v>14.55</v>
      </c>
      <c r="D66" s="122">
        <v>14.17</v>
      </c>
      <c r="E66" s="122">
        <v>14.41</v>
      </c>
      <c r="F66" s="122">
        <v>9.0864759999999993</v>
      </c>
      <c r="G66" s="197">
        <v>162300</v>
      </c>
      <c r="H66" s="198">
        <f>IF(AND(E65&gt;=H65,E66&gt;=E65),E65*(1+'Trading Model'!$E$13),IF(AND(E66&lt;E65,E65&gt;=H65),E66*(1+'Trading Model'!$E$13),H65))</f>
        <v>15.519</v>
      </c>
      <c r="I66" s="198">
        <f>IF(K66&gt;0,E66*(1-'Trading Model'!E76),IF(E66&lt;I65,I65*(1-'Trading Model'!$E$14),I65))</f>
        <v>13.474324999999999</v>
      </c>
      <c r="J66" s="198">
        <f t="shared" si="7"/>
        <v>0</v>
      </c>
      <c r="K66" s="198">
        <f t="shared" si="2"/>
        <v>0</v>
      </c>
      <c r="L66" s="198">
        <f>COUNTIF(J66:K66,"&lt;&gt;0")*-'Trading Model'!$E$15</f>
        <v>0</v>
      </c>
      <c r="M66" s="198">
        <f t="shared" si="0"/>
        <v>0</v>
      </c>
      <c r="N66" s="75">
        <f t="shared" si="3"/>
        <v>9</v>
      </c>
      <c r="O66" s="202">
        <f t="shared" si="4"/>
        <v>0</v>
      </c>
      <c r="P66" s="199">
        <f t="shared" si="1"/>
        <v>0</v>
      </c>
      <c r="Q66" s="203">
        <f t="shared" si="5"/>
        <v>97.300000000000153</v>
      </c>
      <c r="R66" s="203" t="s">
        <v>55</v>
      </c>
      <c r="S66" s="201">
        <f t="shared" si="6"/>
        <v>-2.7681660899653293E-3</v>
      </c>
    </row>
    <row r="67" spans="1:19">
      <c r="A67" s="196">
        <v>40065</v>
      </c>
      <c r="B67" s="122">
        <v>14.41</v>
      </c>
      <c r="C67" s="122">
        <v>14.87</v>
      </c>
      <c r="D67" s="122">
        <v>14.16</v>
      </c>
      <c r="E67" s="122">
        <v>14.81</v>
      </c>
      <c r="F67" s="122">
        <v>9.3387030000000006</v>
      </c>
      <c r="G67" s="197">
        <v>108400</v>
      </c>
      <c r="H67" s="198">
        <f>IF(AND(E66&gt;=H66,E67&gt;=E66),E66*(1+'Trading Model'!$E$13),IF(AND(E67&lt;E66,E66&gt;=H66),E67*(1+'Trading Model'!$E$13),H66))</f>
        <v>15.519</v>
      </c>
      <c r="I67" s="198">
        <f>IF(K67&gt;0,E67*(1-'Trading Model'!E77),IF(E67&lt;I66,I66*(1-'Trading Model'!$E$14),I66))</f>
        <v>13.474324999999999</v>
      </c>
      <c r="J67" s="198">
        <f t="shared" si="7"/>
        <v>0</v>
      </c>
      <c r="K67" s="198">
        <f t="shared" si="2"/>
        <v>0</v>
      </c>
      <c r="L67" s="198">
        <f>COUNTIF(J67:K67,"&lt;&gt;0")*-'Trading Model'!$E$15</f>
        <v>0</v>
      </c>
      <c r="M67" s="198">
        <f t="shared" ref="M67:M130" si="8">SUM(J67:L67)</f>
        <v>0</v>
      </c>
      <c r="N67" s="75">
        <f t="shared" si="3"/>
        <v>9</v>
      </c>
      <c r="O67" s="202">
        <f t="shared" si="4"/>
        <v>0</v>
      </c>
      <c r="P67" s="199">
        <f t="shared" ref="P67:P130" si="9">IFERROR(VLOOKUP(A67,Dividends,2,FALSE),$U$1)</f>
        <v>0</v>
      </c>
      <c r="Q67" s="203">
        <f t="shared" si="5"/>
        <v>97.300000000000153</v>
      </c>
      <c r="R67" s="201">
        <f>E67/B63-1</f>
        <v>2.2084195997239542E-2</v>
      </c>
      <c r="S67" s="201">
        <f t="shared" si="6"/>
        <v>2.7758501040943795E-2</v>
      </c>
    </row>
    <row r="68" spans="1:19">
      <c r="A68" s="196">
        <v>40066</v>
      </c>
      <c r="B68" s="122">
        <v>14.81</v>
      </c>
      <c r="C68" s="122">
        <v>15</v>
      </c>
      <c r="D68" s="122">
        <v>14.23</v>
      </c>
      <c r="E68" s="122">
        <v>14.24</v>
      </c>
      <c r="F68" s="122">
        <v>8.9792799999999993</v>
      </c>
      <c r="G68" s="197">
        <v>237400</v>
      </c>
      <c r="H68" s="198">
        <f>IF(AND(E67&gt;=H67,E68&gt;=E67),E67*(1+'Trading Model'!$E$13),IF(AND(E68&lt;E67,E67&gt;=H67),E68*(1+'Trading Model'!$E$13),H67))</f>
        <v>15.519</v>
      </c>
      <c r="I68" s="198">
        <f>IF(K68&gt;0,E68*(1-'Trading Model'!E78),IF(E68&lt;I67,I67*(1-'Trading Model'!$E$14),I67))</f>
        <v>13.474324999999999</v>
      </c>
      <c r="J68" s="198">
        <f t="shared" si="7"/>
        <v>0</v>
      </c>
      <c r="K68" s="198">
        <f t="shared" ref="K68:K131" si="10">IF(E68&gt;=H68,E68,0)</f>
        <v>0</v>
      </c>
      <c r="L68" s="198">
        <f>COUNTIF(J68:K68,"&lt;&gt;0")*-'Trading Model'!$E$15</f>
        <v>0</v>
      </c>
      <c r="M68" s="198">
        <f t="shared" si="8"/>
        <v>0</v>
      </c>
      <c r="N68" s="75">
        <f t="shared" ref="N68:N131" si="11">IF(AND(J68&lt;0,K68&gt;0),N67,(IF(J68&lt;0,N67+1,IF(K68&gt;0,N67+1,N67))))</f>
        <v>9</v>
      </c>
      <c r="O68" s="202">
        <f t="shared" ref="O68:O131" si="12">P68</f>
        <v>0</v>
      </c>
      <c r="P68" s="199">
        <f t="shared" si="9"/>
        <v>0</v>
      </c>
      <c r="Q68" s="203">
        <f t="shared" ref="Q68:Q131" si="13">IF(E68&lt;E67,Q67-0.1,Q67)</f>
        <v>97.200000000000159</v>
      </c>
      <c r="R68" s="160" t="s">
        <v>55</v>
      </c>
      <c r="S68" s="201">
        <f t="shared" ref="S68:S131" si="14">E68/E67-1</f>
        <v>-3.8487508440243068E-2</v>
      </c>
    </row>
    <row r="69" spans="1:19">
      <c r="A69" s="196">
        <v>40067</v>
      </c>
      <c r="B69" s="122">
        <v>14.31</v>
      </c>
      <c r="C69" s="122">
        <v>14.44</v>
      </c>
      <c r="D69" s="122">
        <v>13.98</v>
      </c>
      <c r="E69" s="122">
        <v>14.38</v>
      </c>
      <c r="F69" s="122">
        <v>9.0675589999999993</v>
      </c>
      <c r="G69" s="197">
        <v>108800</v>
      </c>
      <c r="H69" s="198">
        <f>IF(AND(E68&gt;=H68,E69&gt;=E68),E68*(1+'Trading Model'!$E$13),IF(AND(E69&lt;E68,E68&gt;=H68),E69*(1+'Trading Model'!$E$13),H68))</f>
        <v>15.519</v>
      </c>
      <c r="I69" s="198">
        <f>IF(K69&gt;0,E69*(1-'Trading Model'!E79),IF(E69&lt;I68,I68*(1-'Trading Model'!$E$14),I68))</f>
        <v>13.474324999999999</v>
      </c>
      <c r="J69" s="198">
        <f t="shared" ref="J69:J132" si="15">IF(E69&gt;=H69,-E69,IF(E69&lt;=I68,-E69,0))</f>
        <v>0</v>
      </c>
      <c r="K69" s="198">
        <f t="shared" si="10"/>
        <v>0</v>
      </c>
      <c r="L69" s="198">
        <f>COUNTIF(J69:K69,"&lt;&gt;0")*-'Trading Model'!$E$15</f>
        <v>0</v>
      </c>
      <c r="M69" s="198">
        <f t="shared" si="8"/>
        <v>0</v>
      </c>
      <c r="N69" s="75">
        <f t="shared" si="11"/>
        <v>9</v>
      </c>
      <c r="O69" s="202">
        <f t="shared" si="12"/>
        <v>0</v>
      </c>
      <c r="P69" s="199">
        <f t="shared" si="9"/>
        <v>0</v>
      </c>
      <c r="Q69" s="203">
        <f t="shared" si="13"/>
        <v>97.200000000000159</v>
      </c>
      <c r="R69" s="203" t="s">
        <v>55</v>
      </c>
      <c r="S69" s="201">
        <f t="shared" si="14"/>
        <v>9.8314606741574107E-3</v>
      </c>
    </row>
    <row r="70" spans="1:19">
      <c r="A70" s="196">
        <v>40070</v>
      </c>
      <c r="B70" s="122">
        <v>14.37</v>
      </c>
      <c r="C70" s="122">
        <v>14.37</v>
      </c>
      <c r="D70" s="122">
        <v>13.99</v>
      </c>
      <c r="E70" s="122">
        <v>14.16</v>
      </c>
      <c r="F70" s="122">
        <v>8.9288349999999994</v>
      </c>
      <c r="G70" s="197">
        <v>239700</v>
      </c>
      <c r="H70" s="198">
        <f>IF(AND(E69&gt;=H69,E70&gt;=E69),E69*(1+'Trading Model'!$E$13),IF(AND(E70&lt;E69,E69&gt;=H69),E70*(1+'Trading Model'!$E$13),H69))</f>
        <v>15.519</v>
      </c>
      <c r="I70" s="198">
        <f>IF(K70&gt;0,E70*(1-'Trading Model'!E80),IF(E70&lt;I69,I69*(1-'Trading Model'!$E$14),I69))</f>
        <v>13.474324999999999</v>
      </c>
      <c r="J70" s="198">
        <f t="shared" si="15"/>
        <v>0</v>
      </c>
      <c r="K70" s="198">
        <f t="shared" si="10"/>
        <v>0</v>
      </c>
      <c r="L70" s="198">
        <f>COUNTIF(J70:K70,"&lt;&gt;0")*-'Trading Model'!$E$15</f>
        <v>0</v>
      </c>
      <c r="M70" s="198">
        <f t="shared" si="8"/>
        <v>0</v>
      </c>
      <c r="N70" s="75">
        <f t="shared" si="11"/>
        <v>9</v>
      </c>
      <c r="O70" s="202">
        <f t="shared" si="12"/>
        <v>0</v>
      </c>
      <c r="P70" s="199">
        <f t="shared" si="9"/>
        <v>0</v>
      </c>
      <c r="Q70" s="203">
        <f t="shared" si="13"/>
        <v>97.100000000000165</v>
      </c>
      <c r="R70" s="203" t="s">
        <v>55</v>
      </c>
      <c r="S70" s="201">
        <f t="shared" si="14"/>
        <v>-1.5299026425591111E-2</v>
      </c>
    </row>
    <row r="71" spans="1:19">
      <c r="A71" s="196">
        <v>40071</v>
      </c>
      <c r="B71" s="122">
        <v>14.24</v>
      </c>
      <c r="C71" s="122">
        <v>14.26</v>
      </c>
      <c r="D71" s="122">
        <v>14</v>
      </c>
      <c r="E71" s="122">
        <v>14.19</v>
      </c>
      <c r="F71" s="122">
        <v>8.9477519999999995</v>
      </c>
      <c r="G71" s="197">
        <v>251100</v>
      </c>
      <c r="H71" s="198">
        <f>IF(AND(E70&gt;=H70,E71&gt;=E70),E70*(1+'Trading Model'!$E$13),IF(AND(E71&lt;E70,E70&gt;=H70),E71*(1+'Trading Model'!$E$13),H70))</f>
        <v>15.519</v>
      </c>
      <c r="I71" s="198">
        <f>IF(K71&gt;0,E71*(1-'Trading Model'!E81),IF(E71&lt;I70,I70*(1-'Trading Model'!$E$14),I70))</f>
        <v>13.474324999999999</v>
      </c>
      <c r="J71" s="198">
        <f t="shared" si="15"/>
        <v>0</v>
      </c>
      <c r="K71" s="198">
        <f t="shared" si="10"/>
        <v>0</v>
      </c>
      <c r="L71" s="198">
        <f>COUNTIF(J71:K71,"&lt;&gt;0")*-'Trading Model'!$E$15</f>
        <v>0</v>
      </c>
      <c r="M71" s="198">
        <f t="shared" si="8"/>
        <v>0</v>
      </c>
      <c r="N71" s="75">
        <f t="shared" si="11"/>
        <v>9</v>
      </c>
      <c r="O71" s="202">
        <f t="shared" si="12"/>
        <v>0</v>
      </c>
      <c r="P71" s="199">
        <f t="shared" si="9"/>
        <v>0</v>
      </c>
      <c r="Q71" s="203">
        <f t="shared" si="13"/>
        <v>97.100000000000165</v>
      </c>
      <c r="R71" s="203" t="s">
        <v>55</v>
      </c>
      <c r="S71" s="201">
        <f t="shared" si="14"/>
        <v>2.1186440677964935E-3</v>
      </c>
    </row>
    <row r="72" spans="1:19">
      <c r="A72" s="196">
        <v>40072</v>
      </c>
      <c r="B72" s="122">
        <v>14.3</v>
      </c>
      <c r="C72" s="122">
        <v>14.51</v>
      </c>
      <c r="D72" s="122">
        <v>14.25</v>
      </c>
      <c r="E72" s="122">
        <v>14.51</v>
      </c>
      <c r="F72" s="122">
        <v>9.1495329999999999</v>
      </c>
      <c r="G72" s="197">
        <v>79200</v>
      </c>
      <c r="H72" s="198">
        <f>IF(AND(E71&gt;=H71,E72&gt;=E71),E71*(1+'Trading Model'!$E$13),IF(AND(E72&lt;E71,E71&gt;=H71),E72*(1+'Trading Model'!$E$13),H71))</f>
        <v>15.519</v>
      </c>
      <c r="I72" s="198">
        <f>IF(K72&gt;0,E72*(1-'Trading Model'!E82),IF(E72&lt;I71,I71*(1-'Trading Model'!$E$14),I71))</f>
        <v>13.474324999999999</v>
      </c>
      <c r="J72" s="198">
        <f t="shared" si="15"/>
        <v>0</v>
      </c>
      <c r="K72" s="198">
        <f t="shared" si="10"/>
        <v>0</v>
      </c>
      <c r="L72" s="198">
        <f>COUNTIF(J72:K72,"&lt;&gt;0")*-'Trading Model'!$E$15</f>
        <v>0</v>
      </c>
      <c r="M72" s="198">
        <f t="shared" si="8"/>
        <v>0</v>
      </c>
      <c r="N72" s="75">
        <f t="shared" si="11"/>
        <v>9</v>
      </c>
      <c r="O72" s="202">
        <f t="shared" si="12"/>
        <v>0</v>
      </c>
      <c r="P72" s="199">
        <f t="shared" si="9"/>
        <v>0</v>
      </c>
      <c r="Q72" s="203">
        <f t="shared" si="13"/>
        <v>97.100000000000165</v>
      </c>
      <c r="R72" s="201">
        <f>E72/B68-1</f>
        <v>-2.0256583389601679E-2</v>
      </c>
      <c r="S72" s="201">
        <f t="shared" si="14"/>
        <v>2.2551092318534138E-2</v>
      </c>
    </row>
    <row r="73" spans="1:19">
      <c r="A73" s="196">
        <v>40073</v>
      </c>
      <c r="B73" s="122">
        <v>14.54</v>
      </c>
      <c r="C73" s="122">
        <v>14.61</v>
      </c>
      <c r="D73" s="122">
        <v>14.16</v>
      </c>
      <c r="E73" s="122">
        <v>14.37</v>
      </c>
      <c r="F73" s="122">
        <v>9.0612519999999996</v>
      </c>
      <c r="G73" s="197">
        <v>111200</v>
      </c>
      <c r="H73" s="198">
        <f>IF(AND(E72&gt;=H72,E73&gt;=E72),E72*(1+'Trading Model'!$E$13),IF(AND(E73&lt;E72,E72&gt;=H72),E73*(1+'Trading Model'!$E$13),H72))</f>
        <v>15.519</v>
      </c>
      <c r="I73" s="198">
        <f>IF(K73&gt;0,E73*(1-'Trading Model'!E83),IF(E73&lt;I72,I72*(1-'Trading Model'!$E$14),I72))</f>
        <v>13.474324999999999</v>
      </c>
      <c r="J73" s="198">
        <f t="shared" si="15"/>
        <v>0</v>
      </c>
      <c r="K73" s="198">
        <f t="shared" si="10"/>
        <v>0</v>
      </c>
      <c r="L73" s="198">
        <f>COUNTIF(J73:K73,"&lt;&gt;0")*-'Trading Model'!$E$15</f>
        <v>0</v>
      </c>
      <c r="M73" s="198">
        <f t="shared" si="8"/>
        <v>0</v>
      </c>
      <c r="N73" s="75">
        <f t="shared" si="11"/>
        <v>9</v>
      </c>
      <c r="O73" s="202">
        <f t="shared" si="12"/>
        <v>0</v>
      </c>
      <c r="P73" s="199">
        <f t="shared" si="9"/>
        <v>0</v>
      </c>
      <c r="Q73" s="203">
        <f t="shared" si="13"/>
        <v>97.000000000000171</v>
      </c>
      <c r="R73" s="160" t="s">
        <v>55</v>
      </c>
      <c r="S73" s="201">
        <f t="shared" si="14"/>
        <v>-9.6485182632667366E-3</v>
      </c>
    </row>
    <row r="74" spans="1:19">
      <c r="A74" s="196">
        <v>40074</v>
      </c>
      <c r="B74" s="122">
        <v>14.47</v>
      </c>
      <c r="C74" s="122">
        <v>14.54</v>
      </c>
      <c r="D74" s="122">
        <v>14.21</v>
      </c>
      <c r="E74" s="122">
        <v>14.32</v>
      </c>
      <c r="F74" s="122">
        <v>9.0297249999999991</v>
      </c>
      <c r="G74" s="197">
        <v>451200</v>
      </c>
      <c r="H74" s="198">
        <f>IF(AND(E73&gt;=H73,E74&gt;=E73),E73*(1+'Trading Model'!$E$13),IF(AND(E74&lt;E73,E73&gt;=H73),E74*(1+'Trading Model'!$E$13),H73))</f>
        <v>15.519</v>
      </c>
      <c r="I74" s="198">
        <f>IF(K74&gt;0,E74*(1-'Trading Model'!E84),IF(E74&lt;I73,I73*(1-'Trading Model'!$E$14),I73))</f>
        <v>13.474324999999999</v>
      </c>
      <c r="J74" s="198">
        <f t="shared" si="15"/>
        <v>0</v>
      </c>
      <c r="K74" s="198">
        <f t="shared" si="10"/>
        <v>0</v>
      </c>
      <c r="L74" s="198">
        <f>COUNTIF(J74:K74,"&lt;&gt;0")*-'Trading Model'!$E$15</f>
        <v>0</v>
      </c>
      <c r="M74" s="198">
        <f t="shared" si="8"/>
        <v>0</v>
      </c>
      <c r="N74" s="75">
        <f t="shared" si="11"/>
        <v>9</v>
      </c>
      <c r="O74" s="202">
        <f t="shared" si="12"/>
        <v>0</v>
      </c>
      <c r="P74" s="199">
        <f t="shared" si="9"/>
        <v>0</v>
      </c>
      <c r="Q74" s="203">
        <f t="shared" si="13"/>
        <v>96.900000000000176</v>
      </c>
      <c r="R74" s="203" t="s">
        <v>55</v>
      </c>
      <c r="S74" s="201">
        <f t="shared" si="14"/>
        <v>-3.4794711203895989E-3</v>
      </c>
    </row>
    <row r="75" spans="1:19">
      <c r="A75" s="196">
        <v>40077</v>
      </c>
      <c r="B75" s="122">
        <v>14.32</v>
      </c>
      <c r="C75" s="122">
        <v>14.34</v>
      </c>
      <c r="D75" s="122">
        <v>14</v>
      </c>
      <c r="E75" s="122">
        <v>14.29</v>
      </c>
      <c r="F75" s="122">
        <v>9.0108080000000008</v>
      </c>
      <c r="G75" s="197">
        <v>148800</v>
      </c>
      <c r="H75" s="198">
        <f>IF(AND(E74&gt;=H74,E75&gt;=E74),E74*(1+'Trading Model'!$E$13),IF(AND(E75&lt;E74,E74&gt;=H74),E75*(1+'Trading Model'!$E$13),H74))</f>
        <v>15.519</v>
      </c>
      <c r="I75" s="198">
        <f>IF(K75&gt;0,E75*(1-'Trading Model'!E85),IF(E75&lt;I74,I74*(1-'Trading Model'!$E$14),I74))</f>
        <v>13.474324999999999</v>
      </c>
      <c r="J75" s="198">
        <f t="shared" si="15"/>
        <v>0</v>
      </c>
      <c r="K75" s="198">
        <f t="shared" si="10"/>
        <v>0</v>
      </c>
      <c r="L75" s="198">
        <f>COUNTIF(J75:K75,"&lt;&gt;0")*-'Trading Model'!$E$15</f>
        <v>0</v>
      </c>
      <c r="M75" s="198">
        <f t="shared" si="8"/>
        <v>0</v>
      </c>
      <c r="N75" s="75">
        <f t="shared" si="11"/>
        <v>9</v>
      </c>
      <c r="O75" s="202">
        <f t="shared" si="12"/>
        <v>0</v>
      </c>
      <c r="P75" s="199">
        <f t="shared" si="9"/>
        <v>0</v>
      </c>
      <c r="Q75" s="203">
        <f t="shared" si="13"/>
        <v>96.800000000000182</v>
      </c>
      <c r="R75" s="203" t="s">
        <v>55</v>
      </c>
      <c r="S75" s="201">
        <f t="shared" si="14"/>
        <v>-2.0949720670392358E-3</v>
      </c>
    </row>
    <row r="76" spans="1:19">
      <c r="A76" s="196">
        <v>40078</v>
      </c>
      <c r="B76" s="122">
        <v>14.28</v>
      </c>
      <c r="C76" s="122">
        <v>14.78</v>
      </c>
      <c r="D76" s="122">
        <v>14.21</v>
      </c>
      <c r="E76" s="122">
        <v>14.73</v>
      </c>
      <c r="F76" s="122">
        <v>9.2882569999999998</v>
      </c>
      <c r="G76" s="197">
        <v>151000</v>
      </c>
      <c r="H76" s="198">
        <f>IF(AND(E75&gt;=H75,E76&gt;=E75),E75*(1+'Trading Model'!$E$13),IF(AND(E76&lt;E75,E75&gt;=H75),E76*(1+'Trading Model'!$E$13),H75))</f>
        <v>15.519</v>
      </c>
      <c r="I76" s="198">
        <f>IF(K76&gt;0,E76*(1-'Trading Model'!E86),IF(E76&lt;I75,I75*(1-'Trading Model'!$E$14),I75))</f>
        <v>13.474324999999999</v>
      </c>
      <c r="J76" s="198">
        <f t="shared" si="15"/>
        <v>0</v>
      </c>
      <c r="K76" s="198">
        <f t="shared" si="10"/>
        <v>0</v>
      </c>
      <c r="L76" s="198">
        <f>COUNTIF(J76:K76,"&lt;&gt;0")*-'Trading Model'!$E$15</f>
        <v>0</v>
      </c>
      <c r="M76" s="198">
        <f t="shared" si="8"/>
        <v>0</v>
      </c>
      <c r="N76" s="75">
        <f t="shared" si="11"/>
        <v>9</v>
      </c>
      <c r="O76" s="202">
        <f t="shared" si="12"/>
        <v>0</v>
      </c>
      <c r="P76" s="199">
        <f t="shared" si="9"/>
        <v>0</v>
      </c>
      <c r="Q76" s="203">
        <f t="shared" si="13"/>
        <v>96.800000000000182</v>
      </c>
      <c r="R76" s="203" t="s">
        <v>55</v>
      </c>
      <c r="S76" s="201">
        <f t="shared" si="14"/>
        <v>3.0790762771168767E-2</v>
      </c>
    </row>
    <row r="77" spans="1:19">
      <c r="A77" s="196">
        <v>40079</v>
      </c>
      <c r="B77" s="122">
        <v>15.19</v>
      </c>
      <c r="C77" s="122">
        <v>15.41</v>
      </c>
      <c r="D77" s="122">
        <v>14.12</v>
      </c>
      <c r="E77" s="122">
        <v>14.61</v>
      </c>
      <c r="F77" s="122">
        <v>9.2125889999999995</v>
      </c>
      <c r="G77" s="197">
        <v>41500</v>
      </c>
      <c r="H77" s="198">
        <f>IF(AND(E76&gt;=H76,E77&gt;=E76),E76*(1+'Trading Model'!$E$13),IF(AND(E77&lt;E76,E76&gt;=H76),E77*(1+'Trading Model'!$E$13),H76))</f>
        <v>15.519</v>
      </c>
      <c r="I77" s="198">
        <f>IF(K77&gt;0,E77*(1-'Trading Model'!E87),IF(E77&lt;I76,I76*(1-'Trading Model'!$E$14),I76))</f>
        <v>13.474324999999999</v>
      </c>
      <c r="J77" s="198">
        <f t="shared" si="15"/>
        <v>0</v>
      </c>
      <c r="K77" s="198">
        <f t="shared" si="10"/>
        <v>0</v>
      </c>
      <c r="L77" s="198">
        <f>COUNTIF(J77:K77,"&lt;&gt;0")*-'Trading Model'!$E$15</f>
        <v>0</v>
      </c>
      <c r="M77" s="198">
        <f t="shared" si="8"/>
        <v>0</v>
      </c>
      <c r="N77" s="75">
        <f t="shared" si="11"/>
        <v>9</v>
      </c>
      <c r="O77" s="202">
        <f t="shared" si="12"/>
        <v>0</v>
      </c>
      <c r="P77" s="199">
        <f t="shared" si="9"/>
        <v>0</v>
      </c>
      <c r="Q77" s="203">
        <f t="shared" si="13"/>
        <v>96.700000000000188</v>
      </c>
      <c r="R77" s="201">
        <f>E77/B73-1</f>
        <v>4.8143053645117728E-3</v>
      </c>
      <c r="S77" s="201">
        <f t="shared" si="14"/>
        <v>-8.1466395112016476E-3</v>
      </c>
    </row>
    <row r="78" spans="1:19">
      <c r="A78" s="196">
        <v>40080</v>
      </c>
      <c r="B78" s="122">
        <v>14.61</v>
      </c>
      <c r="C78" s="122">
        <v>14.68</v>
      </c>
      <c r="D78" s="122">
        <v>14.23</v>
      </c>
      <c r="E78" s="122">
        <v>14.47</v>
      </c>
      <c r="F78" s="122">
        <v>9.1243110000000005</v>
      </c>
      <c r="G78" s="197">
        <v>92700</v>
      </c>
      <c r="H78" s="198">
        <f>IF(AND(E77&gt;=H77,E78&gt;=E77),E77*(1+'Trading Model'!$E$13),IF(AND(E78&lt;E77,E77&gt;=H77),E78*(1+'Trading Model'!$E$13),H77))</f>
        <v>15.519</v>
      </c>
      <c r="I78" s="198">
        <f>IF(K78&gt;0,E78*(1-'Trading Model'!E88),IF(E78&lt;I77,I77*(1-'Trading Model'!$E$14),I77))</f>
        <v>13.474324999999999</v>
      </c>
      <c r="J78" s="198">
        <f t="shared" si="15"/>
        <v>0</v>
      </c>
      <c r="K78" s="198">
        <f t="shared" si="10"/>
        <v>0</v>
      </c>
      <c r="L78" s="198">
        <f>COUNTIF(J78:K78,"&lt;&gt;0")*-'Trading Model'!$E$15</f>
        <v>0</v>
      </c>
      <c r="M78" s="198">
        <f t="shared" si="8"/>
        <v>0</v>
      </c>
      <c r="N78" s="75">
        <f t="shared" si="11"/>
        <v>9</v>
      </c>
      <c r="O78" s="202">
        <f t="shared" si="12"/>
        <v>0</v>
      </c>
      <c r="P78" s="199">
        <f t="shared" si="9"/>
        <v>0</v>
      </c>
      <c r="Q78" s="203">
        <f t="shared" si="13"/>
        <v>96.600000000000193</v>
      </c>
      <c r="R78" s="160" t="s">
        <v>55</v>
      </c>
      <c r="S78" s="201">
        <f t="shared" si="14"/>
        <v>-9.5824777549622375E-3</v>
      </c>
    </row>
    <row r="79" spans="1:19">
      <c r="A79" s="196">
        <v>40081</v>
      </c>
      <c r="B79" s="122">
        <v>14.37</v>
      </c>
      <c r="C79" s="122">
        <v>14.48</v>
      </c>
      <c r="D79" s="122">
        <v>14.2</v>
      </c>
      <c r="E79" s="122">
        <v>14.42</v>
      </c>
      <c r="F79" s="122">
        <v>9.0927810000000004</v>
      </c>
      <c r="G79" s="197">
        <v>67000</v>
      </c>
      <c r="H79" s="198">
        <f>IF(AND(E78&gt;=H78,E79&gt;=E78),E78*(1+'Trading Model'!$E$13),IF(AND(E79&lt;E78,E78&gt;=H78),E79*(1+'Trading Model'!$E$13),H78))</f>
        <v>15.519</v>
      </c>
      <c r="I79" s="198">
        <f>IF(K79&gt;0,E79*(1-'Trading Model'!E89),IF(E79&lt;I78,I78*(1-'Trading Model'!$E$14),I78))</f>
        <v>13.474324999999999</v>
      </c>
      <c r="J79" s="198">
        <f t="shared" si="15"/>
        <v>0</v>
      </c>
      <c r="K79" s="198">
        <f t="shared" si="10"/>
        <v>0</v>
      </c>
      <c r="L79" s="198">
        <f>COUNTIF(J79:K79,"&lt;&gt;0")*-'Trading Model'!$E$15</f>
        <v>0</v>
      </c>
      <c r="M79" s="198">
        <f t="shared" si="8"/>
        <v>0</v>
      </c>
      <c r="N79" s="75">
        <f t="shared" si="11"/>
        <v>9</v>
      </c>
      <c r="O79" s="202">
        <f t="shared" si="12"/>
        <v>0</v>
      </c>
      <c r="P79" s="199">
        <f t="shared" si="9"/>
        <v>0</v>
      </c>
      <c r="Q79" s="203">
        <f t="shared" si="13"/>
        <v>96.500000000000199</v>
      </c>
      <c r="R79" s="203" t="s">
        <v>55</v>
      </c>
      <c r="S79" s="201">
        <f t="shared" si="14"/>
        <v>-3.4554250172771361E-3</v>
      </c>
    </row>
    <row r="80" spans="1:19">
      <c r="A80" s="196">
        <v>40084</v>
      </c>
      <c r="B80" s="122">
        <v>14.4</v>
      </c>
      <c r="C80" s="122">
        <v>14.67</v>
      </c>
      <c r="D80" s="122">
        <v>14.23</v>
      </c>
      <c r="E80" s="122">
        <v>14.65</v>
      </c>
      <c r="F80" s="122">
        <v>9.2378129999999992</v>
      </c>
      <c r="G80" s="197">
        <v>57700</v>
      </c>
      <c r="H80" s="198">
        <f>IF(AND(E79&gt;=H79,E80&gt;=E79),E79*(1+'Trading Model'!$E$13),IF(AND(E80&lt;E79,E79&gt;=H79),E80*(1+'Trading Model'!$E$13),H79))</f>
        <v>15.519</v>
      </c>
      <c r="I80" s="198">
        <f>IF(K80&gt;0,E80*(1-'Trading Model'!E90),IF(E80&lt;I79,I79*(1-'Trading Model'!$E$14),I79))</f>
        <v>13.474324999999999</v>
      </c>
      <c r="J80" s="198">
        <f t="shared" si="15"/>
        <v>0</v>
      </c>
      <c r="K80" s="198">
        <f t="shared" si="10"/>
        <v>0</v>
      </c>
      <c r="L80" s="198">
        <f>COUNTIF(J80:K80,"&lt;&gt;0")*-'Trading Model'!$E$15</f>
        <v>0</v>
      </c>
      <c r="M80" s="198">
        <f t="shared" si="8"/>
        <v>0</v>
      </c>
      <c r="N80" s="75">
        <f t="shared" si="11"/>
        <v>9</v>
      </c>
      <c r="O80" s="202">
        <f t="shared" si="12"/>
        <v>0</v>
      </c>
      <c r="P80" s="199">
        <f t="shared" si="9"/>
        <v>0</v>
      </c>
      <c r="Q80" s="203">
        <f t="shared" si="13"/>
        <v>96.500000000000199</v>
      </c>
      <c r="R80" s="203" t="s">
        <v>55</v>
      </c>
      <c r="S80" s="201">
        <f t="shared" si="14"/>
        <v>1.5950069348127593E-2</v>
      </c>
    </row>
    <row r="81" spans="1:19">
      <c r="A81" s="196">
        <v>40085</v>
      </c>
      <c r="B81" s="122">
        <v>14.65</v>
      </c>
      <c r="C81" s="122">
        <v>15.11</v>
      </c>
      <c r="D81" s="122">
        <v>14.65</v>
      </c>
      <c r="E81" s="122">
        <v>15.04</v>
      </c>
      <c r="F81" s="122">
        <v>9.4837330000000009</v>
      </c>
      <c r="G81" s="197">
        <v>148700</v>
      </c>
      <c r="H81" s="198">
        <f>IF(AND(E80&gt;=H80,E81&gt;=E80),E80*(1+'Trading Model'!$E$13),IF(AND(E81&lt;E80,E80&gt;=H80),E81*(1+'Trading Model'!$E$13),H80))</f>
        <v>15.519</v>
      </c>
      <c r="I81" s="198">
        <f>IF(K81&gt;0,E81*(1-'Trading Model'!E91),IF(E81&lt;I80,I80*(1-'Trading Model'!$E$14),I80))</f>
        <v>13.474324999999999</v>
      </c>
      <c r="J81" s="198">
        <f t="shared" si="15"/>
        <v>0</v>
      </c>
      <c r="K81" s="198">
        <f t="shared" si="10"/>
        <v>0</v>
      </c>
      <c r="L81" s="198">
        <f>COUNTIF(J81:K81,"&lt;&gt;0")*-'Trading Model'!$E$15</f>
        <v>0</v>
      </c>
      <c r="M81" s="198">
        <f t="shared" si="8"/>
        <v>0</v>
      </c>
      <c r="N81" s="75">
        <f t="shared" si="11"/>
        <v>9</v>
      </c>
      <c r="O81" s="202">
        <f t="shared" si="12"/>
        <v>0</v>
      </c>
      <c r="P81" s="199">
        <f t="shared" si="9"/>
        <v>0</v>
      </c>
      <c r="Q81" s="203">
        <f t="shared" si="13"/>
        <v>96.500000000000199</v>
      </c>
      <c r="R81" s="203" t="s">
        <v>55</v>
      </c>
      <c r="S81" s="201">
        <f t="shared" si="14"/>
        <v>2.662116040955631E-2</v>
      </c>
    </row>
    <row r="82" spans="1:19">
      <c r="A82" s="196">
        <v>40086</v>
      </c>
      <c r="B82" s="122">
        <v>15.14</v>
      </c>
      <c r="C82" s="122">
        <v>16.440000999999999</v>
      </c>
      <c r="D82" s="122">
        <v>15.07</v>
      </c>
      <c r="E82" s="122">
        <v>15.99</v>
      </c>
      <c r="F82" s="122">
        <v>10.08277</v>
      </c>
      <c r="G82" s="197">
        <v>343500</v>
      </c>
      <c r="H82" s="198">
        <f>IF(AND(E81&gt;=H81,E82&gt;=E81),E81*(1+'Trading Model'!$E$13),IF(AND(E82&lt;E81,E81&gt;=H81),E82*(1+'Trading Model'!$E$13),H81))</f>
        <v>15.519</v>
      </c>
      <c r="I82" s="198">
        <f>IF(K82&gt;0,E82*(1-'Trading Model'!E92),IF(E82&lt;I81,I81*(1-'Trading Model'!$E$14),I81))</f>
        <v>15.99</v>
      </c>
      <c r="J82" s="198">
        <f t="shared" si="15"/>
        <v>-15.99</v>
      </c>
      <c r="K82" s="198">
        <f t="shared" si="10"/>
        <v>15.99</v>
      </c>
      <c r="L82" s="198">
        <f>COUNTIF(J82:K82,"&lt;&gt;0")*-'Trading Model'!$E$15</f>
        <v>-0.2</v>
      </c>
      <c r="M82" s="198">
        <f t="shared" si="8"/>
        <v>-0.2</v>
      </c>
      <c r="N82" s="75">
        <f t="shared" si="11"/>
        <v>9</v>
      </c>
      <c r="O82" s="202">
        <f t="shared" si="12"/>
        <v>0</v>
      </c>
      <c r="P82" s="199">
        <f t="shared" si="9"/>
        <v>0</v>
      </c>
      <c r="Q82" s="203">
        <f t="shared" si="13"/>
        <v>96.500000000000199</v>
      </c>
      <c r="R82" s="201">
        <f>E82/B78-1</f>
        <v>9.4455852156057452E-2</v>
      </c>
      <c r="S82" s="201">
        <f t="shared" si="14"/>
        <v>6.3164893617021267E-2</v>
      </c>
    </row>
    <row r="83" spans="1:19">
      <c r="A83" s="196">
        <v>40087</v>
      </c>
      <c r="B83" s="122">
        <v>15.96</v>
      </c>
      <c r="C83" s="122">
        <v>15.96</v>
      </c>
      <c r="D83" s="122">
        <v>15.14</v>
      </c>
      <c r="E83" s="122">
        <v>15.29</v>
      </c>
      <c r="F83" s="122">
        <v>9.6413759999999993</v>
      </c>
      <c r="G83" s="197">
        <v>190900</v>
      </c>
      <c r="H83" s="198">
        <f>IF(AND(E82&gt;=H82,E83&gt;=E82),E82*(1+'Trading Model'!$E$13),IF(AND(E83&lt;E82,E82&gt;=H82),E83*(1+'Trading Model'!$E$13),H82))</f>
        <v>16.054500000000001</v>
      </c>
      <c r="I83" s="198">
        <f>IF(K83&gt;0,E83*(1-'Trading Model'!E93),IF(E83&lt;I82,I82*(1-'Trading Model'!$E$14),I82))</f>
        <v>15.1905</v>
      </c>
      <c r="J83" s="198">
        <f t="shared" si="15"/>
        <v>-15.29</v>
      </c>
      <c r="K83" s="198">
        <f t="shared" si="10"/>
        <v>0</v>
      </c>
      <c r="L83" s="198">
        <f>COUNTIF(J83:K83,"&lt;&gt;0")*-'Trading Model'!$E$15</f>
        <v>-0.1</v>
      </c>
      <c r="M83" s="198">
        <f t="shared" si="8"/>
        <v>-15.389999999999999</v>
      </c>
      <c r="N83" s="75">
        <f t="shared" si="11"/>
        <v>10</v>
      </c>
      <c r="O83" s="202">
        <f t="shared" si="12"/>
        <v>0</v>
      </c>
      <c r="P83" s="199">
        <f t="shared" si="9"/>
        <v>0</v>
      </c>
      <c r="Q83" s="203">
        <f t="shared" si="13"/>
        <v>96.400000000000205</v>
      </c>
      <c r="R83" s="160" t="s">
        <v>55</v>
      </c>
      <c r="S83" s="201">
        <f t="shared" si="14"/>
        <v>-4.3777360850531633E-2</v>
      </c>
    </row>
    <row r="84" spans="1:19">
      <c r="A84" s="196">
        <v>40088</v>
      </c>
      <c r="B84" s="122">
        <v>15.23</v>
      </c>
      <c r="C84" s="122">
        <v>15.71</v>
      </c>
      <c r="D84" s="122">
        <v>15.09</v>
      </c>
      <c r="E84" s="122">
        <v>15.62</v>
      </c>
      <c r="F84" s="122">
        <v>9.8494620000000008</v>
      </c>
      <c r="G84" s="197">
        <v>208100</v>
      </c>
      <c r="H84" s="198">
        <f>IF(AND(E83&gt;=H83,E84&gt;=E83),E83*(1+'Trading Model'!$E$13),IF(AND(E84&lt;E83,E83&gt;=H83),E84*(1+'Trading Model'!$E$13),H83))</f>
        <v>16.054500000000001</v>
      </c>
      <c r="I84" s="198">
        <f>IF(K84&gt;0,E84*(1-'Trading Model'!E94),IF(E84&lt;I83,I83*(1-'Trading Model'!$E$14),I83))</f>
        <v>15.1905</v>
      </c>
      <c r="J84" s="198">
        <f t="shared" si="15"/>
        <v>0</v>
      </c>
      <c r="K84" s="198">
        <f t="shared" si="10"/>
        <v>0</v>
      </c>
      <c r="L84" s="198">
        <f>COUNTIF(J84:K84,"&lt;&gt;0")*-'Trading Model'!$E$15</f>
        <v>0</v>
      </c>
      <c r="M84" s="198">
        <f t="shared" si="8"/>
        <v>0</v>
      </c>
      <c r="N84" s="75">
        <f t="shared" si="11"/>
        <v>10</v>
      </c>
      <c r="O84" s="202">
        <f t="shared" si="12"/>
        <v>0</v>
      </c>
      <c r="P84" s="199">
        <f t="shared" si="9"/>
        <v>0</v>
      </c>
      <c r="Q84" s="203">
        <f t="shared" si="13"/>
        <v>96.400000000000205</v>
      </c>
      <c r="R84" s="203" t="s">
        <v>55</v>
      </c>
      <c r="S84" s="201">
        <f t="shared" si="14"/>
        <v>2.1582733812949728E-2</v>
      </c>
    </row>
    <row r="85" spans="1:19">
      <c r="A85" s="196">
        <v>40091</v>
      </c>
      <c r="B85" s="122">
        <v>15.65</v>
      </c>
      <c r="C85" s="122">
        <v>16.129999000000002</v>
      </c>
      <c r="D85" s="122">
        <v>15.61</v>
      </c>
      <c r="E85" s="122">
        <v>16.100000000000001</v>
      </c>
      <c r="F85" s="122">
        <v>10.152136</v>
      </c>
      <c r="G85" s="197">
        <v>180000</v>
      </c>
      <c r="H85" s="198">
        <f>IF(AND(E84&gt;=H84,E85&gt;=E84),E84*(1+'Trading Model'!$E$13),IF(AND(E85&lt;E84,E84&gt;=H84),E85*(1+'Trading Model'!$E$13),H84))</f>
        <v>16.054500000000001</v>
      </c>
      <c r="I85" s="198">
        <f>IF(K85&gt;0,E85*(1-'Trading Model'!E95),IF(E85&lt;I84,I84*(1-'Trading Model'!$E$14),I84))</f>
        <v>16.100000000000001</v>
      </c>
      <c r="J85" s="198">
        <f t="shared" si="15"/>
        <v>-16.100000000000001</v>
      </c>
      <c r="K85" s="198">
        <f t="shared" si="10"/>
        <v>16.100000000000001</v>
      </c>
      <c r="L85" s="198">
        <f>COUNTIF(J85:K85,"&lt;&gt;0")*-'Trading Model'!$E$15</f>
        <v>-0.2</v>
      </c>
      <c r="M85" s="198">
        <f t="shared" si="8"/>
        <v>-0.2</v>
      </c>
      <c r="N85" s="75">
        <f t="shared" si="11"/>
        <v>10</v>
      </c>
      <c r="O85" s="202">
        <f t="shared" si="12"/>
        <v>0</v>
      </c>
      <c r="P85" s="199">
        <f t="shared" si="9"/>
        <v>0</v>
      </c>
      <c r="Q85" s="203">
        <f t="shared" si="13"/>
        <v>96.400000000000205</v>
      </c>
      <c r="R85" s="203" t="s">
        <v>55</v>
      </c>
      <c r="S85" s="201">
        <f t="shared" si="14"/>
        <v>3.0729833546735197E-2</v>
      </c>
    </row>
    <row r="86" spans="1:19">
      <c r="A86" s="196">
        <v>40092</v>
      </c>
      <c r="B86" s="122">
        <v>16.209999</v>
      </c>
      <c r="C86" s="122">
        <v>16.629999000000002</v>
      </c>
      <c r="D86" s="122">
        <v>16.200001</v>
      </c>
      <c r="E86" s="122">
        <v>16.600000000000001</v>
      </c>
      <c r="F86" s="122">
        <v>10.467418</v>
      </c>
      <c r="G86" s="197">
        <v>253800</v>
      </c>
      <c r="H86" s="198">
        <f>IF(AND(E85&gt;=H85,E86&gt;=E85),E85*(1+'Trading Model'!$E$13),IF(AND(E86&lt;E85,E85&gt;=H85),E86*(1+'Trading Model'!$E$13),H85))</f>
        <v>16.905000000000001</v>
      </c>
      <c r="I86" s="198">
        <f>IF(K86&gt;0,E86*(1-'Trading Model'!E96),IF(E86&lt;I85,I85*(1-'Trading Model'!$E$14),I85))</f>
        <v>16.100000000000001</v>
      </c>
      <c r="J86" s="198">
        <f t="shared" si="15"/>
        <v>0</v>
      </c>
      <c r="K86" s="198">
        <f t="shared" si="10"/>
        <v>0</v>
      </c>
      <c r="L86" s="198">
        <f>COUNTIF(J86:K86,"&lt;&gt;0")*-'Trading Model'!$E$15</f>
        <v>0</v>
      </c>
      <c r="M86" s="198">
        <f t="shared" si="8"/>
        <v>0</v>
      </c>
      <c r="N86" s="75">
        <f t="shared" si="11"/>
        <v>10</v>
      </c>
      <c r="O86" s="202">
        <f t="shared" si="12"/>
        <v>0</v>
      </c>
      <c r="P86" s="199">
        <f t="shared" si="9"/>
        <v>0</v>
      </c>
      <c r="Q86" s="203">
        <f t="shared" si="13"/>
        <v>96.400000000000205</v>
      </c>
      <c r="R86" s="203" t="s">
        <v>55</v>
      </c>
      <c r="S86" s="201">
        <f t="shared" si="14"/>
        <v>3.105590062111796E-2</v>
      </c>
    </row>
    <row r="87" spans="1:19">
      <c r="A87" s="196">
        <v>40093</v>
      </c>
      <c r="B87" s="122">
        <v>15.85</v>
      </c>
      <c r="C87" s="122">
        <v>16.73</v>
      </c>
      <c r="D87" s="122">
        <v>15.85</v>
      </c>
      <c r="E87" s="122">
        <v>16.399999999999999</v>
      </c>
      <c r="F87" s="122">
        <v>10.341305999999999</v>
      </c>
      <c r="G87" s="197">
        <v>192800</v>
      </c>
      <c r="H87" s="198">
        <f>IF(AND(E86&gt;=H86,E87&gt;=E86),E86*(1+'Trading Model'!$E$13),IF(AND(E87&lt;E86,E86&gt;=H86),E87*(1+'Trading Model'!$E$13),H86))</f>
        <v>16.905000000000001</v>
      </c>
      <c r="I87" s="198">
        <f>IF(K87&gt;0,E87*(1-'Trading Model'!E97),IF(E87&lt;I86,I86*(1-'Trading Model'!$E$14),I86))</f>
        <v>16.100000000000001</v>
      </c>
      <c r="J87" s="198">
        <f t="shared" si="15"/>
        <v>0</v>
      </c>
      <c r="K87" s="198">
        <f t="shared" si="10"/>
        <v>0</v>
      </c>
      <c r="L87" s="198">
        <f>COUNTIF(J87:K87,"&lt;&gt;0")*-'Trading Model'!$E$15</f>
        <v>0</v>
      </c>
      <c r="M87" s="198">
        <f t="shared" si="8"/>
        <v>0</v>
      </c>
      <c r="N87" s="75">
        <f t="shared" si="11"/>
        <v>10</v>
      </c>
      <c r="O87" s="202">
        <f t="shared" si="12"/>
        <v>0</v>
      </c>
      <c r="P87" s="199">
        <f t="shared" si="9"/>
        <v>0</v>
      </c>
      <c r="Q87" s="203">
        <f t="shared" si="13"/>
        <v>96.30000000000021</v>
      </c>
      <c r="R87" s="201">
        <f>E87/B83-1</f>
        <v>2.7568922305764243E-2</v>
      </c>
      <c r="S87" s="201">
        <f t="shared" si="14"/>
        <v>-1.2048192771084487E-2</v>
      </c>
    </row>
    <row r="88" spans="1:19">
      <c r="A88" s="196">
        <v>40094</v>
      </c>
      <c r="B88" s="122">
        <v>16.670000000000002</v>
      </c>
      <c r="C88" s="122">
        <v>17.23</v>
      </c>
      <c r="D88" s="122">
        <v>16.52</v>
      </c>
      <c r="E88" s="122">
        <v>17.190000999999999</v>
      </c>
      <c r="F88" s="122">
        <v>10.839454</v>
      </c>
      <c r="G88" s="197">
        <v>212000</v>
      </c>
      <c r="H88" s="198">
        <f>IF(AND(E87&gt;=H87,E88&gt;=E87),E87*(1+'Trading Model'!$E$13),IF(AND(E88&lt;E87,E87&gt;=H87),E88*(1+'Trading Model'!$E$13),H87))</f>
        <v>16.905000000000001</v>
      </c>
      <c r="I88" s="198">
        <f>IF(K88&gt;0,E88*(1-'Trading Model'!E98),IF(E88&lt;I87,I87*(1-'Trading Model'!$E$14),I87))</f>
        <v>17.190000999999999</v>
      </c>
      <c r="J88" s="198">
        <f t="shared" si="15"/>
        <v>-17.190000999999999</v>
      </c>
      <c r="K88" s="198">
        <f t="shared" si="10"/>
        <v>17.190000999999999</v>
      </c>
      <c r="L88" s="198">
        <f>COUNTIF(J88:K88,"&lt;&gt;0")*-'Trading Model'!$E$15</f>
        <v>-0.2</v>
      </c>
      <c r="M88" s="198">
        <f t="shared" si="8"/>
        <v>-0.2</v>
      </c>
      <c r="N88" s="75">
        <f t="shared" si="11"/>
        <v>10</v>
      </c>
      <c r="O88" s="202">
        <f t="shared" si="12"/>
        <v>0</v>
      </c>
      <c r="P88" s="199">
        <f t="shared" si="9"/>
        <v>0</v>
      </c>
      <c r="Q88" s="203">
        <f t="shared" si="13"/>
        <v>96.30000000000021</v>
      </c>
      <c r="R88" s="160" t="s">
        <v>55</v>
      </c>
      <c r="S88" s="201">
        <f t="shared" si="14"/>
        <v>4.81707926829269E-2</v>
      </c>
    </row>
    <row r="89" spans="1:19">
      <c r="A89" s="196">
        <v>40095</v>
      </c>
      <c r="B89" s="122">
        <v>17.299999</v>
      </c>
      <c r="C89" s="122">
        <v>17.77</v>
      </c>
      <c r="D89" s="122">
        <v>17.129999000000002</v>
      </c>
      <c r="E89" s="122">
        <v>17.620000999999998</v>
      </c>
      <c r="F89" s="122">
        <v>11.110595999999999</v>
      </c>
      <c r="G89" s="197">
        <v>211600</v>
      </c>
      <c r="H89" s="198">
        <f>IF(AND(E88&gt;=H88,E89&gt;=E88),E88*(1+'Trading Model'!$E$13),IF(AND(E89&lt;E88,E88&gt;=H88),E89*(1+'Trading Model'!$E$13),H88))</f>
        <v>18.04950105</v>
      </c>
      <c r="I89" s="198">
        <f>IF(K89&gt;0,E89*(1-'Trading Model'!E99),IF(E89&lt;I88,I88*(1-'Trading Model'!$E$14),I88))</f>
        <v>17.190000999999999</v>
      </c>
      <c r="J89" s="198">
        <f t="shared" si="15"/>
        <v>0</v>
      </c>
      <c r="K89" s="198">
        <f t="shared" si="10"/>
        <v>0</v>
      </c>
      <c r="L89" s="198">
        <f>COUNTIF(J89:K89,"&lt;&gt;0")*-'Trading Model'!$E$15</f>
        <v>0</v>
      </c>
      <c r="M89" s="198">
        <f t="shared" si="8"/>
        <v>0</v>
      </c>
      <c r="N89" s="75">
        <f t="shared" si="11"/>
        <v>10</v>
      </c>
      <c r="O89" s="202">
        <f t="shared" si="12"/>
        <v>0</v>
      </c>
      <c r="P89" s="199">
        <f t="shared" si="9"/>
        <v>0</v>
      </c>
      <c r="Q89" s="203">
        <f t="shared" si="13"/>
        <v>96.30000000000021</v>
      </c>
      <c r="R89" s="203" t="s">
        <v>55</v>
      </c>
      <c r="S89" s="201">
        <f t="shared" si="14"/>
        <v>2.5014541883970898E-2</v>
      </c>
    </row>
    <row r="90" spans="1:19">
      <c r="A90" s="196">
        <v>40098</v>
      </c>
      <c r="B90" s="122">
        <v>17.670000000000002</v>
      </c>
      <c r="C90" s="122">
        <v>18.200001</v>
      </c>
      <c r="D90" s="122">
        <v>17.469999000000001</v>
      </c>
      <c r="E90" s="122">
        <v>17.799999</v>
      </c>
      <c r="F90" s="122">
        <v>11.224097</v>
      </c>
      <c r="G90" s="197">
        <v>200600</v>
      </c>
      <c r="H90" s="198">
        <f>IF(AND(E89&gt;=H89,E90&gt;=E89),E89*(1+'Trading Model'!$E$13),IF(AND(E90&lt;E89,E89&gt;=H89),E90*(1+'Trading Model'!$E$13),H89))</f>
        <v>18.04950105</v>
      </c>
      <c r="I90" s="198">
        <f>IF(K90&gt;0,E90*(1-'Trading Model'!E100),IF(E90&lt;I89,I89*(1-'Trading Model'!$E$14),I89))</f>
        <v>17.190000999999999</v>
      </c>
      <c r="J90" s="198">
        <f t="shared" si="15"/>
        <v>0</v>
      </c>
      <c r="K90" s="198">
        <f t="shared" si="10"/>
        <v>0</v>
      </c>
      <c r="L90" s="198">
        <f>COUNTIF(J90:K90,"&lt;&gt;0")*-'Trading Model'!$E$15</f>
        <v>0</v>
      </c>
      <c r="M90" s="198">
        <f t="shared" si="8"/>
        <v>0</v>
      </c>
      <c r="N90" s="75">
        <f t="shared" si="11"/>
        <v>10</v>
      </c>
      <c r="O90" s="202">
        <f t="shared" si="12"/>
        <v>0</v>
      </c>
      <c r="P90" s="199">
        <f t="shared" si="9"/>
        <v>0</v>
      </c>
      <c r="Q90" s="203">
        <f t="shared" si="13"/>
        <v>96.30000000000021</v>
      </c>
      <c r="R90" s="203" t="s">
        <v>55</v>
      </c>
      <c r="S90" s="201">
        <f t="shared" si="14"/>
        <v>1.0215549931013035E-2</v>
      </c>
    </row>
    <row r="91" spans="1:19">
      <c r="A91" s="196">
        <v>40099</v>
      </c>
      <c r="B91" s="122">
        <v>17.299999</v>
      </c>
      <c r="C91" s="122">
        <v>17.82</v>
      </c>
      <c r="D91" s="122">
        <v>17.27</v>
      </c>
      <c r="E91" s="122">
        <v>17.66</v>
      </c>
      <c r="F91" s="122">
        <v>11.135819</v>
      </c>
      <c r="G91" s="197">
        <v>128400</v>
      </c>
      <c r="H91" s="198">
        <f>IF(AND(E90&gt;=H90,E91&gt;=E90),E90*(1+'Trading Model'!$E$13),IF(AND(E91&lt;E90,E90&gt;=H90),E91*(1+'Trading Model'!$E$13),H90))</f>
        <v>18.04950105</v>
      </c>
      <c r="I91" s="198">
        <f>IF(K91&gt;0,E91*(1-'Trading Model'!E101),IF(E91&lt;I90,I90*(1-'Trading Model'!$E$14),I90))</f>
        <v>17.190000999999999</v>
      </c>
      <c r="J91" s="198">
        <f t="shared" si="15"/>
        <v>0</v>
      </c>
      <c r="K91" s="198">
        <f t="shared" si="10"/>
        <v>0</v>
      </c>
      <c r="L91" s="198">
        <f>COUNTIF(J91:K91,"&lt;&gt;0")*-'Trading Model'!$E$15</f>
        <v>0</v>
      </c>
      <c r="M91" s="198">
        <f t="shared" si="8"/>
        <v>0</v>
      </c>
      <c r="N91" s="75">
        <f t="shared" si="11"/>
        <v>10</v>
      </c>
      <c r="O91" s="202">
        <f t="shared" si="12"/>
        <v>0</v>
      </c>
      <c r="P91" s="199">
        <f t="shared" si="9"/>
        <v>0</v>
      </c>
      <c r="Q91" s="203">
        <f t="shared" si="13"/>
        <v>96.200000000000216</v>
      </c>
      <c r="R91" s="203" t="s">
        <v>55</v>
      </c>
      <c r="S91" s="201">
        <f t="shared" si="14"/>
        <v>-7.8651128014107785E-3</v>
      </c>
    </row>
    <row r="92" spans="1:19">
      <c r="A92" s="196">
        <v>40100</v>
      </c>
      <c r="B92" s="122">
        <v>17.950001</v>
      </c>
      <c r="C92" s="122">
        <v>18.149999999999999</v>
      </c>
      <c r="D92" s="122">
        <v>17.59</v>
      </c>
      <c r="E92" s="122">
        <v>17.649999999999999</v>
      </c>
      <c r="F92" s="122">
        <v>11.129512999999999</v>
      </c>
      <c r="G92" s="197">
        <v>150800</v>
      </c>
      <c r="H92" s="198">
        <f>IF(AND(E91&gt;=H91,E92&gt;=E91),E91*(1+'Trading Model'!$E$13),IF(AND(E92&lt;E91,E91&gt;=H91),E92*(1+'Trading Model'!$E$13),H91))</f>
        <v>18.04950105</v>
      </c>
      <c r="I92" s="198">
        <f>IF(K92&gt;0,E92*(1-'Trading Model'!E102),IF(E92&lt;I91,I91*(1-'Trading Model'!$E$14),I91))</f>
        <v>17.190000999999999</v>
      </c>
      <c r="J92" s="198">
        <f t="shared" si="15"/>
        <v>0</v>
      </c>
      <c r="K92" s="198">
        <f t="shared" si="10"/>
        <v>0</v>
      </c>
      <c r="L92" s="198">
        <f>COUNTIF(J92:K92,"&lt;&gt;0")*-'Trading Model'!$E$15</f>
        <v>0</v>
      </c>
      <c r="M92" s="198">
        <f t="shared" si="8"/>
        <v>0</v>
      </c>
      <c r="N92" s="75">
        <f t="shared" si="11"/>
        <v>10</v>
      </c>
      <c r="O92" s="202">
        <f t="shared" si="12"/>
        <v>0</v>
      </c>
      <c r="P92" s="199">
        <f t="shared" si="9"/>
        <v>0</v>
      </c>
      <c r="Q92" s="203">
        <f t="shared" si="13"/>
        <v>96.100000000000222</v>
      </c>
      <c r="R92" s="201">
        <f>E92/B88-1</f>
        <v>5.8788242351529574E-2</v>
      </c>
      <c r="S92" s="201">
        <f t="shared" si="14"/>
        <v>-5.662514156286047E-4</v>
      </c>
    </row>
    <row r="93" spans="1:19">
      <c r="A93" s="196">
        <v>40101</v>
      </c>
      <c r="B93" s="122">
        <v>17.549999</v>
      </c>
      <c r="C93" s="122">
        <v>17.73</v>
      </c>
      <c r="D93" s="122">
        <v>17.209999</v>
      </c>
      <c r="E93" s="122">
        <v>17.48</v>
      </c>
      <c r="F93" s="122">
        <v>11.022316999999999</v>
      </c>
      <c r="G93" s="197">
        <v>98300</v>
      </c>
      <c r="H93" s="198">
        <f>IF(AND(E92&gt;=H92,E93&gt;=E92),E92*(1+'Trading Model'!$E$13),IF(AND(E93&lt;E92,E92&gt;=H92),E93*(1+'Trading Model'!$E$13),H92))</f>
        <v>18.04950105</v>
      </c>
      <c r="I93" s="198">
        <f>IF(K93&gt;0,E93*(1-'Trading Model'!E103),IF(E93&lt;I92,I92*(1-'Trading Model'!$E$14),I92))</f>
        <v>17.190000999999999</v>
      </c>
      <c r="J93" s="198">
        <f t="shared" si="15"/>
        <v>0</v>
      </c>
      <c r="K93" s="198">
        <f t="shared" si="10"/>
        <v>0</v>
      </c>
      <c r="L93" s="198">
        <f>COUNTIF(J93:K93,"&lt;&gt;0")*-'Trading Model'!$E$15</f>
        <v>0</v>
      </c>
      <c r="M93" s="198">
        <f t="shared" si="8"/>
        <v>0</v>
      </c>
      <c r="N93" s="75">
        <f t="shared" si="11"/>
        <v>10</v>
      </c>
      <c r="O93" s="202">
        <f t="shared" si="12"/>
        <v>0</v>
      </c>
      <c r="P93" s="199">
        <f t="shared" si="9"/>
        <v>0</v>
      </c>
      <c r="Q93" s="203">
        <f t="shared" si="13"/>
        <v>96.000000000000227</v>
      </c>
      <c r="R93" s="160" t="s">
        <v>55</v>
      </c>
      <c r="S93" s="201">
        <f t="shared" si="14"/>
        <v>-9.6317280453256382E-3</v>
      </c>
    </row>
    <row r="94" spans="1:19">
      <c r="A94" s="196">
        <v>40102</v>
      </c>
      <c r="B94" s="122">
        <v>17.48</v>
      </c>
      <c r="C94" s="122">
        <v>17.559999000000001</v>
      </c>
      <c r="D94" s="122">
        <v>17.239999999999998</v>
      </c>
      <c r="E94" s="122">
        <v>17.43</v>
      </c>
      <c r="F94" s="122">
        <v>10.990788999999999</v>
      </c>
      <c r="G94" s="197">
        <v>108200</v>
      </c>
      <c r="H94" s="198">
        <f>IF(AND(E93&gt;=H93,E94&gt;=E93),E93*(1+'Trading Model'!$E$13),IF(AND(E94&lt;E93,E93&gt;=H93),E94*(1+'Trading Model'!$E$13),H93))</f>
        <v>18.04950105</v>
      </c>
      <c r="I94" s="198">
        <f>IF(K94&gt;0,E94*(1-'Trading Model'!E104),IF(E94&lt;I93,I93*(1-'Trading Model'!$E$14),I93))</f>
        <v>17.190000999999999</v>
      </c>
      <c r="J94" s="198">
        <f t="shared" si="15"/>
        <v>0</v>
      </c>
      <c r="K94" s="198">
        <f t="shared" si="10"/>
        <v>0</v>
      </c>
      <c r="L94" s="198">
        <f>COUNTIF(J94:K94,"&lt;&gt;0")*-'Trading Model'!$E$15</f>
        <v>0</v>
      </c>
      <c r="M94" s="198">
        <f t="shared" si="8"/>
        <v>0</v>
      </c>
      <c r="N94" s="75">
        <f t="shared" si="11"/>
        <v>10</v>
      </c>
      <c r="O94" s="202">
        <f t="shared" si="12"/>
        <v>0</v>
      </c>
      <c r="P94" s="199">
        <f t="shared" si="9"/>
        <v>0</v>
      </c>
      <c r="Q94" s="203">
        <f t="shared" si="13"/>
        <v>95.900000000000233</v>
      </c>
      <c r="R94" s="203" t="s">
        <v>55</v>
      </c>
      <c r="S94" s="201">
        <f t="shared" si="14"/>
        <v>-2.8604118993135197E-3</v>
      </c>
    </row>
    <row r="95" spans="1:19">
      <c r="A95" s="196">
        <v>40105</v>
      </c>
      <c r="B95" s="122">
        <v>17.57</v>
      </c>
      <c r="C95" s="122">
        <v>17.850000000000001</v>
      </c>
      <c r="D95" s="122">
        <v>17.23</v>
      </c>
      <c r="E95" s="122">
        <v>17.329999999999998</v>
      </c>
      <c r="F95" s="122">
        <v>10.927733</v>
      </c>
      <c r="G95" s="197">
        <v>165400</v>
      </c>
      <c r="H95" s="198">
        <f>IF(AND(E94&gt;=H94,E95&gt;=E94),E94*(1+'Trading Model'!$E$13),IF(AND(E95&lt;E94,E94&gt;=H94),E95*(1+'Trading Model'!$E$13),H94))</f>
        <v>18.04950105</v>
      </c>
      <c r="I95" s="198">
        <f>IF(K95&gt;0,E95*(1-'Trading Model'!E105),IF(E95&lt;I94,I94*(1-'Trading Model'!$E$14),I94))</f>
        <v>17.190000999999999</v>
      </c>
      <c r="J95" s="198">
        <f t="shared" si="15"/>
        <v>0</v>
      </c>
      <c r="K95" s="198">
        <f t="shared" si="10"/>
        <v>0</v>
      </c>
      <c r="L95" s="198">
        <f>COUNTIF(J95:K95,"&lt;&gt;0")*-'Trading Model'!$E$15</f>
        <v>0</v>
      </c>
      <c r="M95" s="198">
        <f t="shared" si="8"/>
        <v>0</v>
      </c>
      <c r="N95" s="75">
        <f t="shared" si="11"/>
        <v>10</v>
      </c>
      <c r="O95" s="202">
        <f t="shared" si="12"/>
        <v>0</v>
      </c>
      <c r="P95" s="199">
        <f t="shared" si="9"/>
        <v>0</v>
      </c>
      <c r="Q95" s="203">
        <f t="shared" si="13"/>
        <v>95.800000000000239</v>
      </c>
      <c r="R95" s="203" t="s">
        <v>55</v>
      </c>
      <c r="S95" s="201">
        <f t="shared" si="14"/>
        <v>-5.7372346528974383E-3</v>
      </c>
    </row>
    <row r="96" spans="1:19">
      <c r="A96" s="196">
        <v>40106</v>
      </c>
      <c r="B96" s="122">
        <v>17.329999999999998</v>
      </c>
      <c r="C96" s="122">
        <v>17.600000000000001</v>
      </c>
      <c r="D96" s="122">
        <v>17.18</v>
      </c>
      <c r="E96" s="122">
        <v>17.489999999999998</v>
      </c>
      <c r="F96" s="122">
        <v>11.028625</v>
      </c>
      <c r="G96" s="197">
        <v>168200</v>
      </c>
      <c r="H96" s="198">
        <f>IF(AND(E95&gt;=H95,E96&gt;=E95),E95*(1+'Trading Model'!$E$13),IF(AND(E96&lt;E95,E95&gt;=H95),E96*(1+'Trading Model'!$E$13),H95))</f>
        <v>18.04950105</v>
      </c>
      <c r="I96" s="198">
        <f>IF(K96&gt;0,E96*(1-'Trading Model'!E106),IF(E96&lt;I95,I95*(1-'Trading Model'!$E$14),I95))</f>
        <v>17.190000999999999</v>
      </c>
      <c r="J96" s="198">
        <f t="shared" si="15"/>
        <v>0</v>
      </c>
      <c r="K96" s="198">
        <f t="shared" si="10"/>
        <v>0</v>
      </c>
      <c r="L96" s="198">
        <f>COUNTIF(J96:K96,"&lt;&gt;0")*-'Trading Model'!$E$15</f>
        <v>0</v>
      </c>
      <c r="M96" s="198">
        <f t="shared" si="8"/>
        <v>0</v>
      </c>
      <c r="N96" s="75">
        <f t="shared" si="11"/>
        <v>10</v>
      </c>
      <c r="O96" s="202">
        <f t="shared" si="12"/>
        <v>0</v>
      </c>
      <c r="P96" s="199">
        <f t="shared" si="9"/>
        <v>0</v>
      </c>
      <c r="Q96" s="203">
        <f t="shared" si="13"/>
        <v>95.800000000000239</v>
      </c>
      <c r="R96" s="203" t="s">
        <v>55</v>
      </c>
      <c r="S96" s="201">
        <f t="shared" si="14"/>
        <v>9.2325447201384581E-3</v>
      </c>
    </row>
    <row r="97" spans="1:19">
      <c r="A97" s="196">
        <v>40107</v>
      </c>
      <c r="B97" s="122">
        <v>17.399999999999999</v>
      </c>
      <c r="C97" s="122">
        <v>17.870000999999998</v>
      </c>
      <c r="D97" s="122">
        <v>17.370000999999998</v>
      </c>
      <c r="E97" s="122">
        <v>17.549999</v>
      </c>
      <c r="F97" s="122">
        <v>11.066457</v>
      </c>
      <c r="G97" s="197">
        <v>52600</v>
      </c>
      <c r="H97" s="198">
        <f>IF(AND(E96&gt;=H96,E97&gt;=E96),E96*(1+'Trading Model'!$E$13),IF(AND(E97&lt;E96,E96&gt;=H96),E97*(1+'Trading Model'!$E$13),H96))</f>
        <v>18.04950105</v>
      </c>
      <c r="I97" s="198">
        <f>IF(K97&gt;0,E97*(1-'Trading Model'!E107),IF(E97&lt;I96,I96*(1-'Trading Model'!$E$14),I96))</f>
        <v>17.190000999999999</v>
      </c>
      <c r="J97" s="198">
        <f t="shared" si="15"/>
        <v>0</v>
      </c>
      <c r="K97" s="198">
        <f t="shared" si="10"/>
        <v>0</v>
      </c>
      <c r="L97" s="198">
        <f>COUNTIF(J97:K97,"&lt;&gt;0")*-'Trading Model'!$E$15</f>
        <v>0</v>
      </c>
      <c r="M97" s="198">
        <f t="shared" si="8"/>
        <v>0</v>
      </c>
      <c r="N97" s="75">
        <f t="shared" si="11"/>
        <v>10</v>
      </c>
      <c r="O97" s="202">
        <f t="shared" si="12"/>
        <v>0</v>
      </c>
      <c r="P97" s="199">
        <f t="shared" si="9"/>
        <v>0</v>
      </c>
      <c r="Q97" s="203">
        <f t="shared" si="13"/>
        <v>95.800000000000239</v>
      </c>
      <c r="R97" s="201">
        <f>E97/B93-1</f>
        <v>0</v>
      </c>
      <c r="S97" s="201">
        <f t="shared" si="14"/>
        <v>3.4304745568898287E-3</v>
      </c>
    </row>
    <row r="98" spans="1:19">
      <c r="A98" s="196">
        <v>40108</v>
      </c>
      <c r="B98" s="122">
        <v>17.57</v>
      </c>
      <c r="C98" s="122">
        <v>18.389999</v>
      </c>
      <c r="D98" s="122">
        <v>17.530000999999999</v>
      </c>
      <c r="E98" s="122">
        <v>18.049999</v>
      </c>
      <c r="F98" s="122">
        <v>11.381740000000001</v>
      </c>
      <c r="G98" s="197">
        <v>399900</v>
      </c>
      <c r="H98" s="198">
        <f>IF(AND(E97&gt;=H97,E98&gt;=E97),E97*(1+'Trading Model'!$E$13),IF(AND(E98&lt;E97,E97&gt;=H97),E98*(1+'Trading Model'!$E$13),H97))</f>
        <v>18.04950105</v>
      </c>
      <c r="I98" s="198">
        <f>IF(K98&gt;0,E98*(1-'Trading Model'!E108),IF(E98&lt;I97,I97*(1-'Trading Model'!$E$14),I97))</f>
        <v>18.049999</v>
      </c>
      <c r="J98" s="198">
        <f t="shared" si="15"/>
        <v>-18.049999</v>
      </c>
      <c r="K98" s="198">
        <f t="shared" si="10"/>
        <v>18.049999</v>
      </c>
      <c r="L98" s="198">
        <f>COUNTIF(J98:K98,"&lt;&gt;0")*-'Trading Model'!$E$15</f>
        <v>-0.2</v>
      </c>
      <c r="M98" s="198">
        <f t="shared" si="8"/>
        <v>-0.2</v>
      </c>
      <c r="N98" s="75">
        <f t="shared" si="11"/>
        <v>10</v>
      </c>
      <c r="O98" s="202">
        <f t="shared" si="12"/>
        <v>0</v>
      </c>
      <c r="P98" s="199">
        <f t="shared" si="9"/>
        <v>0</v>
      </c>
      <c r="Q98" s="203">
        <f t="shared" si="13"/>
        <v>95.800000000000239</v>
      </c>
      <c r="R98" s="160" t="s">
        <v>55</v>
      </c>
      <c r="S98" s="201">
        <f t="shared" si="14"/>
        <v>2.8490030113392129E-2</v>
      </c>
    </row>
    <row r="99" spans="1:19">
      <c r="A99" s="196">
        <v>40109</v>
      </c>
      <c r="B99" s="122">
        <v>18.690000999999999</v>
      </c>
      <c r="C99" s="122">
        <v>18.969999000000001</v>
      </c>
      <c r="D99" s="122">
        <v>17.75</v>
      </c>
      <c r="E99" s="122">
        <v>17.969999000000001</v>
      </c>
      <c r="F99" s="122">
        <v>11.331296999999999</v>
      </c>
      <c r="G99" s="197">
        <v>154300</v>
      </c>
      <c r="H99" s="198">
        <f>IF(AND(E98&gt;=H98,E99&gt;=E98),E98*(1+'Trading Model'!$E$13),IF(AND(E99&lt;E98,E98&gt;=H98),E99*(1+'Trading Model'!$E$13),H98))</f>
        <v>18.868498950000003</v>
      </c>
      <c r="I99" s="198">
        <f>IF(K99&gt;0,E99*(1-'Trading Model'!E109),IF(E99&lt;I98,I98*(1-'Trading Model'!$E$14),I98))</f>
        <v>17.14749905</v>
      </c>
      <c r="J99" s="198">
        <f t="shared" si="15"/>
        <v>-17.969999000000001</v>
      </c>
      <c r="K99" s="198">
        <f t="shared" si="10"/>
        <v>0</v>
      </c>
      <c r="L99" s="198">
        <f>COUNTIF(J99:K99,"&lt;&gt;0")*-'Trading Model'!$E$15</f>
        <v>-0.1</v>
      </c>
      <c r="M99" s="198">
        <f t="shared" si="8"/>
        <v>-18.069999000000003</v>
      </c>
      <c r="N99" s="75">
        <f t="shared" si="11"/>
        <v>11</v>
      </c>
      <c r="O99" s="202">
        <f t="shared" si="12"/>
        <v>0</v>
      </c>
      <c r="P99" s="199">
        <f t="shared" si="9"/>
        <v>0</v>
      </c>
      <c r="Q99" s="203">
        <f t="shared" si="13"/>
        <v>95.700000000000244</v>
      </c>
      <c r="R99" s="203" t="s">
        <v>55</v>
      </c>
      <c r="S99" s="201">
        <f t="shared" si="14"/>
        <v>-4.432133209536393E-3</v>
      </c>
    </row>
    <row r="100" spans="1:19">
      <c r="A100" s="196">
        <v>40112</v>
      </c>
      <c r="B100" s="122">
        <v>17.93</v>
      </c>
      <c r="C100" s="122">
        <v>18.02</v>
      </c>
      <c r="D100" s="122">
        <v>17.399999999999999</v>
      </c>
      <c r="E100" s="122">
        <v>17.559999000000001</v>
      </c>
      <c r="F100" s="122">
        <v>11.072763</v>
      </c>
      <c r="G100" s="197">
        <v>119300</v>
      </c>
      <c r="H100" s="198">
        <f>IF(AND(E99&gt;=H99,E100&gt;=E99),E99*(1+'Trading Model'!$E$13),IF(AND(E100&lt;E99,E99&gt;=H99),E100*(1+'Trading Model'!$E$13),H99))</f>
        <v>18.868498950000003</v>
      </c>
      <c r="I100" s="198">
        <f>IF(K100&gt;0,E100*(1-'Trading Model'!E110),IF(E100&lt;I99,I99*(1-'Trading Model'!$E$14),I99))</f>
        <v>17.14749905</v>
      </c>
      <c r="J100" s="198">
        <f t="shared" si="15"/>
        <v>0</v>
      </c>
      <c r="K100" s="198">
        <f t="shared" si="10"/>
        <v>0</v>
      </c>
      <c r="L100" s="198">
        <f>COUNTIF(J100:K100,"&lt;&gt;0")*-'Trading Model'!$E$15</f>
        <v>0</v>
      </c>
      <c r="M100" s="198">
        <f t="shared" si="8"/>
        <v>0</v>
      </c>
      <c r="N100" s="75">
        <f t="shared" si="11"/>
        <v>11</v>
      </c>
      <c r="O100" s="202">
        <f t="shared" si="12"/>
        <v>0</v>
      </c>
      <c r="P100" s="199">
        <f t="shared" si="9"/>
        <v>0</v>
      </c>
      <c r="Q100" s="203">
        <f t="shared" si="13"/>
        <v>95.60000000000025</v>
      </c>
      <c r="R100" s="203" t="s">
        <v>55</v>
      </c>
      <c r="S100" s="201">
        <f t="shared" si="14"/>
        <v>-2.281580538763528E-2</v>
      </c>
    </row>
    <row r="101" spans="1:19">
      <c r="A101" s="196">
        <v>40113</v>
      </c>
      <c r="B101" s="122">
        <v>17.700001</v>
      </c>
      <c r="C101" s="122">
        <v>17.829999999999998</v>
      </c>
      <c r="D101" s="122">
        <v>17.100000000000001</v>
      </c>
      <c r="E101" s="122">
        <v>17.5</v>
      </c>
      <c r="F101" s="122">
        <v>11.034929999999999</v>
      </c>
      <c r="G101" s="197">
        <v>90100</v>
      </c>
      <c r="H101" s="198">
        <f>IF(AND(E100&gt;=H100,E101&gt;=E100),E100*(1+'Trading Model'!$E$13),IF(AND(E101&lt;E100,E100&gt;=H100),E101*(1+'Trading Model'!$E$13),H100))</f>
        <v>18.868498950000003</v>
      </c>
      <c r="I101" s="198">
        <f>IF(K101&gt;0,E101*(1-'Trading Model'!E111),IF(E101&lt;I100,I100*(1-'Trading Model'!$E$14),I100))</f>
        <v>17.14749905</v>
      </c>
      <c r="J101" s="198">
        <f t="shared" si="15"/>
        <v>0</v>
      </c>
      <c r="K101" s="198">
        <f t="shared" si="10"/>
        <v>0</v>
      </c>
      <c r="L101" s="198">
        <f>COUNTIF(J101:K101,"&lt;&gt;0")*-'Trading Model'!$E$15</f>
        <v>0</v>
      </c>
      <c r="M101" s="198">
        <f t="shared" si="8"/>
        <v>0</v>
      </c>
      <c r="N101" s="75">
        <f t="shared" si="11"/>
        <v>11</v>
      </c>
      <c r="O101" s="202">
        <f t="shared" si="12"/>
        <v>0</v>
      </c>
      <c r="P101" s="199">
        <f t="shared" si="9"/>
        <v>0</v>
      </c>
      <c r="Q101" s="203">
        <f t="shared" si="13"/>
        <v>95.500000000000256</v>
      </c>
      <c r="R101" s="203" t="s">
        <v>55</v>
      </c>
      <c r="S101" s="201">
        <f t="shared" si="14"/>
        <v>-3.4167997389977778E-3</v>
      </c>
    </row>
    <row r="102" spans="1:19">
      <c r="A102" s="196">
        <v>40114</v>
      </c>
      <c r="B102" s="122">
        <v>17.360001</v>
      </c>
      <c r="C102" s="122">
        <v>17.670000000000002</v>
      </c>
      <c r="D102" s="122">
        <v>16.850000000000001</v>
      </c>
      <c r="E102" s="122">
        <v>17.040001</v>
      </c>
      <c r="F102" s="122">
        <v>10.744868</v>
      </c>
      <c r="G102" s="197">
        <v>152600</v>
      </c>
      <c r="H102" s="198">
        <f>IF(AND(E101&gt;=H101,E102&gt;=E101),E101*(1+'Trading Model'!$E$13),IF(AND(E102&lt;E101,E101&gt;=H101),E102*(1+'Trading Model'!$E$13),H101))</f>
        <v>18.868498950000003</v>
      </c>
      <c r="I102" s="198">
        <f>IF(K102&gt;0,E102*(1-'Trading Model'!E112),IF(E102&lt;I101,I101*(1-'Trading Model'!$E$14),I101))</f>
        <v>16.290124097499998</v>
      </c>
      <c r="J102" s="198">
        <f t="shared" si="15"/>
        <v>-17.040001</v>
      </c>
      <c r="K102" s="198">
        <f t="shared" si="10"/>
        <v>0</v>
      </c>
      <c r="L102" s="198">
        <f>COUNTIF(J102:K102,"&lt;&gt;0")*-'Trading Model'!$E$15</f>
        <v>-0.1</v>
      </c>
      <c r="M102" s="198">
        <f t="shared" si="8"/>
        <v>-17.140001000000002</v>
      </c>
      <c r="N102" s="75">
        <f t="shared" si="11"/>
        <v>12</v>
      </c>
      <c r="O102" s="202">
        <f t="shared" si="12"/>
        <v>0</v>
      </c>
      <c r="P102" s="199">
        <f t="shared" si="9"/>
        <v>0</v>
      </c>
      <c r="Q102" s="203">
        <f t="shared" si="13"/>
        <v>95.400000000000261</v>
      </c>
      <c r="R102" s="201">
        <f>E102/B98-1</f>
        <v>-3.0164997154240147E-2</v>
      </c>
      <c r="S102" s="201">
        <f t="shared" si="14"/>
        <v>-2.6285657142857133E-2</v>
      </c>
    </row>
    <row r="103" spans="1:19">
      <c r="A103" s="196">
        <v>40115</v>
      </c>
      <c r="B103" s="122">
        <v>17.139999</v>
      </c>
      <c r="C103" s="122">
        <v>17.57</v>
      </c>
      <c r="D103" s="122">
        <v>17.139999</v>
      </c>
      <c r="E103" s="122">
        <v>17.299999</v>
      </c>
      <c r="F103" s="122">
        <v>10.908813</v>
      </c>
      <c r="G103" s="197">
        <v>167000</v>
      </c>
      <c r="H103" s="198">
        <f>IF(AND(E102&gt;=H102,E103&gt;=E102),E102*(1+'Trading Model'!$E$13),IF(AND(E103&lt;E102,E102&gt;=H102),E103*(1+'Trading Model'!$E$13),H102))</f>
        <v>18.868498950000003</v>
      </c>
      <c r="I103" s="198">
        <f>IF(K103&gt;0,E103*(1-'Trading Model'!E113),IF(E103&lt;I102,I102*(1-'Trading Model'!$E$14),I102))</f>
        <v>16.290124097499998</v>
      </c>
      <c r="J103" s="198">
        <f t="shared" si="15"/>
        <v>0</v>
      </c>
      <c r="K103" s="198">
        <f t="shared" si="10"/>
        <v>0</v>
      </c>
      <c r="L103" s="198">
        <f>COUNTIF(J103:K103,"&lt;&gt;0")*-'Trading Model'!$E$15</f>
        <v>0</v>
      </c>
      <c r="M103" s="198">
        <f t="shared" si="8"/>
        <v>0</v>
      </c>
      <c r="N103" s="75">
        <f t="shared" si="11"/>
        <v>12</v>
      </c>
      <c r="O103" s="202">
        <f t="shared" si="12"/>
        <v>0</v>
      </c>
      <c r="P103" s="199">
        <f t="shared" si="9"/>
        <v>0</v>
      </c>
      <c r="Q103" s="203">
        <f t="shared" si="13"/>
        <v>95.400000000000261</v>
      </c>
      <c r="R103" s="160" t="s">
        <v>55</v>
      </c>
      <c r="S103" s="201">
        <f t="shared" si="14"/>
        <v>1.5258097696120965E-2</v>
      </c>
    </row>
    <row r="104" spans="1:19">
      <c r="A104" s="196">
        <v>40116</v>
      </c>
      <c r="B104" s="122">
        <v>17.450001</v>
      </c>
      <c r="C104" s="122">
        <v>17.530000999999999</v>
      </c>
      <c r="D104" s="122">
        <v>16.77</v>
      </c>
      <c r="E104" s="122">
        <v>16.899999999999999</v>
      </c>
      <c r="F104" s="122">
        <v>10.656589</v>
      </c>
      <c r="G104" s="197">
        <v>157600</v>
      </c>
      <c r="H104" s="198">
        <f>IF(AND(E103&gt;=H103,E104&gt;=E103),E103*(1+'Trading Model'!$E$13),IF(AND(E104&lt;E103,E103&gt;=H103),E104*(1+'Trading Model'!$E$13),H103))</f>
        <v>18.868498950000003</v>
      </c>
      <c r="I104" s="198">
        <f>IF(K104&gt;0,E104*(1-'Trading Model'!E114),IF(E104&lt;I103,I103*(1-'Trading Model'!$E$14),I103))</f>
        <v>16.290124097499998</v>
      </c>
      <c r="J104" s="198">
        <f t="shared" si="15"/>
        <v>0</v>
      </c>
      <c r="K104" s="198">
        <f t="shared" si="10"/>
        <v>0</v>
      </c>
      <c r="L104" s="198">
        <f>COUNTIF(J104:K104,"&lt;&gt;0")*-'Trading Model'!$E$15</f>
        <v>0</v>
      </c>
      <c r="M104" s="198">
        <f t="shared" si="8"/>
        <v>0</v>
      </c>
      <c r="N104" s="75">
        <f t="shared" si="11"/>
        <v>12</v>
      </c>
      <c r="O104" s="202">
        <f t="shared" si="12"/>
        <v>0</v>
      </c>
      <c r="P104" s="199">
        <f t="shared" si="9"/>
        <v>0</v>
      </c>
      <c r="Q104" s="203">
        <f t="shared" si="13"/>
        <v>95.300000000000267</v>
      </c>
      <c r="R104" s="203" t="s">
        <v>55</v>
      </c>
      <c r="S104" s="201">
        <f t="shared" si="14"/>
        <v>-2.3121330816261998E-2</v>
      </c>
    </row>
    <row r="105" spans="1:19">
      <c r="A105" s="196">
        <v>40119</v>
      </c>
      <c r="B105" s="122">
        <v>17.07</v>
      </c>
      <c r="C105" s="122">
        <v>17.790001</v>
      </c>
      <c r="D105" s="122">
        <v>16.780000999999999</v>
      </c>
      <c r="E105" s="122">
        <v>17.73</v>
      </c>
      <c r="F105" s="122">
        <v>11.179959999999999</v>
      </c>
      <c r="G105" s="197">
        <v>137400</v>
      </c>
      <c r="H105" s="198">
        <f>IF(AND(E104&gt;=H104,E105&gt;=E104),E104*(1+'Trading Model'!$E$13),IF(AND(E105&lt;E104,E104&gt;=H104),E105*(1+'Trading Model'!$E$13),H104))</f>
        <v>18.868498950000003</v>
      </c>
      <c r="I105" s="198">
        <f>IF(K105&gt;0,E105*(1-'Trading Model'!E115),IF(E105&lt;I104,I104*(1-'Trading Model'!$E$14),I104))</f>
        <v>16.290124097499998</v>
      </c>
      <c r="J105" s="198">
        <f t="shared" si="15"/>
        <v>0</v>
      </c>
      <c r="K105" s="198">
        <f t="shared" si="10"/>
        <v>0</v>
      </c>
      <c r="L105" s="198">
        <f>COUNTIF(J105:K105,"&lt;&gt;0")*-'Trading Model'!$E$15</f>
        <v>0</v>
      </c>
      <c r="M105" s="198">
        <f t="shared" si="8"/>
        <v>0</v>
      </c>
      <c r="N105" s="75">
        <f t="shared" si="11"/>
        <v>12</v>
      </c>
      <c r="O105" s="202">
        <f t="shared" si="12"/>
        <v>0</v>
      </c>
      <c r="P105" s="199">
        <f t="shared" si="9"/>
        <v>0</v>
      </c>
      <c r="Q105" s="203">
        <f t="shared" si="13"/>
        <v>95.300000000000267</v>
      </c>
      <c r="R105" s="203" t="s">
        <v>55</v>
      </c>
      <c r="S105" s="201">
        <f t="shared" si="14"/>
        <v>4.9112426035503143E-2</v>
      </c>
    </row>
    <row r="106" spans="1:19">
      <c r="A106" s="196">
        <v>40120</v>
      </c>
      <c r="B106" s="122">
        <v>17.23</v>
      </c>
      <c r="C106" s="122">
        <v>17.559999000000001</v>
      </c>
      <c r="D106" s="122">
        <v>17.18</v>
      </c>
      <c r="E106" s="122">
        <v>17.389999</v>
      </c>
      <c r="F106" s="122">
        <v>10.965567999999999</v>
      </c>
      <c r="G106" s="197">
        <v>87900</v>
      </c>
      <c r="H106" s="198">
        <f>IF(AND(E105&gt;=H105,E106&gt;=E105),E105*(1+'Trading Model'!$E$13),IF(AND(E106&lt;E105,E105&gt;=H105),E106*(1+'Trading Model'!$E$13),H105))</f>
        <v>18.868498950000003</v>
      </c>
      <c r="I106" s="198">
        <f>IF(K106&gt;0,E106*(1-'Trading Model'!E116),IF(E106&lt;I105,I105*(1-'Trading Model'!$E$14),I105))</f>
        <v>16.290124097499998</v>
      </c>
      <c r="J106" s="198">
        <f t="shared" si="15"/>
        <v>0</v>
      </c>
      <c r="K106" s="198">
        <f t="shared" si="10"/>
        <v>0</v>
      </c>
      <c r="L106" s="198">
        <f>COUNTIF(J106:K106,"&lt;&gt;0")*-'Trading Model'!$E$15</f>
        <v>0</v>
      </c>
      <c r="M106" s="198">
        <f t="shared" si="8"/>
        <v>0</v>
      </c>
      <c r="N106" s="75">
        <f t="shared" si="11"/>
        <v>12</v>
      </c>
      <c r="O106" s="202">
        <f t="shared" si="12"/>
        <v>0</v>
      </c>
      <c r="P106" s="199">
        <f t="shared" si="9"/>
        <v>0</v>
      </c>
      <c r="Q106" s="203">
        <f t="shared" si="13"/>
        <v>95.200000000000273</v>
      </c>
      <c r="R106" s="203" t="s">
        <v>55</v>
      </c>
      <c r="S106" s="201">
        <f t="shared" si="14"/>
        <v>-1.9176593344613746E-2</v>
      </c>
    </row>
    <row r="107" spans="1:19">
      <c r="A107" s="196">
        <v>40121</v>
      </c>
      <c r="B107" s="122">
        <v>17.639999</v>
      </c>
      <c r="C107" s="122">
        <v>17.739999999999998</v>
      </c>
      <c r="D107" s="122">
        <v>17.290001</v>
      </c>
      <c r="E107" s="122">
        <v>17.350000000000001</v>
      </c>
      <c r="F107" s="122">
        <v>10.940344</v>
      </c>
      <c r="G107" s="197">
        <v>93400</v>
      </c>
      <c r="H107" s="198">
        <f>IF(AND(E106&gt;=H106,E107&gt;=E106),E106*(1+'Trading Model'!$E$13),IF(AND(E107&lt;E106,E106&gt;=H106),E107*(1+'Trading Model'!$E$13),H106))</f>
        <v>18.868498950000003</v>
      </c>
      <c r="I107" s="198">
        <f>IF(K107&gt;0,E107*(1-'Trading Model'!E117),IF(E107&lt;I106,I106*(1-'Trading Model'!$E$14),I106))</f>
        <v>16.290124097499998</v>
      </c>
      <c r="J107" s="198">
        <f t="shared" si="15"/>
        <v>0</v>
      </c>
      <c r="K107" s="198">
        <f t="shared" si="10"/>
        <v>0</v>
      </c>
      <c r="L107" s="198">
        <f>COUNTIF(J107:K107,"&lt;&gt;0")*-'Trading Model'!$E$15</f>
        <v>0</v>
      </c>
      <c r="M107" s="198">
        <f t="shared" si="8"/>
        <v>0</v>
      </c>
      <c r="N107" s="75">
        <f t="shared" si="11"/>
        <v>12</v>
      </c>
      <c r="O107" s="202">
        <f t="shared" si="12"/>
        <v>0</v>
      </c>
      <c r="P107" s="199">
        <f t="shared" si="9"/>
        <v>0</v>
      </c>
      <c r="Q107" s="203">
        <f t="shared" si="13"/>
        <v>95.100000000000279</v>
      </c>
      <c r="R107" s="201">
        <f>E107/B103-1</f>
        <v>1.2252101064883503E-2</v>
      </c>
      <c r="S107" s="201">
        <f t="shared" si="14"/>
        <v>-2.3001151408921228E-3</v>
      </c>
    </row>
    <row r="108" spans="1:19">
      <c r="A108" s="196">
        <v>40122</v>
      </c>
      <c r="B108" s="122">
        <v>17.129999000000002</v>
      </c>
      <c r="C108" s="122">
        <v>17.75</v>
      </c>
      <c r="D108" s="122">
        <v>16.959999</v>
      </c>
      <c r="E108" s="122">
        <v>17.510000000000002</v>
      </c>
      <c r="F108" s="122">
        <v>11.041233999999999</v>
      </c>
      <c r="G108" s="197">
        <v>352600</v>
      </c>
      <c r="H108" s="198">
        <f>IF(AND(E107&gt;=H107,E108&gt;=E107),E107*(1+'Trading Model'!$E$13),IF(AND(E108&lt;E107,E107&gt;=H107),E108*(1+'Trading Model'!$E$13),H107))</f>
        <v>18.868498950000003</v>
      </c>
      <c r="I108" s="198">
        <f>IF(K108&gt;0,E108*(1-'Trading Model'!E118),IF(E108&lt;I107,I107*(1-'Trading Model'!$E$14),I107))</f>
        <v>16.290124097499998</v>
      </c>
      <c r="J108" s="198">
        <f t="shared" si="15"/>
        <v>0</v>
      </c>
      <c r="K108" s="198">
        <f t="shared" si="10"/>
        <v>0</v>
      </c>
      <c r="L108" s="198">
        <f>COUNTIF(J108:K108,"&lt;&gt;0")*-'Trading Model'!$E$15</f>
        <v>0</v>
      </c>
      <c r="M108" s="198">
        <f t="shared" si="8"/>
        <v>0</v>
      </c>
      <c r="N108" s="75">
        <f t="shared" si="11"/>
        <v>12</v>
      </c>
      <c r="O108" s="202">
        <f t="shared" si="12"/>
        <v>0</v>
      </c>
      <c r="P108" s="199">
        <f t="shared" si="9"/>
        <v>0</v>
      </c>
      <c r="Q108" s="203">
        <f t="shared" si="13"/>
        <v>95.100000000000279</v>
      </c>
      <c r="R108" s="160" t="s">
        <v>55</v>
      </c>
      <c r="S108" s="201">
        <f t="shared" si="14"/>
        <v>9.221902017291006E-3</v>
      </c>
    </row>
    <row r="109" spans="1:19">
      <c r="A109" s="196">
        <v>40123</v>
      </c>
      <c r="B109" s="122">
        <v>17.32</v>
      </c>
      <c r="C109" s="122">
        <v>17.790001</v>
      </c>
      <c r="D109" s="122">
        <v>17.079999999999998</v>
      </c>
      <c r="E109" s="122">
        <v>17.170000000000002</v>
      </c>
      <c r="F109" s="122">
        <v>10.826841</v>
      </c>
      <c r="G109" s="197">
        <v>82800</v>
      </c>
      <c r="H109" s="198">
        <f>IF(AND(E108&gt;=H108,E109&gt;=E108),E108*(1+'Trading Model'!$E$13),IF(AND(E109&lt;E108,E108&gt;=H108),E109*(1+'Trading Model'!$E$13),H108))</f>
        <v>18.868498950000003</v>
      </c>
      <c r="I109" s="198">
        <f>IF(K109&gt;0,E109*(1-'Trading Model'!E119),IF(E109&lt;I108,I108*(1-'Trading Model'!$E$14),I108))</f>
        <v>16.290124097499998</v>
      </c>
      <c r="J109" s="198">
        <f t="shared" si="15"/>
        <v>0</v>
      </c>
      <c r="K109" s="198">
        <f t="shared" si="10"/>
        <v>0</v>
      </c>
      <c r="L109" s="198">
        <f>COUNTIF(J109:K109,"&lt;&gt;0")*-'Trading Model'!$E$15</f>
        <v>0</v>
      </c>
      <c r="M109" s="198">
        <f t="shared" si="8"/>
        <v>0</v>
      </c>
      <c r="N109" s="75">
        <f t="shared" si="11"/>
        <v>12</v>
      </c>
      <c r="O109" s="202">
        <f t="shared" si="12"/>
        <v>0</v>
      </c>
      <c r="P109" s="199">
        <f t="shared" si="9"/>
        <v>0</v>
      </c>
      <c r="Q109" s="203">
        <f t="shared" si="13"/>
        <v>95.000000000000284</v>
      </c>
      <c r="R109" s="203" t="s">
        <v>55</v>
      </c>
      <c r="S109" s="201">
        <f t="shared" si="14"/>
        <v>-1.9417475728155331E-2</v>
      </c>
    </row>
    <row r="110" spans="1:19">
      <c r="A110" s="196">
        <v>40126</v>
      </c>
      <c r="B110" s="122">
        <v>17.5</v>
      </c>
      <c r="C110" s="122">
        <v>17.860001</v>
      </c>
      <c r="D110" s="122">
        <v>17.23</v>
      </c>
      <c r="E110" s="122">
        <v>17.649999999999999</v>
      </c>
      <c r="F110" s="122">
        <v>11.129512999999999</v>
      </c>
      <c r="G110" s="197">
        <v>70800</v>
      </c>
      <c r="H110" s="198">
        <f>IF(AND(E109&gt;=H109,E110&gt;=E109),E109*(1+'Trading Model'!$E$13),IF(AND(E110&lt;E109,E109&gt;=H109),E110*(1+'Trading Model'!$E$13),H109))</f>
        <v>18.868498950000003</v>
      </c>
      <c r="I110" s="198">
        <f>IF(K110&gt;0,E110*(1-'Trading Model'!E120),IF(E110&lt;I109,I109*(1-'Trading Model'!$E$14),I109))</f>
        <v>16.290124097499998</v>
      </c>
      <c r="J110" s="198">
        <f t="shared" si="15"/>
        <v>0</v>
      </c>
      <c r="K110" s="198">
        <f t="shared" si="10"/>
        <v>0</v>
      </c>
      <c r="L110" s="198">
        <f>COUNTIF(J110:K110,"&lt;&gt;0")*-'Trading Model'!$E$15</f>
        <v>0</v>
      </c>
      <c r="M110" s="198">
        <f t="shared" si="8"/>
        <v>0</v>
      </c>
      <c r="N110" s="75">
        <f t="shared" si="11"/>
        <v>12</v>
      </c>
      <c r="O110" s="202">
        <f t="shared" si="12"/>
        <v>0</v>
      </c>
      <c r="P110" s="199">
        <f t="shared" si="9"/>
        <v>0</v>
      </c>
      <c r="Q110" s="203">
        <f t="shared" si="13"/>
        <v>95.000000000000284</v>
      </c>
      <c r="R110" s="203" t="s">
        <v>55</v>
      </c>
      <c r="S110" s="201">
        <f t="shared" si="14"/>
        <v>2.795573675014551E-2</v>
      </c>
    </row>
    <row r="111" spans="1:19">
      <c r="A111" s="196">
        <v>40127</v>
      </c>
      <c r="B111" s="122">
        <v>17.920000000000002</v>
      </c>
      <c r="C111" s="122">
        <v>17.920000000000002</v>
      </c>
      <c r="D111" s="122">
        <v>17.459999</v>
      </c>
      <c r="E111" s="122">
        <v>17.48</v>
      </c>
      <c r="F111" s="122">
        <v>11.022316999999999</v>
      </c>
      <c r="G111" s="197">
        <v>90100</v>
      </c>
      <c r="H111" s="198">
        <f>IF(AND(E110&gt;=H110,E111&gt;=E110),E110*(1+'Trading Model'!$E$13),IF(AND(E111&lt;E110,E110&gt;=H110),E111*(1+'Trading Model'!$E$13),H110))</f>
        <v>18.868498950000003</v>
      </c>
      <c r="I111" s="198">
        <f>IF(K111&gt;0,E111*(1-'Trading Model'!E121),IF(E111&lt;I110,I110*(1-'Trading Model'!$E$14),I110))</f>
        <v>16.290124097499998</v>
      </c>
      <c r="J111" s="198">
        <f t="shared" si="15"/>
        <v>0</v>
      </c>
      <c r="K111" s="198">
        <f t="shared" si="10"/>
        <v>0</v>
      </c>
      <c r="L111" s="198">
        <f>COUNTIF(J111:K111,"&lt;&gt;0")*-'Trading Model'!$E$15</f>
        <v>0</v>
      </c>
      <c r="M111" s="198">
        <f t="shared" si="8"/>
        <v>0</v>
      </c>
      <c r="N111" s="75">
        <f t="shared" si="11"/>
        <v>12</v>
      </c>
      <c r="O111" s="202">
        <f t="shared" si="12"/>
        <v>0</v>
      </c>
      <c r="P111" s="199">
        <f t="shared" si="9"/>
        <v>0</v>
      </c>
      <c r="Q111" s="203">
        <f t="shared" si="13"/>
        <v>94.90000000000029</v>
      </c>
      <c r="R111" s="203" t="s">
        <v>55</v>
      </c>
      <c r="S111" s="201">
        <f t="shared" si="14"/>
        <v>-9.6317280453256382E-3</v>
      </c>
    </row>
    <row r="112" spans="1:19">
      <c r="A112" s="196">
        <v>40128</v>
      </c>
      <c r="B112" s="122">
        <v>17.389999</v>
      </c>
      <c r="C112" s="122">
        <v>17.700001</v>
      </c>
      <c r="D112" s="122">
        <v>17.27</v>
      </c>
      <c r="E112" s="122">
        <v>17.440000999999999</v>
      </c>
      <c r="F112" s="122">
        <v>10.997095</v>
      </c>
      <c r="G112" s="197">
        <v>115000</v>
      </c>
      <c r="H112" s="198">
        <f>IF(AND(E111&gt;=H111,E112&gt;=E111),E111*(1+'Trading Model'!$E$13),IF(AND(E112&lt;E111,E111&gt;=H111),E112*(1+'Trading Model'!$E$13),H111))</f>
        <v>18.868498950000003</v>
      </c>
      <c r="I112" s="198">
        <f>IF(K112&gt;0,E112*(1-'Trading Model'!E122),IF(E112&lt;I111,I111*(1-'Trading Model'!$E$14),I111))</f>
        <v>16.290124097499998</v>
      </c>
      <c r="J112" s="198">
        <f t="shared" si="15"/>
        <v>0</v>
      </c>
      <c r="K112" s="198">
        <f t="shared" si="10"/>
        <v>0</v>
      </c>
      <c r="L112" s="198">
        <f>COUNTIF(J112:K112,"&lt;&gt;0")*-'Trading Model'!$E$15</f>
        <v>0</v>
      </c>
      <c r="M112" s="198">
        <f t="shared" si="8"/>
        <v>0</v>
      </c>
      <c r="N112" s="75">
        <f t="shared" si="11"/>
        <v>12</v>
      </c>
      <c r="O112" s="202">
        <f t="shared" si="12"/>
        <v>0</v>
      </c>
      <c r="P112" s="199">
        <f t="shared" si="9"/>
        <v>0</v>
      </c>
      <c r="Q112" s="203">
        <f t="shared" si="13"/>
        <v>94.800000000000296</v>
      </c>
      <c r="R112" s="201">
        <f>E112/B108-1</f>
        <v>1.8097023823527181E-2</v>
      </c>
      <c r="S112" s="201">
        <f t="shared" si="14"/>
        <v>-2.2882723112128689E-3</v>
      </c>
    </row>
    <row r="113" spans="1:19">
      <c r="A113" s="196">
        <v>40129</v>
      </c>
      <c r="B113" s="122">
        <v>17.280000999999999</v>
      </c>
      <c r="C113" s="122">
        <v>17.579999999999998</v>
      </c>
      <c r="D113" s="122">
        <v>17.18</v>
      </c>
      <c r="E113" s="122">
        <v>17.459999</v>
      </c>
      <c r="F113" s="122">
        <v>11.009705</v>
      </c>
      <c r="G113" s="197">
        <v>102100</v>
      </c>
      <c r="H113" s="198">
        <f>IF(AND(E112&gt;=H112,E113&gt;=E112),E112*(1+'Trading Model'!$E$13),IF(AND(E113&lt;E112,E112&gt;=H112),E113*(1+'Trading Model'!$E$13),H112))</f>
        <v>18.868498950000003</v>
      </c>
      <c r="I113" s="198">
        <f>IF(K113&gt;0,E113*(1-'Trading Model'!E123),IF(E113&lt;I112,I112*(1-'Trading Model'!$E$14),I112))</f>
        <v>16.290124097499998</v>
      </c>
      <c r="J113" s="198">
        <f t="shared" si="15"/>
        <v>0</v>
      </c>
      <c r="K113" s="198">
        <f t="shared" si="10"/>
        <v>0</v>
      </c>
      <c r="L113" s="198">
        <f>COUNTIF(J113:K113,"&lt;&gt;0")*-'Trading Model'!$E$15</f>
        <v>0</v>
      </c>
      <c r="M113" s="198">
        <f t="shared" si="8"/>
        <v>0</v>
      </c>
      <c r="N113" s="75">
        <f t="shared" si="11"/>
        <v>12</v>
      </c>
      <c r="O113" s="202">
        <f t="shared" si="12"/>
        <v>0</v>
      </c>
      <c r="P113" s="199">
        <f t="shared" si="9"/>
        <v>0</v>
      </c>
      <c r="Q113" s="203">
        <f t="shared" si="13"/>
        <v>94.800000000000296</v>
      </c>
      <c r="R113" s="160" t="s">
        <v>55</v>
      </c>
      <c r="S113" s="201">
        <f t="shared" si="14"/>
        <v>1.1466742461769819E-3</v>
      </c>
    </row>
    <row r="114" spans="1:19">
      <c r="A114" s="196">
        <v>40130</v>
      </c>
      <c r="B114" s="122">
        <v>17.489999999999998</v>
      </c>
      <c r="C114" s="122">
        <v>17.59</v>
      </c>
      <c r="D114" s="122">
        <v>17.34</v>
      </c>
      <c r="E114" s="122">
        <v>17.530000999999999</v>
      </c>
      <c r="F114" s="122">
        <v>11.053846</v>
      </c>
      <c r="G114" s="197">
        <v>191200</v>
      </c>
      <c r="H114" s="198">
        <f>IF(AND(E113&gt;=H113,E114&gt;=E113),E113*(1+'Trading Model'!$E$13),IF(AND(E114&lt;E113,E113&gt;=H113),E114*(1+'Trading Model'!$E$13),H113))</f>
        <v>18.868498950000003</v>
      </c>
      <c r="I114" s="198">
        <f>IF(K114&gt;0,E114*(1-'Trading Model'!E124),IF(E114&lt;I113,I113*(1-'Trading Model'!$E$14),I113))</f>
        <v>16.290124097499998</v>
      </c>
      <c r="J114" s="198">
        <f t="shared" si="15"/>
        <v>0</v>
      </c>
      <c r="K114" s="198">
        <f t="shared" si="10"/>
        <v>0</v>
      </c>
      <c r="L114" s="198">
        <f>COUNTIF(J114:K114,"&lt;&gt;0")*-'Trading Model'!$E$15</f>
        <v>0</v>
      </c>
      <c r="M114" s="198">
        <f t="shared" si="8"/>
        <v>0</v>
      </c>
      <c r="N114" s="75">
        <f t="shared" si="11"/>
        <v>12</v>
      </c>
      <c r="O114" s="202">
        <f t="shared" si="12"/>
        <v>0</v>
      </c>
      <c r="P114" s="199">
        <f t="shared" si="9"/>
        <v>0</v>
      </c>
      <c r="Q114" s="203">
        <f t="shared" si="13"/>
        <v>94.800000000000296</v>
      </c>
      <c r="R114" s="203" t="s">
        <v>55</v>
      </c>
      <c r="S114" s="201">
        <f t="shared" si="14"/>
        <v>4.009278580141995E-3</v>
      </c>
    </row>
    <row r="115" spans="1:19">
      <c r="A115" s="196">
        <v>40133</v>
      </c>
      <c r="B115" s="122">
        <v>17.690000999999999</v>
      </c>
      <c r="C115" s="122">
        <v>17.760000000000002</v>
      </c>
      <c r="D115" s="122">
        <v>17.5</v>
      </c>
      <c r="E115" s="122">
        <v>17.629999000000002</v>
      </c>
      <c r="F115" s="122">
        <v>11.116902</v>
      </c>
      <c r="G115" s="197">
        <v>155900</v>
      </c>
      <c r="H115" s="198">
        <f>IF(AND(E114&gt;=H114,E115&gt;=E114),E114*(1+'Trading Model'!$E$13),IF(AND(E115&lt;E114,E114&gt;=H114),E115*(1+'Trading Model'!$E$13),H114))</f>
        <v>18.868498950000003</v>
      </c>
      <c r="I115" s="198">
        <f>IF(K115&gt;0,E115*(1-'Trading Model'!E125),IF(E115&lt;I114,I114*(1-'Trading Model'!$E$14),I114))</f>
        <v>16.290124097499998</v>
      </c>
      <c r="J115" s="198">
        <f t="shared" si="15"/>
        <v>0</v>
      </c>
      <c r="K115" s="198">
        <f t="shared" si="10"/>
        <v>0</v>
      </c>
      <c r="L115" s="198">
        <f>COUNTIF(J115:K115,"&lt;&gt;0")*-'Trading Model'!$E$15</f>
        <v>0</v>
      </c>
      <c r="M115" s="198">
        <f t="shared" si="8"/>
        <v>0</v>
      </c>
      <c r="N115" s="75">
        <f t="shared" si="11"/>
        <v>12</v>
      </c>
      <c r="O115" s="202">
        <f t="shared" si="12"/>
        <v>0</v>
      </c>
      <c r="P115" s="199">
        <f t="shared" si="9"/>
        <v>0</v>
      </c>
      <c r="Q115" s="203">
        <f t="shared" si="13"/>
        <v>94.800000000000296</v>
      </c>
      <c r="R115" s="203" t="s">
        <v>55</v>
      </c>
      <c r="S115" s="201">
        <f t="shared" si="14"/>
        <v>5.7043921446440216E-3</v>
      </c>
    </row>
    <row r="116" spans="1:19">
      <c r="A116" s="196">
        <v>40134</v>
      </c>
      <c r="B116" s="122">
        <v>17.549999</v>
      </c>
      <c r="C116" s="122">
        <v>17.59</v>
      </c>
      <c r="D116" s="122">
        <v>17.43</v>
      </c>
      <c r="E116" s="122">
        <v>17.52</v>
      </c>
      <c r="F116" s="122">
        <v>11.04754</v>
      </c>
      <c r="G116" s="197">
        <v>55600</v>
      </c>
      <c r="H116" s="198">
        <f>IF(AND(E115&gt;=H115,E116&gt;=E115),E115*(1+'Trading Model'!$E$13),IF(AND(E116&lt;E115,E115&gt;=H115),E116*(1+'Trading Model'!$E$13),H115))</f>
        <v>18.868498950000003</v>
      </c>
      <c r="I116" s="198">
        <f>IF(K116&gt;0,E116*(1-'Trading Model'!E126),IF(E116&lt;I115,I115*(1-'Trading Model'!$E$14),I115))</f>
        <v>16.290124097499998</v>
      </c>
      <c r="J116" s="198">
        <f t="shared" si="15"/>
        <v>0</v>
      </c>
      <c r="K116" s="198">
        <f t="shared" si="10"/>
        <v>0</v>
      </c>
      <c r="L116" s="198">
        <f>COUNTIF(J116:K116,"&lt;&gt;0")*-'Trading Model'!$E$15</f>
        <v>0</v>
      </c>
      <c r="M116" s="198">
        <f t="shared" si="8"/>
        <v>0</v>
      </c>
      <c r="N116" s="75">
        <f t="shared" si="11"/>
        <v>12</v>
      </c>
      <c r="O116" s="202">
        <f t="shared" si="12"/>
        <v>0</v>
      </c>
      <c r="P116" s="199">
        <f t="shared" si="9"/>
        <v>0</v>
      </c>
      <c r="Q116" s="203">
        <f t="shared" si="13"/>
        <v>94.700000000000301</v>
      </c>
      <c r="R116" s="203" t="s">
        <v>55</v>
      </c>
      <c r="S116" s="201">
        <f t="shared" si="14"/>
        <v>-6.2393083516341097E-3</v>
      </c>
    </row>
    <row r="117" spans="1:19">
      <c r="A117" s="196">
        <v>40135</v>
      </c>
      <c r="B117" s="122">
        <v>17.98</v>
      </c>
      <c r="C117" s="122">
        <v>17.98</v>
      </c>
      <c r="D117" s="122">
        <v>17.34</v>
      </c>
      <c r="E117" s="122">
        <v>17.510000000000002</v>
      </c>
      <c r="F117" s="122">
        <v>11.041233999999999</v>
      </c>
      <c r="G117" s="197">
        <v>121200</v>
      </c>
      <c r="H117" s="198">
        <f>IF(AND(E116&gt;=H116,E117&gt;=E116),E116*(1+'Trading Model'!$E$13),IF(AND(E117&lt;E116,E116&gt;=H116),E117*(1+'Trading Model'!$E$13),H116))</f>
        <v>18.868498950000003</v>
      </c>
      <c r="I117" s="198">
        <f>IF(K117&gt;0,E117*(1-'Trading Model'!E127),IF(E117&lt;I116,I116*(1-'Trading Model'!$E$14),I116))</f>
        <v>16.290124097499998</v>
      </c>
      <c r="J117" s="198">
        <f t="shared" si="15"/>
        <v>0</v>
      </c>
      <c r="K117" s="198">
        <f t="shared" si="10"/>
        <v>0</v>
      </c>
      <c r="L117" s="198">
        <f>COUNTIF(J117:K117,"&lt;&gt;0")*-'Trading Model'!$E$15</f>
        <v>0</v>
      </c>
      <c r="M117" s="198">
        <f t="shared" si="8"/>
        <v>0</v>
      </c>
      <c r="N117" s="75">
        <f t="shared" si="11"/>
        <v>12</v>
      </c>
      <c r="O117" s="202">
        <f t="shared" si="12"/>
        <v>0</v>
      </c>
      <c r="P117" s="199">
        <f t="shared" si="9"/>
        <v>0</v>
      </c>
      <c r="Q117" s="203">
        <f t="shared" si="13"/>
        <v>94.600000000000307</v>
      </c>
      <c r="R117" s="201">
        <f>E117/B113-1</f>
        <v>1.3310126544552991E-2</v>
      </c>
      <c r="S117" s="201">
        <f t="shared" si="14"/>
        <v>-5.7077625570767232E-4</v>
      </c>
    </row>
    <row r="118" spans="1:19">
      <c r="A118" s="196">
        <v>40136</v>
      </c>
      <c r="B118" s="122">
        <v>17.299999</v>
      </c>
      <c r="C118" s="122">
        <v>17.299999</v>
      </c>
      <c r="D118" s="122">
        <v>16.700001</v>
      </c>
      <c r="E118" s="122">
        <v>16.82</v>
      </c>
      <c r="F118" s="122">
        <v>10.606142</v>
      </c>
      <c r="G118" s="197">
        <v>291800</v>
      </c>
      <c r="H118" s="198">
        <f>IF(AND(E117&gt;=H117,E118&gt;=E117),E117*(1+'Trading Model'!$E$13),IF(AND(E118&lt;E117,E117&gt;=H117),E118*(1+'Trading Model'!$E$13),H117))</f>
        <v>18.868498950000003</v>
      </c>
      <c r="I118" s="198">
        <f>IF(K118&gt;0,E118*(1-'Trading Model'!E128),IF(E118&lt;I117,I117*(1-'Trading Model'!$E$14),I117))</f>
        <v>16.290124097499998</v>
      </c>
      <c r="J118" s="198">
        <f t="shared" si="15"/>
        <v>0</v>
      </c>
      <c r="K118" s="198">
        <f t="shared" si="10"/>
        <v>0</v>
      </c>
      <c r="L118" s="198">
        <f>COUNTIF(J118:K118,"&lt;&gt;0")*-'Trading Model'!$E$15</f>
        <v>0</v>
      </c>
      <c r="M118" s="198">
        <f t="shared" si="8"/>
        <v>0</v>
      </c>
      <c r="N118" s="75">
        <f t="shared" si="11"/>
        <v>12</v>
      </c>
      <c r="O118" s="202">
        <f t="shared" si="12"/>
        <v>0</v>
      </c>
      <c r="P118" s="199">
        <f t="shared" si="9"/>
        <v>0</v>
      </c>
      <c r="Q118" s="203">
        <f t="shared" si="13"/>
        <v>94.500000000000313</v>
      </c>
      <c r="R118" s="160" t="s">
        <v>55</v>
      </c>
      <c r="S118" s="201">
        <f t="shared" si="14"/>
        <v>-3.9406053683609388E-2</v>
      </c>
    </row>
    <row r="119" spans="1:19">
      <c r="A119" s="196">
        <v>40137</v>
      </c>
      <c r="B119" s="122">
        <v>16.43</v>
      </c>
      <c r="C119" s="122">
        <v>16.629999000000002</v>
      </c>
      <c r="D119" s="122">
        <v>16.010000000000002</v>
      </c>
      <c r="E119" s="122">
        <v>16.52</v>
      </c>
      <c r="F119" s="122">
        <v>10.416973</v>
      </c>
      <c r="G119" s="197">
        <v>287800</v>
      </c>
      <c r="H119" s="198">
        <f>IF(AND(E118&gt;=H118,E119&gt;=E118),E118*(1+'Trading Model'!$E$13),IF(AND(E119&lt;E118,E118&gt;=H118),E119*(1+'Trading Model'!$E$13),H118))</f>
        <v>18.868498950000003</v>
      </c>
      <c r="I119" s="198">
        <f>IF(K119&gt;0,E119*(1-'Trading Model'!E129),IF(E119&lt;I118,I118*(1-'Trading Model'!$E$14),I118))</f>
        <v>16.290124097499998</v>
      </c>
      <c r="J119" s="198">
        <f t="shared" si="15"/>
        <v>0</v>
      </c>
      <c r="K119" s="198">
        <f t="shared" si="10"/>
        <v>0</v>
      </c>
      <c r="L119" s="198">
        <f>COUNTIF(J119:K119,"&lt;&gt;0")*-'Trading Model'!$E$15</f>
        <v>0</v>
      </c>
      <c r="M119" s="198">
        <f t="shared" si="8"/>
        <v>0</v>
      </c>
      <c r="N119" s="75">
        <f t="shared" si="11"/>
        <v>12</v>
      </c>
      <c r="O119" s="202">
        <f t="shared" si="12"/>
        <v>0</v>
      </c>
      <c r="P119" s="199">
        <f t="shared" si="9"/>
        <v>0</v>
      </c>
      <c r="Q119" s="203">
        <f t="shared" si="13"/>
        <v>94.400000000000318</v>
      </c>
      <c r="R119" s="203" t="s">
        <v>55</v>
      </c>
      <c r="S119" s="201">
        <f t="shared" si="14"/>
        <v>-1.7835909631391256E-2</v>
      </c>
    </row>
    <row r="120" spans="1:19">
      <c r="A120" s="196">
        <v>40140</v>
      </c>
      <c r="B120" s="122">
        <v>16.620000999999998</v>
      </c>
      <c r="C120" s="122">
        <v>16.860001</v>
      </c>
      <c r="D120" s="122">
        <v>16.530000999999999</v>
      </c>
      <c r="E120" s="122">
        <v>16.690000999999999</v>
      </c>
      <c r="F120" s="122">
        <v>10.524171000000001</v>
      </c>
      <c r="G120" s="197">
        <v>110100</v>
      </c>
      <c r="H120" s="198">
        <f>IF(AND(E119&gt;=H119,E120&gt;=E119),E119*(1+'Trading Model'!$E$13),IF(AND(E120&lt;E119,E119&gt;=H119),E120*(1+'Trading Model'!$E$13),H119))</f>
        <v>18.868498950000003</v>
      </c>
      <c r="I120" s="198">
        <f>IF(K120&gt;0,E120*(1-'Trading Model'!E130),IF(E120&lt;I119,I119*(1-'Trading Model'!$E$14),I119))</f>
        <v>16.290124097499998</v>
      </c>
      <c r="J120" s="198">
        <f t="shared" si="15"/>
        <v>0</v>
      </c>
      <c r="K120" s="198">
        <f t="shared" si="10"/>
        <v>0</v>
      </c>
      <c r="L120" s="198">
        <f>COUNTIF(J120:K120,"&lt;&gt;0")*-'Trading Model'!$E$15</f>
        <v>0</v>
      </c>
      <c r="M120" s="198">
        <f t="shared" si="8"/>
        <v>0</v>
      </c>
      <c r="N120" s="75">
        <f t="shared" si="11"/>
        <v>12</v>
      </c>
      <c r="O120" s="202">
        <f t="shared" si="12"/>
        <v>0</v>
      </c>
      <c r="P120" s="199">
        <f t="shared" si="9"/>
        <v>0</v>
      </c>
      <c r="Q120" s="203">
        <f t="shared" si="13"/>
        <v>94.400000000000318</v>
      </c>
      <c r="R120" s="203" t="s">
        <v>55</v>
      </c>
      <c r="S120" s="201">
        <f t="shared" si="14"/>
        <v>1.0290617433414084E-2</v>
      </c>
    </row>
    <row r="121" spans="1:19">
      <c r="A121" s="196">
        <v>40141</v>
      </c>
      <c r="B121" s="122">
        <v>16.530000999999999</v>
      </c>
      <c r="C121" s="122">
        <v>16.969999000000001</v>
      </c>
      <c r="D121" s="122">
        <v>16.530000999999999</v>
      </c>
      <c r="E121" s="122">
        <v>16.91</v>
      </c>
      <c r="F121" s="122">
        <v>10.662893</v>
      </c>
      <c r="G121" s="197">
        <v>80300</v>
      </c>
      <c r="H121" s="198">
        <f>IF(AND(E120&gt;=H120,E121&gt;=E120),E120*(1+'Trading Model'!$E$13),IF(AND(E121&lt;E120,E120&gt;=H120),E121*(1+'Trading Model'!$E$13),H120))</f>
        <v>18.868498950000003</v>
      </c>
      <c r="I121" s="198">
        <f>IF(K121&gt;0,E121*(1-'Trading Model'!E131),IF(E121&lt;I120,I120*(1-'Trading Model'!$E$14),I120))</f>
        <v>16.290124097499998</v>
      </c>
      <c r="J121" s="198">
        <f t="shared" si="15"/>
        <v>0</v>
      </c>
      <c r="K121" s="198">
        <f t="shared" si="10"/>
        <v>0</v>
      </c>
      <c r="L121" s="198">
        <f>COUNTIF(J121:K121,"&lt;&gt;0")*-'Trading Model'!$E$15</f>
        <v>0</v>
      </c>
      <c r="M121" s="198">
        <f t="shared" si="8"/>
        <v>0</v>
      </c>
      <c r="N121" s="75">
        <f t="shared" si="11"/>
        <v>12</v>
      </c>
      <c r="O121" s="202">
        <f t="shared" si="12"/>
        <v>0</v>
      </c>
      <c r="P121" s="199">
        <f t="shared" si="9"/>
        <v>0</v>
      </c>
      <c r="Q121" s="203">
        <f t="shared" si="13"/>
        <v>94.400000000000318</v>
      </c>
      <c r="R121" s="203" t="s">
        <v>55</v>
      </c>
      <c r="S121" s="201">
        <f t="shared" si="14"/>
        <v>1.3181485129929005E-2</v>
      </c>
    </row>
    <row r="122" spans="1:19">
      <c r="A122" s="196">
        <v>40142</v>
      </c>
      <c r="B122" s="122">
        <v>17.100000000000001</v>
      </c>
      <c r="C122" s="122">
        <v>17.309999000000001</v>
      </c>
      <c r="D122" s="122">
        <v>16.860001</v>
      </c>
      <c r="E122" s="122">
        <v>17.049999</v>
      </c>
      <c r="F122" s="122">
        <v>10.751172</v>
      </c>
      <c r="G122" s="197">
        <v>103800</v>
      </c>
      <c r="H122" s="198">
        <f>IF(AND(E121&gt;=H121,E122&gt;=E121),E121*(1+'Trading Model'!$E$13),IF(AND(E122&lt;E121,E121&gt;=H121),E122*(1+'Trading Model'!$E$13),H121))</f>
        <v>18.868498950000003</v>
      </c>
      <c r="I122" s="198">
        <f>IF(K122&gt;0,E122*(1-'Trading Model'!E132),IF(E122&lt;I121,I121*(1-'Trading Model'!$E$14),I121))</f>
        <v>16.290124097499998</v>
      </c>
      <c r="J122" s="198">
        <f t="shared" si="15"/>
        <v>0</v>
      </c>
      <c r="K122" s="198">
        <f t="shared" si="10"/>
        <v>0</v>
      </c>
      <c r="L122" s="198">
        <f>COUNTIF(J122:K122,"&lt;&gt;0")*-'Trading Model'!$E$15</f>
        <v>0</v>
      </c>
      <c r="M122" s="198">
        <f t="shared" si="8"/>
        <v>0</v>
      </c>
      <c r="N122" s="75">
        <f t="shared" si="11"/>
        <v>12</v>
      </c>
      <c r="O122" s="202">
        <f t="shared" si="12"/>
        <v>0</v>
      </c>
      <c r="P122" s="199">
        <f t="shared" si="9"/>
        <v>0</v>
      </c>
      <c r="Q122" s="203">
        <f t="shared" si="13"/>
        <v>94.400000000000318</v>
      </c>
      <c r="R122" s="201">
        <f>E122/B118-1</f>
        <v>-1.4450867887333407E-2</v>
      </c>
      <c r="S122" s="201">
        <f t="shared" si="14"/>
        <v>8.2790656416320552E-3</v>
      </c>
    </row>
    <row r="123" spans="1:19">
      <c r="A123" s="196">
        <v>40144</v>
      </c>
      <c r="B123" s="122">
        <v>16.57</v>
      </c>
      <c r="C123" s="122">
        <v>16.77</v>
      </c>
      <c r="D123" s="122">
        <v>16.239999999999998</v>
      </c>
      <c r="E123" s="122">
        <v>16.510000000000002</v>
      </c>
      <c r="F123" s="122">
        <v>10.410666000000001</v>
      </c>
      <c r="G123" s="197">
        <v>81700</v>
      </c>
      <c r="H123" s="198">
        <f>IF(AND(E122&gt;=H122,E123&gt;=E122),E122*(1+'Trading Model'!$E$13),IF(AND(E123&lt;E122,E122&gt;=H122),E123*(1+'Trading Model'!$E$13),H122))</f>
        <v>18.868498950000003</v>
      </c>
      <c r="I123" s="198">
        <f>IF(K123&gt;0,E123*(1-'Trading Model'!E133),IF(E123&lt;I122,I122*(1-'Trading Model'!$E$14),I122))</f>
        <v>16.290124097499998</v>
      </c>
      <c r="J123" s="198">
        <f t="shared" si="15"/>
        <v>0</v>
      </c>
      <c r="K123" s="198">
        <f t="shared" si="10"/>
        <v>0</v>
      </c>
      <c r="L123" s="198">
        <f>COUNTIF(J123:K123,"&lt;&gt;0")*-'Trading Model'!$E$15</f>
        <v>0</v>
      </c>
      <c r="M123" s="198">
        <f t="shared" si="8"/>
        <v>0</v>
      </c>
      <c r="N123" s="75">
        <f t="shared" si="11"/>
        <v>12</v>
      </c>
      <c r="O123" s="202">
        <f t="shared" si="12"/>
        <v>0</v>
      </c>
      <c r="P123" s="199">
        <f t="shared" si="9"/>
        <v>0</v>
      </c>
      <c r="Q123" s="203">
        <f t="shared" si="13"/>
        <v>94.300000000000324</v>
      </c>
      <c r="R123" s="160" t="s">
        <v>55</v>
      </c>
      <c r="S123" s="201">
        <f t="shared" si="14"/>
        <v>-3.1671497458738762E-2</v>
      </c>
    </row>
    <row r="124" spans="1:19">
      <c r="A124" s="196">
        <v>40147</v>
      </c>
      <c r="B124" s="122">
        <v>16.5</v>
      </c>
      <c r="C124" s="122">
        <v>16.600000000000001</v>
      </c>
      <c r="D124" s="122">
        <v>16.079999999999998</v>
      </c>
      <c r="E124" s="122">
        <v>16.18</v>
      </c>
      <c r="F124" s="122">
        <v>10.202579</v>
      </c>
      <c r="G124" s="197">
        <v>106700</v>
      </c>
      <c r="H124" s="198">
        <f>IF(AND(E123&gt;=H123,E124&gt;=E123),E123*(1+'Trading Model'!$E$13),IF(AND(E124&lt;E123,E123&gt;=H123),E124*(1+'Trading Model'!$E$13),H123))</f>
        <v>18.868498950000003</v>
      </c>
      <c r="I124" s="198">
        <f>IF(K124&gt;0,E124*(1-'Trading Model'!E134),IF(E124&lt;I123,I123*(1-'Trading Model'!$E$14),I123))</f>
        <v>15.475617892624998</v>
      </c>
      <c r="J124" s="198">
        <f t="shared" si="15"/>
        <v>-16.18</v>
      </c>
      <c r="K124" s="198">
        <f t="shared" si="10"/>
        <v>0</v>
      </c>
      <c r="L124" s="198">
        <f>COUNTIF(J124:K124,"&lt;&gt;0")*-'Trading Model'!$E$15</f>
        <v>-0.1</v>
      </c>
      <c r="M124" s="198">
        <f t="shared" si="8"/>
        <v>-16.28</v>
      </c>
      <c r="N124" s="75">
        <f t="shared" si="11"/>
        <v>13</v>
      </c>
      <c r="O124" s="202">
        <f t="shared" si="12"/>
        <v>0</v>
      </c>
      <c r="P124" s="199">
        <f t="shared" si="9"/>
        <v>0</v>
      </c>
      <c r="Q124" s="203">
        <f t="shared" si="13"/>
        <v>94.20000000000033</v>
      </c>
      <c r="R124" s="203" t="s">
        <v>55</v>
      </c>
      <c r="S124" s="201">
        <f t="shared" si="14"/>
        <v>-1.9987886129618548E-2</v>
      </c>
    </row>
    <row r="125" spans="1:19">
      <c r="A125" s="196">
        <v>40148</v>
      </c>
      <c r="B125" s="122">
        <v>16.43</v>
      </c>
      <c r="C125" s="122">
        <v>16.73</v>
      </c>
      <c r="D125" s="122">
        <v>16</v>
      </c>
      <c r="E125" s="122">
        <v>16.030000999999999</v>
      </c>
      <c r="F125" s="122">
        <v>10.107995000000001</v>
      </c>
      <c r="G125" s="197">
        <v>117500</v>
      </c>
      <c r="H125" s="198">
        <f>IF(AND(E124&gt;=H124,E125&gt;=E124),E124*(1+'Trading Model'!$E$13),IF(AND(E125&lt;E124,E124&gt;=H124),E125*(1+'Trading Model'!$E$13),H124))</f>
        <v>18.868498950000003</v>
      </c>
      <c r="I125" s="198">
        <f>IF(K125&gt;0,E125*(1-'Trading Model'!E135),IF(E125&lt;I124,I124*(1-'Trading Model'!$E$14),I124))</f>
        <v>15.475617892624998</v>
      </c>
      <c r="J125" s="198">
        <f t="shared" si="15"/>
        <v>0</v>
      </c>
      <c r="K125" s="198">
        <f t="shared" si="10"/>
        <v>0</v>
      </c>
      <c r="L125" s="198">
        <f>COUNTIF(J125:K125,"&lt;&gt;0")*-'Trading Model'!$E$15</f>
        <v>0</v>
      </c>
      <c r="M125" s="198">
        <f t="shared" si="8"/>
        <v>0</v>
      </c>
      <c r="N125" s="75">
        <f t="shared" si="11"/>
        <v>13</v>
      </c>
      <c r="O125" s="202">
        <f t="shared" si="12"/>
        <v>0</v>
      </c>
      <c r="P125" s="199">
        <f t="shared" si="9"/>
        <v>0</v>
      </c>
      <c r="Q125" s="203">
        <f t="shared" si="13"/>
        <v>94.100000000000335</v>
      </c>
      <c r="R125" s="203" t="s">
        <v>55</v>
      </c>
      <c r="S125" s="201">
        <f t="shared" si="14"/>
        <v>-9.2706427688504789E-3</v>
      </c>
    </row>
    <row r="126" spans="1:19">
      <c r="A126" s="196">
        <v>40149</v>
      </c>
      <c r="B126" s="122">
        <v>16.209999</v>
      </c>
      <c r="C126" s="122">
        <v>16.709999</v>
      </c>
      <c r="D126" s="122">
        <v>16.190000999999999</v>
      </c>
      <c r="E126" s="122">
        <v>16.66</v>
      </c>
      <c r="F126" s="122">
        <v>10.505250999999999</v>
      </c>
      <c r="G126" s="197">
        <v>70100</v>
      </c>
      <c r="H126" s="198">
        <f>IF(AND(E125&gt;=H125,E126&gt;=E125),E125*(1+'Trading Model'!$E$13),IF(AND(E126&lt;E125,E125&gt;=H125),E126*(1+'Trading Model'!$E$13),H125))</f>
        <v>18.868498950000003</v>
      </c>
      <c r="I126" s="198">
        <f>IF(K126&gt;0,E126*(1-'Trading Model'!E136),IF(E126&lt;I125,I125*(1-'Trading Model'!$E$14),I125))</f>
        <v>15.475617892624998</v>
      </c>
      <c r="J126" s="198">
        <f t="shared" si="15"/>
        <v>0</v>
      </c>
      <c r="K126" s="198">
        <f t="shared" si="10"/>
        <v>0</v>
      </c>
      <c r="L126" s="198">
        <f>COUNTIF(J126:K126,"&lt;&gt;0")*-'Trading Model'!$E$15</f>
        <v>0</v>
      </c>
      <c r="M126" s="198">
        <f t="shared" si="8"/>
        <v>0</v>
      </c>
      <c r="N126" s="75">
        <f t="shared" si="11"/>
        <v>13</v>
      </c>
      <c r="O126" s="202">
        <f t="shared" si="12"/>
        <v>0</v>
      </c>
      <c r="P126" s="199">
        <f t="shared" si="9"/>
        <v>0</v>
      </c>
      <c r="Q126" s="203">
        <f t="shared" si="13"/>
        <v>94.100000000000335</v>
      </c>
      <c r="R126" s="203" t="s">
        <v>55</v>
      </c>
      <c r="S126" s="201">
        <f t="shared" si="14"/>
        <v>3.9301245208905655E-2</v>
      </c>
    </row>
    <row r="127" spans="1:19">
      <c r="A127" s="196">
        <v>40150</v>
      </c>
      <c r="B127" s="122">
        <v>16.629999000000002</v>
      </c>
      <c r="C127" s="122">
        <v>16.739999999999998</v>
      </c>
      <c r="D127" s="122">
        <v>16.440000999999999</v>
      </c>
      <c r="E127" s="122">
        <v>16.549999</v>
      </c>
      <c r="F127" s="122">
        <v>10.435889</v>
      </c>
      <c r="G127" s="197">
        <v>62000</v>
      </c>
      <c r="H127" s="198">
        <f>IF(AND(E126&gt;=H126,E127&gt;=E126),E126*(1+'Trading Model'!$E$13),IF(AND(E127&lt;E126,E126&gt;=H126),E127*(1+'Trading Model'!$E$13),H126))</f>
        <v>18.868498950000003</v>
      </c>
      <c r="I127" s="198">
        <f>IF(K127&gt;0,E127*(1-'Trading Model'!E137),IF(E127&lt;I126,I126*(1-'Trading Model'!$E$14),I126))</f>
        <v>15.475617892624998</v>
      </c>
      <c r="J127" s="198">
        <f t="shared" si="15"/>
        <v>0</v>
      </c>
      <c r="K127" s="198">
        <f t="shared" si="10"/>
        <v>0</v>
      </c>
      <c r="L127" s="198">
        <f>COUNTIF(J127:K127,"&lt;&gt;0")*-'Trading Model'!$E$15</f>
        <v>0</v>
      </c>
      <c r="M127" s="198">
        <f t="shared" si="8"/>
        <v>0</v>
      </c>
      <c r="N127" s="75">
        <f t="shared" si="11"/>
        <v>13</v>
      </c>
      <c r="O127" s="202">
        <f t="shared" si="12"/>
        <v>0</v>
      </c>
      <c r="P127" s="199">
        <f t="shared" si="9"/>
        <v>0</v>
      </c>
      <c r="Q127" s="203">
        <f t="shared" si="13"/>
        <v>94.000000000000341</v>
      </c>
      <c r="R127" s="201">
        <f>E127/B123-1</f>
        <v>-1.2070609535305143E-3</v>
      </c>
      <c r="S127" s="201">
        <f t="shared" si="14"/>
        <v>-6.6027010804321495E-3</v>
      </c>
    </row>
    <row r="128" spans="1:19">
      <c r="A128" s="196">
        <v>40151</v>
      </c>
      <c r="B128" s="122">
        <v>16.780000999999999</v>
      </c>
      <c r="C128" s="122">
        <v>16.780000999999999</v>
      </c>
      <c r="D128" s="122">
        <v>16.34</v>
      </c>
      <c r="E128" s="122">
        <v>16.629999000000002</v>
      </c>
      <c r="F128" s="122">
        <v>10.486336</v>
      </c>
      <c r="G128" s="197">
        <v>84100</v>
      </c>
      <c r="H128" s="198">
        <f>IF(AND(E127&gt;=H127,E128&gt;=E127),E127*(1+'Trading Model'!$E$13),IF(AND(E128&lt;E127,E127&gt;=H127),E128*(1+'Trading Model'!$E$13),H127))</f>
        <v>18.868498950000003</v>
      </c>
      <c r="I128" s="198">
        <f>IF(K128&gt;0,E128*(1-'Trading Model'!E138),IF(E128&lt;I127,I127*(1-'Trading Model'!$E$14),I127))</f>
        <v>15.475617892624998</v>
      </c>
      <c r="J128" s="198">
        <f t="shared" si="15"/>
        <v>0</v>
      </c>
      <c r="K128" s="198">
        <f t="shared" si="10"/>
        <v>0</v>
      </c>
      <c r="L128" s="198">
        <f>COUNTIF(J128:K128,"&lt;&gt;0")*-'Trading Model'!$E$15</f>
        <v>0</v>
      </c>
      <c r="M128" s="198">
        <f t="shared" si="8"/>
        <v>0</v>
      </c>
      <c r="N128" s="75">
        <f t="shared" si="11"/>
        <v>13</v>
      </c>
      <c r="O128" s="202">
        <f t="shared" si="12"/>
        <v>0</v>
      </c>
      <c r="P128" s="199">
        <f t="shared" si="9"/>
        <v>0</v>
      </c>
      <c r="Q128" s="203">
        <f t="shared" si="13"/>
        <v>94.000000000000341</v>
      </c>
      <c r="R128" s="160" t="s">
        <v>55</v>
      </c>
      <c r="S128" s="201">
        <f t="shared" si="14"/>
        <v>4.8338371500808996E-3</v>
      </c>
    </row>
    <row r="129" spans="1:19">
      <c r="A129" s="196">
        <v>40154</v>
      </c>
      <c r="B129" s="122">
        <v>16.600000000000001</v>
      </c>
      <c r="C129" s="122">
        <v>16.639999</v>
      </c>
      <c r="D129" s="122">
        <v>16.52</v>
      </c>
      <c r="E129" s="122">
        <v>16.639999</v>
      </c>
      <c r="F129" s="122">
        <v>10.49264</v>
      </c>
      <c r="G129" s="197">
        <v>70600</v>
      </c>
      <c r="H129" s="198">
        <f>IF(AND(E128&gt;=H128,E129&gt;=E128),E128*(1+'Trading Model'!$E$13),IF(AND(E129&lt;E128,E128&gt;=H128),E129*(1+'Trading Model'!$E$13),H128))</f>
        <v>18.868498950000003</v>
      </c>
      <c r="I129" s="198">
        <f>IF(K129&gt;0,E129*(1-'Trading Model'!E139),IF(E129&lt;I128,I128*(1-'Trading Model'!$E$14),I128))</f>
        <v>15.475617892624998</v>
      </c>
      <c r="J129" s="198">
        <f t="shared" si="15"/>
        <v>0</v>
      </c>
      <c r="K129" s="198">
        <f t="shared" si="10"/>
        <v>0</v>
      </c>
      <c r="L129" s="198">
        <f>COUNTIF(J129:K129,"&lt;&gt;0")*-'Trading Model'!$E$15</f>
        <v>0</v>
      </c>
      <c r="M129" s="198">
        <f t="shared" si="8"/>
        <v>0</v>
      </c>
      <c r="N129" s="75">
        <f t="shared" si="11"/>
        <v>13</v>
      </c>
      <c r="O129" s="202">
        <f t="shared" si="12"/>
        <v>0</v>
      </c>
      <c r="P129" s="199">
        <f t="shared" si="9"/>
        <v>0</v>
      </c>
      <c r="Q129" s="203">
        <f t="shared" si="13"/>
        <v>94.000000000000341</v>
      </c>
      <c r="R129" s="203" t="s">
        <v>55</v>
      </c>
      <c r="S129" s="201">
        <f t="shared" si="14"/>
        <v>6.0132294656178864E-4</v>
      </c>
    </row>
    <row r="130" spans="1:19">
      <c r="A130" s="196">
        <v>40155</v>
      </c>
      <c r="B130" s="122">
        <v>16.57</v>
      </c>
      <c r="C130" s="122">
        <v>16.66</v>
      </c>
      <c r="D130" s="122">
        <v>16.27</v>
      </c>
      <c r="E130" s="122">
        <v>16.309999000000001</v>
      </c>
      <c r="F130" s="122">
        <v>10.284556</v>
      </c>
      <c r="G130" s="197">
        <v>55900</v>
      </c>
      <c r="H130" s="198">
        <f>IF(AND(E129&gt;=H129,E130&gt;=E129),E129*(1+'Trading Model'!$E$13),IF(AND(E130&lt;E129,E129&gt;=H129),E130*(1+'Trading Model'!$E$13),H129))</f>
        <v>18.868498950000003</v>
      </c>
      <c r="I130" s="198">
        <f>IF(K130&gt;0,E130*(1-'Trading Model'!E140),IF(E130&lt;I129,I129*(1-'Trading Model'!$E$14),I129))</f>
        <v>15.475617892624998</v>
      </c>
      <c r="J130" s="198">
        <f t="shared" si="15"/>
        <v>0</v>
      </c>
      <c r="K130" s="198">
        <f t="shared" si="10"/>
        <v>0</v>
      </c>
      <c r="L130" s="198">
        <f>COUNTIF(J130:K130,"&lt;&gt;0")*-'Trading Model'!$E$15</f>
        <v>0</v>
      </c>
      <c r="M130" s="198">
        <f t="shared" si="8"/>
        <v>0</v>
      </c>
      <c r="N130" s="75">
        <f t="shared" si="11"/>
        <v>13</v>
      </c>
      <c r="O130" s="202">
        <f t="shared" si="12"/>
        <v>0</v>
      </c>
      <c r="P130" s="199">
        <f t="shared" si="9"/>
        <v>0</v>
      </c>
      <c r="Q130" s="203">
        <f t="shared" si="13"/>
        <v>93.900000000000347</v>
      </c>
      <c r="R130" s="203" t="s">
        <v>55</v>
      </c>
      <c r="S130" s="201">
        <f t="shared" si="14"/>
        <v>-1.9831731961041488E-2</v>
      </c>
    </row>
    <row r="131" spans="1:19">
      <c r="A131" s="196">
        <v>40156</v>
      </c>
      <c r="B131" s="122">
        <v>16.370000999999998</v>
      </c>
      <c r="C131" s="122">
        <v>16.379999000000002</v>
      </c>
      <c r="D131" s="122">
        <v>16.030000999999999</v>
      </c>
      <c r="E131" s="122">
        <v>16.379999000000002</v>
      </c>
      <c r="F131" s="122">
        <v>10.328694</v>
      </c>
      <c r="G131" s="197">
        <v>106500</v>
      </c>
      <c r="H131" s="198">
        <f>IF(AND(E130&gt;=H130,E131&gt;=E130),E130*(1+'Trading Model'!$E$13),IF(AND(E131&lt;E130,E130&gt;=H130),E131*(1+'Trading Model'!$E$13),H130))</f>
        <v>18.868498950000003</v>
      </c>
      <c r="I131" s="198">
        <f>IF(K131&gt;0,E131*(1-'Trading Model'!E141),IF(E131&lt;I130,I130*(1-'Trading Model'!$E$14),I130))</f>
        <v>15.475617892624998</v>
      </c>
      <c r="J131" s="198">
        <f t="shared" si="15"/>
        <v>0</v>
      </c>
      <c r="K131" s="198">
        <f t="shared" si="10"/>
        <v>0</v>
      </c>
      <c r="L131" s="198">
        <f>COUNTIF(J131:K131,"&lt;&gt;0")*-'Trading Model'!$E$15</f>
        <v>0</v>
      </c>
      <c r="M131" s="198">
        <f t="shared" ref="M131:M194" si="16">SUM(J131:L131)</f>
        <v>0</v>
      </c>
      <c r="N131" s="75">
        <f t="shared" si="11"/>
        <v>13</v>
      </c>
      <c r="O131" s="202">
        <f t="shared" si="12"/>
        <v>0</v>
      </c>
      <c r="P131" s="199">
        <f t="shared" ref="P131:P194" si="17">IFERROR(VLOOKUP(A131,Dividends,2,FALSE),$U$1)</f>
        <v>0</v>
      </c>
      <c r="Q131" s="203">
        <f t="shared" si="13"/>
        <v>93.900000000000347</v>
      </c>
      <c r="R131" s="203" t="s">
        <v>55</v>
      </c>
      <c r="S131" s="201">
        <f t="shared" si="14"/>
        <v>4.2918457567042712E-3</v>
      </c>
    </row>
    <row r="132" spans="1:19">
      <c r="A132" s="196">
        <v>40157</v>
      </c>
      <c r="B132" s="122">
        <v>16.629999000000002</v>
      </c>
      <c r="C132" s="122">
        <v>16.629999000000002</v>
      </c>
      <c r="D132" s="122">
        <v>16.290001</v>
      </c>
      <c r="E132" s="122">
        <v>16.450001</v>
      </c>
      <c r="F132" s="122">
        <v>10.372833999999999</v>
      </c>
      <c r="G132" s="197">
        <v>70800</v>
      </c>
      <c r="H132" s="198">
        <f>IF(AND(E131&gt;=H131,E132&gt;=E131),E131*(1+'Trading Model'!$E$13),IF(AND(E132&lt;E131,E131&gt;=H131),E132*(1+'Trading Model'!$E$13),H131))</f>
        <v>18.868498950000003</v>
      </c>
      <c r="I132" s="198">
        <f>IF(K132&gt;0,E132*(1-'Trading Model'!E142),IF(E132&lt;I131,I131*(1-'Trading Model'!$E$14),I131))</f>
        <v>15.475617892624998</v>
      </c>
      <c r="J132" s="198">
        <f t="shared" si="15"/>
        <v>0</v>
      </c>
      <c r="K132" s="198">
        <f t="shared" ref="K132:K195" si="18">IF(E132&gt;=H132,E132,0)</f>
        <v>0</v>
      </c>
      <c r="L132" s="198">
        <f>COUNTIF(J132:K132,"&lt;&gt;0")*-'Trading Model'!$E$15</f>
        <v>0</v>
      </c>
      <c r="M132" s="198">
        <f t="shared" si="16"/>
        <v>0</v>
      </c>
      <c r="N132" s="75">
        <f t="shared" ref="N132:N195" si="19">IF(AND(J132&lt;0,K132&gt;0),N131,(IF(J132&lt;0,N131+1,IF(K132&gt;0,N131+1,N131))))</f>
        <v>13</v>
      </c>
      <c r="O132" s="202">
        <f t="shared" ref="O132:O195" si="20">P132</f>
        <v>0</v>
      </c>
      <c r="P132" s="199">
        <f t="shared" si="17"/>
        <v>0</v>
      </c>
      <c r="Q132" s="203">
        <f t="shared" ref="Q132:Q195" si="21">IF(E132&lt;E131,Q131-0.1,Q131)</f>
        <v>93.900000000000347</v>
      </c>
      <c r="R132" s="201">
        <f>E132/B128-1</f>
        <v>-1.9666268196289027E-2</v>
      </c>
      <c r="S132" s="201">
        <f t="shared" ref="S132:S195" si="22">E132/E131-1</f>
        <v>4.2736266345315688E-3</v>
      </c>
    </row>
    <row r="133" spans="1:19">
      <c r="A133" s="196">
        <v>40158</v>
      </c>
      <c r="B133" s="122">
        <v>16.399999999999999</v>
      </c>
      <c r="C133" s="122">
        <v>16.530000999999999</v>
      </c>
      <c r="D133" s="122">
        <v>16.27</v>
      </c>
      <c r="E133" s="122">
        <v>16.389999</v>
      </c>
      <c r="F133" s="122">
        <v>10.334997</v>
      </c>
      <c r="G133" s="197">
        <v>63700</v>
      </c>
      <c r="H133" s="198">
        <f>IF(AND(E132&gt;=H132,E133&gt;=E132),E132*(1+'Trading Model'!$E$13),IF(AND(E133&lt;E132,E132&gt;=H132),E133*(1+'Trading Model'!$E$13),H132))</f>
        <v>18.868498950000003</v>
      </c>
      <c r="I133" s="198">
        <f>IF(K133&gt;0,E133*(1-'Trading Model'!E143),IF(E133&lt;I132,I132*(1-'Trading Model'!$E$14),I132))</f>
        <v>15.475617892624998</v>
      </c>
      <c r="J133" s="198">
        <f t="shared" ref="J133:J196" si="23">IF(E133&gt;=H133,-E133,IF(E133&lt;=I132,-E133,0))</f>
        <v>0</v>
      </c>
      <c r="K133" s="198">
        <f t="shared" si="18"/>
        <v>0</v>
      </c>
      <c r="L133" s="198">
        <f>COUNTIF(J133:K133,"&lt;&gt;0")*-'Trading Model'!$E$15</f>
        <v>0</v>
      </c>
      <c r="M133" s="198">
        <f t="shared" si="16"/>
        <v>0</v>
      </c>
      <c r="N133" s="75">
        <f t="shared" si="19"/>
        <v>13</v>
      </c>
      <c r="O133" s="202">
        <f t="shared" si="20"/>
        <v>0</v>
      </c>
      <c r="P133" s="199">
        <f t="shared" si="17"/>
        <v>0</v>
      </c>
      <c r="Q133" s="203">
        <f t="shared" si="21"/>
        <v>93.800000000000352</v>
      </c>
      <c r="R133" s="160" t="s">
        <v>55</v>
      </c>
      <c r="S133" s="201">
        <f t="shared" si="22"/>
        <v>-3.6475377721861824E-3</v>
      </c>
    </row>
    <row r="134" spans="1:19">
      <c r="A134" s="196">
        <v>40161</v>
      </c>
      <c r="B134" s="122">
        <v>16.600000000000001</v>
      </c>
      <c r="C134" s="122">
        <v>16.700001</v>
      </c>
      <c r="D134" s="122">
        <v>16.530000999999999</v>
      </c>
      <c r="E134" s="122">
        <v>16.559999000000001</v>
      </c>
      <c r="F134" s="122">
        <v>10.442195999999999</v>
      </c>
      <c r="G134" s="197">
        <v>63600</v>
      </c>
      <c r="H134" s="198">
        <f>IF(AND(E133&gt;=H133,E134&gt;=E133),E133*(1+'Trading Model'!$E$13),IF(AND(E134&lt;E133,E133&gt;=H133),E134*(1+'Trading Model'!$E$13),H133))</f>
        <v>18.868498950000003</v>
      </c>
      <c r="I134" s="198">
        <f>IF(K134&gt;0,E134*(1-'Trading Model'!E144),IF(E134&lt;I133,I133*(1-'Trading Model'!$E$14),I133))</f>
        <v>15.475617892624998</v>
      </c>
      <c r="J134" s="198">
        <f t="shared" si="23"/>
        <v>0</v>
      </c>
      <c r="K134" s="198">
        <f t="shared" si="18"/>
        <v>0</v>
      </c>
      <c r="L134" s="198">
        <f>COUNTIF(J134:K134,"&lt;&gt;0")*-'Trading Model'!$E$15</f>
        <v>0</v>
      </c>
      <c r="M134" s="198">
        <f t="shared" si="16"/>
        <v>0</v>
      </c>
      <c r="N134" s="75">
        <f t="shared" si="19"/>
        <v>13</v>
      </c>
      <c r="O134" s="202">
        <f t="shared" si="20"/>
        <v>0</v>
      </c>
      <c r="P134" s="199">
        <f t="shared" si="17"/>
        <v>0</v>
      </c>
      <c r="Q134" s="203">
        <f t="shared" si="21"/>
        <v>93.800000000000352</v>
      </c>
      <c r="R134" s="203" t="s">
        <v>55</v>
      </c>
      <c r="S134" s="201">
        <f t="shared" si="22"/>
        <v>1.0372178790248876E-2</v>
      </c>
    </row>
    <row r="135" spans="1:19">
      <c r="A135" s="196">
        <v>40162</v>
      </c>
      <c r="B135" s="122">
        <v>16.530000999999999</v>
      </c>
      <c r="C135" s="122">
        <v>16.690000999999999</v>
      </c>
      <c r="D135" s="122">
        <v>16.389999</v>
      </c>
      <c r="E135" s="122">
        <v>16.5</v>
      </c>
      <c r="F135" s="122">
        <v>10.404363</v>
      </c>
      <c r="G135" s="197">
        <v>87500</v>
      </c>
      <c r="H135" s="198">
        <f>IF(AND(E134&gt;=H134,E135&gt;=E134),E134*(1+'Trading Model'!$E$13),IF(AND(E135&lt;E134,E134&gt;=H134),E135*(1+'Trading Model'!$E$13),H134))</f>
        <v>18.868498950000003</v>
      </c>
      <c r="I135" s="198">
        <f>IF(K135&gt;0,E135*(1-'Trading Model'!E145),IF(E135&lt;I134,I134*(1-'Trading Model'!$E$14),I134))</f>
        <v>15.475617892624998</v>
      </c>
      <c r="J135" s="198">
        <f t="shared" si="23"/>
        <v>0</v>
      </c>
      <c r="K135" s="198">
        <f t="shared" si="18"/>
        <v>0</v>
      </c>
      <c r="L135" s="198">
        <f>COUNTIF(J135:K135,"&lt;&gt;0")*-'Trading Model'!$E$15</f>
        <v>0</v>
      </c>
      <c r="M135" s="198">
        <f t="shared" si="16"/>
        <v>0</v>
      </c>
      <c r="N135" s="75">
        <f t="shared" si="19"/>
        <v>13</v>
      </c>
      <c r="O135" s="202">
        <f t="shared" si="20"/>
        <v>0</v>
      </c>
      <c r="P135" s="199">
        <f t="shared" si="17"/>
        <v>0</v>
      </c>
      <c r="Q135" s="203">
        <f t="shared" si="21"/>
        <v>93.700000000000358</v>
      </c>
      <c r="R135" s="203" t="s">
        <v>55</v>
      </c>
      <c r="S135" s="201">
        <f t="shared" si="22"/>
        <v>-3.623128238111728E-3</v>
      </c>
    </row>
    <row r="136" spans="1:19">
      <c r="A136" s="196">
        <v>40163</v>
      </c>
      <c r="B136" s="122">
        <v>16.489999999999998</v>
      </c>
      <c r="C136" s="122">
        <v>16.75</v>
      </c>
      <c r="D136" s="122">
        <v>16.290001</v>
      </c>
      <c r="E136" s="122">
        <v>16.59</v>
      </c>
      <c r="F136" s="122">
        <v>10.461114</v>
      </c>
      <c r="G136" s="197">
        <v>94000</v>
      </c>
      <c r="H136" s="198">
        <f>IF(AND(E135&gt;=H135,E136&gt;=E135),E135*(1+'Trading Model'!$E$13),IF(AND(E136&lt;E135,E135&gt;=H135),E136*(1+'Trading Model'!$E$13),H135))</f>
        <v>18.868498950000003</v>
      </c>
      <c r="I136" s="198">
        <f>IF(K136&gt;0,E136*(1-'Trading Model'!E146),IF(E136&lt;I135,I135*(1-'Trading Model'!$E$14),I135))</f>
        <v>15.475617892624998</v>
      </c>
      <c r="J136" s="198">
        <f t="shared" si="23"/>
        <v>0</v>
      </c>
      <c r="K136" s="198">
        <f t="shared" si="18"/>
        <v>0</v>
      </c>
      <c r="L136" s="198">
        <f>COUNTIF(J136:K136,"&lt;&gt;0")*-'Trading Model'!$E$15</f>
        <v>0</v>
      </c>
      <c r="M136" s="198">
        <f t="shared" si="16"/>
        <v>0</v>
      </c>
      <c r="N136" s="75">
        <f t="shared" si="19"/>
        <v>13</v>
      </c>
      <c r="O136" s="202">
        <f t="shared" si="20"/>
        <v>0</v>
      </c>
      <c r="P136" s="199">
        <f t="shared" si="17"/>
        <v>0</v>
      </c>
      <c r="Q136" s="203">
        <f t="shared" si="21"/>
        <v>93.700000000000358</v>
      </c>
      <c r="R136" s="203" t="s">
        <v>55</v>
      </c>
      <c r="S136" s="201">
        <f t="shared" si="22"/>
        <v>5.4545454545453786E-3</v>
      </c>
    </row>
    <row r="137" spans="1:19">
      <c r="A137" s="196">
        <v>40164</v>
      </c>
      <c r="B137" s="122">
        <v>16.450001</v>
      </c>
      <c r="C137" s="122">
        <v>16.579999999999998</v>
      </c>
      <c r="D137" s="122">
        <v>16.27</v>
      </c>
      <c r="E137" s="122">
        <v>16.41</v>
      </c>
      <c r="F137" s="122">
        <v>10.347611000000001</v>
      </c>
      <c r="G137" s="197">
        <v>39600</v>
      </c>
      <c r="H137" s="198">
        <f>IF(AND(E136&gt;=H136,E137&gt;=E136),E136*(1+'Trading Model'!$E$13),IF(AND(E137&lt;E136,E136&gt;=H136),E137*(1+'Trading Model'!$E$13),H136))</f>
        <v>18.868498950000003</v>
      </c>
      <c r="I137" s="198">
        <f>IF(K137&gt;0,E137*(1-'Trading Model'!E147),IF(E137&lt;I136,I136*(1-'Trading Model'!$E$14),I136))</f>
        <v>15.475617892624998</v>
      </c>
      <c r="J137" s="198">
        <f t="shared" si="23"/>
        <v>0</v>
      </c>
      <c r="K137" s="198">
        <f t="shared" si="18"/>
        <v>0</v>
      </c>
      <c r="L137" s="198">
        <f>COUNTIF(J137:K137,"&lt;&gt;0")*-'Trading Model'!$E$15</f>
        <v>0</v>
      </c>
      <c r="M137" s="198">
        <f t="shared" si="16"/>
        <v>0</v>
      </c>
      <c r="N137" s="75">
        <f t="shared" si="19"/>
        <v>13</v>
      </c>
      <c r="O137" s="202">
        <f t="shared" si="20"/>
        <v>0</v>
      </c>
      <c r="P137" s="199">
        <f t="shared" si="17"/>
        <v>0</v>
      </c>
      <c r="Q137" s="203">
        <f t="shared" si="21"/>
        <v>93.600000000000364</v>
      </c>
      <c r="R137" s="201">
        <f>E137/B133-1</f>
        <v>6.0975609756108717E-4</v>
      </c>
      <c r="S137" s="201">
        <f t="shared" si="22"/>
        <v>-1.0849909584086825E-2</v>
      </c>
    </row>
    <row r="138" spans="1:19">
      <c r="A138" s="196">
        <v>40165</v>
      </c>
      <c r="B138" s="122">
        <v>16.489999999999998</v>
      </c>
      <c r="C138" s="122">
        <v>16.579999999999998</v>
      </c>
      <c r="D138" s="122">
        <v>16.07</v>
      </c>
      <c r="E138" s="122">
        <v>16.190000999999999</v>
      </c>
      <c r="F138" s="122">
        <v>10.208887000000001</v>
      </c>
      <c r="G138" s="197">
        <v>37700</v>
      </c>
      <c r="H138" s="198">
        <f>IF(AND(E137&gt;=H137,E138&gt;=E137),E137*(1+'Trading Model'!$E$13),IF(AND(E138&lt;E137,E137&gt;=H137),E138*(1+'Trading Model'!$E$13),H137))</f>
        <v>18.868498950000003</v>
      </c>
      <c r="I138" s="198">
        <f>IF(K138&gt;0,E138*(1-'Trading Model'!E148),IF(E138&lt;I137,I137*(1-'Trading Model'!$E$14),I137))</f>
        <v>15.475617892624998</v>
      </c>
      <c r="J138" s="198">
        <f t="shared" si="23"/>
        <v>0</v>
      </c>
      <c r="K138" s="198">
        <f t="shared" si="18"/>
        <v>0</v>
      </c>
      <c r="L138" s="198">
        <f>COUNTIF(J138:K138,"&lt;&gt;0")*-'Trading Model'!$E$15</f>
        <v>0</v>
      </c>
      <c r="M138" s="198">
        <f t="shared" si="16"/>
        <v>0</v>
      </c>
      <c r="N138" s="75">
        <f t="shared" si="19"/>
        <v>13</v>
      </c>
      <c r="O138" s="202">
        <f t="shared" si="20"/>
        <v>0</v>
      </c>
      <c r="P138" s="199">
        <f t="shared" si="17"/>
        <v>0</v>
      </c>
      <c r="Q138" s="203">
        <f t="shared" si="21"/>
        <v>93.500000000000369</v>
      </c>
      <c r="R138" s="160" t="s">
        <v>55</v>
      </c>
      <c r="S138" s="201">
        <f t="shared" si="22"/>
        <v>-1.3406398537477271E-2</v>
      </c>
    </row>
    <row r="139" spans="1:19">
      <c r="A139" s="196">
        <v>40168</v>
      </c>
      <c r="B139" s="122">
        <v>16.239999999999998</v>
      </c>
      <c r="C139" s="122">
        <v>16.5</v>
      </c>
      <c r="D139" s="122">
        <v>16.23</v>
      </c>
      <c r="E139" s="122">
        <v>16.420000000000002</v>
      </c>
      <c r="F139" s="122">
        <v>10.353916</v>
      </c>
      <c r="G139" s="197">
        <v>77900</v>
      </c>
      <c r="H139" s="198">
        <f>IF(AND(E138&gt;=H138,E139&gt;=E138),E138*(1+'Trading Model'!$E$13),IF(AND(E139&lt;E138,E138&gt;=H138),E139*(1+'Trading Model'!$E$13),H138))</f>
        <v>18.868498950000003</v>
      </c>
      <c r="I139" s="198">
        <f>IF(K139&gt;0,E139*(1-'Trading Model'!E149),IF(E139&lt;I138,I138*(1-'Trading Model'!$E$14),I138))</f>
        <v>15.475617892624998</v>
      </c>
      <c r="J139" s="198">
        <f t="shared" si="23"/>
        <v>0</v>
      </c>
      <c r="K139" s="198">
        <f t="shared" si="18"/>
        <v>0</v>
      </c>
      <c r="L139" s="198">
        <f>COUNTIF(J139:K139,"&lt;&gt;0")*-'Trading Model'!$E$15</f>
        <v>0</v>
      </c>
      <c r="M139" s="198">
        <f t="shared" si="16"/>
        <v>0</v>
      </c>
      <c r="N139" s="75">
        <f t="shared" si="19"/>
        <v>13</v>
      </c>
      <c r="O139" s="202">
        <f t="shared" si="20"/>
        <v>0</v>
      </c>
      <c r="P139" s="199">
        <f t="shared" si="17"/>
        <v>0</v>
      </c>
      <c r="Q139" s="203">
        <f t="shared" si="21"/>
        <v>93.500000000000369</v>
      </c>
      <c r="R139" s="203" t="s">
        <v>55</v>
      </c>
      <c r="S139" s="201">
        <f t="shared" si="22"/>
        <v>1.4206237541307232E-2</v>
      </c>
    </row>
    <row r="140" spans="1:19">
      <c r="A140" s="196">
        <v>40169</v>
      </c>
      <c r="B140" s="122">
        <v>16.389999</v>
      </c>
      <c r="C140" s="122">
        <v>16.600000000000001</v>
      </c>
      <c r="D140" s="122">
        <v>16.100000000000001</v>
      </c>
      <c r="E140" s="122">
        <v>16.600000000000001</v>
      </c>
      <c r="F140" s="122">
        <v>10.467418</v>
      </c>
      <c r="G140" s="197">
        <v>103000</v>
      </c>
      <c r="H140" s="198">
        <f>IF(AND(E139&gt;=H139,E140&gt;=E139),E139*(1+'Trading Model'!$E$13),IF(AND(E140&lt;E139,E139&gt;=H139),E140*(1+'Trading Model'!$E$13),H139))</f>
        <v>18.868498950000003</v>
      </c>
      <c r="I140" s="198">
        <f>IF(K140&gt;0,E140*(1-'Trading Model'!E150),IF(E140&lt;I139,I139*(1-'Trading Model'!$E$14),I139))</f>
        <v>15.475617892624998</v>
      </c>
      <c r="J140" s="198">
        <f t="shared" si="23"/>
        <v>0</v>
      </c>
      <c r="K140" s="198">
        <f t="shared" si="18"/>
        <v>0</v>
      </c>
      <c r="L140" s="198">
        <f>COUNTIF(J140:K140,"&lt;&gt;0")*-'Trading Model'!$E$15</f>
        <v>0</v>
      </c>
      <c r="M140" s="198">
        <f t="shared" si="16"/>
        <v>0</v>
      </c>
      <c r="N140" s="75">
        <f t="shared" si="19"/>
        <v>13</v>
      </c>
      <c r="O140" s="202">
        <f t="shared" si="20"/>
        <v>0</v>
      </c>
      <c r="P140" s="199">
        <f t="shared" si="17"/>
        <v>0</v>
      </c>
      <c r="Q140" s="203">
        <f t="shared" si="21"/>
        <v>93.500000000000369</v>
      </c>
      <c r="R140" s="203" t="s">
        <v>55</v>
      </c>
      <c r="S140" s="201">
        <f t="shared" si="22"/>
        <v>1.0962241169305775E-2</v>
      </c>
    </row>
    <row r="141" spans="1:19">
      <c r="A141" s="196">
        <v>40170</v>
      </c>
      <c r="B141" s="122">
        <v>16.57</v>
      </c>
      <c r="C141" s="122">
        <v>16.579999999999998</v>
      </c>
      <c r="D141" s="122">
        <v>16.120000999999998</v>
      </c>
      <c r="E141" s="122">
        <v>16.399999999999999</v>
      </c>
      <c r="F141" s="122">
        <v>10.341305999999999</v>
      </c>
      <c r="G141" s="197">
        <v>85600</v>
      </c>
      <c r="H141" s="198">
        <f>IF(AND(E140&gt;=H140,E141&gt;=E140),E140*(1+'Trading Model'!$E$13),IF(AND(E141&lt;E140,E140&gt;=H140),E141*(1+'Trading Model'!$E$13),H140))</f>
        <v>18.868498950000003</v>
      </c>
      <c r="I141" s="198">
        <f>IF(K141&gt;0,E141*(1-'Trading Model'!E151),IF(E141&lt;I140,I140*(1-'Trading Model'!$E$14),I140))</f>
        <v>15.475617892624998</v>
      </c>
      <c r="J141" s="198">
        <f t="shared" si="23"/>
        <v>0</v>
      </c>
      <c r="K141" s="198">
        <f t="shared" si="18"/>
        <v>0</v>
      </c>
      <c r="L141" s="198">
        <f>COUNTIF(J141:K141,"&lt;&gt;0")*-'Trading Model'!$E$15</f>
        <v>0</v>
      </c>
      <c r="M141" s="198">
        <f t="shared" si="16"/>
        <v>0</v>
      </c>
      <c r="N141" s="75">
        <f t="shared" si="19"/>
        <v>13</v>
      </c>
      <c r="O141" s="202">
        <f t="shared" si="20"/>
        <v>0</v>
      </c>
      <c r="P141" s="199">
        <f t="shared" si="17"/>
        <v>0</v>
      </c>
      <c r="Q141" s="203">
        <f t="shared" si="21"/>
        <v>93.400000000000375</v>
      </c>
      <c r="R141" s="203" t="s">
        <v>55</v>
      </c>
      <c r="S141" s="201">
        <f t="shared" si="22"/>
        <v>-1.2048192771084487E-2</v>
      </c>
    </row>
    <row r="142" spans="1:19">
      <c r="A142" s="196">
        <v>40171</v>
      </c>
      <c r="B142" s="122">
        <v>16.5</v>
      </c>
      <c r="C142" s="122">
        <v>16.530000999999999</v>
      </c>
      <c r="D142" s="122">
        <v>16.200001</v>
      </c>
      <c r="E142" s="122">
        <v>16.239999999999998</v>
      </c>
      <c r="F142" s="122">
        <v>10.240415</v>
      </c>
      <c r="G142" s="197">
        <v>23400</v>
      </c>
      <c r="H142" s="198">
        <f>IF(AND(E141&gt;=H141,E142&gt;=E141),E141*(1+'Trading Model'!$E$13),IF(AND(E142&lt;E141,E141&gt;=H141),E142*(1+'Trading Model'!$E$13),H141))</f>
        <v>18.868498950000003</v>
      </c>
      <c r="I142" s="198">
        <f>IF(K142&gt;0,E142*(1-'Trading Model'!E152),IF(E142&lt;I141,I141*(1-'Trading Model'!$E$14),I141))</f>
        <v>15.475617892624998</v>
      </c>
      <c r="J142" s="198">
        <f t="shared" si="23"/>
        <v>0</v>
      </c>
      <c r="K142" s="198">
        <f t="shared" si="18"/>
        <v>0</v>
      </c>
      <c r="L142" s="198">
        <f>COUNTIF(J142:K142,"&lt;&gt;0")*-'Trading Model'!$E$15</f>
        <v>0</v>
      </c>
      <c r="M142" s="198">
        <f t="shared" si="16"/>
        <v>0</v>
      </c>
      <c r="N142" s="75">
        <f t="shared" si="19"/>
        <v>13</v>
      </c>
      <c r="O142" s="202">
        <f t="shared" si="20"/>
        <v>0</v>
      </c>
      <c r="P142" s="199">
        <f t="shared" si="17"/>
        <v>0</v>
      </c>
      <c r="Q142" s="203">
        <f t="shared" si="21"/>
        <v>93.300000000000381</v>
      </c>
      <c r="R142" s="201">
        <f>E142/B138-1</f>
        <v>-1.5160703456640334E-2</v>
      </c>
      <c r="S142" s="201">
        <f t="shared" si="22"/>
        <v>-9.7560975609756184E-3</v>
      </c>
    </row>
    <row r="143" spans="1:19">
      <c r="A143" s="196">
        <v>40175</v>
      </c>
      <c r="B143" s="122">
        <v>16.350000000000001</v>
      </c>
      <c r="C143" s="122">
        <v>16.450001</v>
      </c>
      <c r="D143" s="122">
        <v>16.190000999999999</v>
      </c>
      <c r="E143" s="122">
        <v>16.209999</v>
      </c>
      <c r="F143" s="122">
        <v>10.221496</v>
      </c>
      <c r="G143" s="197">
        <v>60000</v>
      </c>
      <c r="H143" s="198">
        <f>IF(AND(E142&gt;=H142,E143&gt;=E142),E142*(1+'Trading Model'!$E$13),IF(AND(E143&lt;E142,E142&gt;=H142),E143*(1+'Trading Model'!$E$13),H142))</f>
        <v>18.868498950000003</v>
      </c>
      <c r="I143" s="198">
        <f>IF(K143&gt;0,E143*(1-'Trading Model'!E153),IF(E143&lt;I142,I142*(1-'Trading Model'!$E$14),I142))</f>
        <v>15.475617892624998</v>
      </c>
      <c r="J143" s="198">
        <f t="shared" si="23"/>
        <v>0</v>
      </c>
      <c r="K143" s="198">
        <f t="shared" si="18"/>
        <v>0</v>
      </c>
      <c r="L143" s="198">
        <f>COUNTIF(J143:K143,"&lt;&gt;0")*-'Trading Model'!$E$15</f>
        <v>0</v>
      </c>
      <c r="M143" s="198">
        <f t="shared" si="16"/>
        <v>0</v>
      </c>
      <c r="N143" s="75">
        <f t="shared" si="19"/>
        <v>13</v>
      </c>
      <c r="O143" s="202">
        <f t="shared" si="20"/>
        <v>0</v>
      </c>
      <c r="P143" s="199">
        <f t="shared" si="17"/>
        <v>0</v>
      </c>
      <c r="Q143" s="203">
        <f t="shared" si="21"/>
        <v>93.200000000000387</v>
      </c>
      <c r="R143" s="160" t="s">
        <v>55</v>
      </c>
      <c r="S143" s="201">
        <f t="shared" si="22"/>
        <v>-1.8473522167486989E-3</v>
      </c>
    </row>
    <row r="144" spans="1:19">
      <c r="A144" s="196">
        <v>40176</v>
      </c>
      <c r="B144" s="122">
        <v>16.370000999999998</v>
      </c>
      <c r="C144" s="122">
        <v>16.370000999999998</v>
      </c>
      <c r="D144" s="122">
        <v>16.18</v>
      </c>
      <c r="E144" s="122">
        <v>16.219999000000001</v>
      </c>
      <c r="F144" s="122">
        <v>10.227802000000001</v>
      </c>
      <c r="G144" s="197">
        <v>148500</v>
      </c>
      <c r="H144" s="198">
        <f>IF(AND(E143&gt;=H143,E144&gt;=E143),E143*(1+'Trading Model'!$E$13),IF(AND(E144&lt;E143,E143&gt;=H143),E144*(1+'Trading Model'!$E$13),H143))</f>
        <v>18.868498950000003</v>
      </c>
      <c r="I144" s="198">
        <f>IF(K144&gt;0,E144*(1-'Trading Model'!E154),IF(E144&lt;I143,I143*(1-'Trading Model'!$E$14),I143))</f>
        <v>15.475617892624998</v>
      </c>
      <c r="J144" s="198">
        <f t="shared" si="23"/>
        <v>0</v>
      </c>
      <c r="K144" s="198">
        <f t="shared" si="18"/>
        <v>0</v>
      </c>
      <c r="L144" s="198">
        <f>COUNTIF(J144:K144,"&lt;&gt;0")*-'Trading Model'!$E$15</f>
        <v>0</v>
      </c>
      <c r="M144" s="198">
        <f t="shared" si="16"/>
        <v>0</v>
      </c>
      <c r="N144" s="75">
        <f t="shared" si="19"/>
        <v>13</v>
      </c>
      <c r="O144" s="202">
        <f t="shared" si="20"/>
        <v>0</v>
      </c>
      <c r="P144" s="199">
        <f t="shared" si="17"/>
        <v>0</v>
      </c>
      <c r="Q144" s="203">
        <f t="shared" si="21"/>
        <v>93.200000000000387</v>
      </c>
      <c r="R144" s="203" t="s">
        <v>55</v>
      </c>
      <c r="S144" s="201">
        <f t="shared" si="22"/>
        <v>6.1690318426310675E-4</v>
      </c>
    </row>
    <row r="145" spans="1:19">
      <c r="A145" s="196">
        <v>40177</v>
      </c>
      <c r="B145" s="122">
        <v>16.100000000000001</v>
      </c>
      <c r="C145" s="122">
        <v>16.639999</v>
      </c>
      <c r="D145" s="122">
        <v>16.100000000000001</v>
      </c>
      <c r="E145" s="122">
        <v>16.620000999999998</v>
      </c>
      <c r="F145" s="122">
        <v>10.480029999999999</v>
      </c>
      <c r="G145" s="197">
        <v>110500</v>
      </c>
      <c r="H145" s="198">
        <f>IF(AND(E144&gt;=H144,E145&gt;=E144),E144*(1+'Trading Model'!$E$13),IF(AND(E145&lt;E144,E144&gt;=H144),E145*(1+'Trading Model'!$E$13),H144))</f>
        <v>18.868498950000003</v>
      </c>
      <c r="I145" s="198">
        <f>IF(K145&gt;0,E145*(1-'Trading Model'!E155),IF(E145&lt;I144,I144*(1-'Trading Model'!$E$14),I144))</f>
        <v>15.475617892624998</v>
      </c>
      <c r="J145" s="198">
        <f t="shared" si="23"/>
        <v>0</v>
      </c>
      <c r="K145" s="198">
        <f t="shared" si="18"/>
        <v>0</v>
      </c>
      <c r="L145" s="198">
        <f>COUNTIF(J145:K145,"&lt;&gt;0")*-'Trading Model'!$E$15</f>
        <v>0</v>
      </c>
      <c r="M145" s="198">
        <f t="shared" si="16"/>
        <v>0</v>
      </c>
      <c r="N145" s="75">
        <f t="shared" si="19"/>
        <v>13</v>
      </c>
      <c r="O145" s="202">
        <f t="shared" si="20"/>
        <v>0</v>
      </c>
      <c r="P145" s="199">
        <f t="shared" si="17"/>
        <v>0</v>
      </c>
      <c r="Q145" s="203">
        <f t="shared" si="21"/>
        <v>93.200000000000387</v>
      </c>
      <c r="R145" s="203" t="s">
        <v>55</v>
      </c>
      <c r="S145" s="201">
        <f t="shared" si="22"/>
        <v>2.4661037278732145E-2</v>
      </c>
    </row>
    <row r="146" spans="1:19">
      <c r="A146" s="196">
        <v>40178</v>
      </c>
      <c r="B146" s="122">
        <v>16.719999000000001</v>
      </c>
      <c r="C146" s="122">
        <v>17.120000999999998</v>
      </c>
      <c r="D146" s="122">
        <v>16.5</v>
      </c>
      <c r="E146" s="122">
        <v>16.82</v>
      </c>
      <c r="F146" s="122">
        <v>10.606142</v>
      </c>
      <c r="G146" s="197">
        <v>29600</v>
      </c>
      <c r="H146" s="198">
        <f>IF(AND(E145&gt;=H145,E146&gt;=E145),E145*(1+'Trading Model'!$E$13),IF(AND(E146&lt;E145,E145&gt;=H145),E146*(1+'Trading Model'!$E$13),H145))</f>
        <v>18.868498950000003</v>
      </c>
      <c r="I146" s="198">
        <f>IF(K146&gt;0,E146*(1-'Trading Model'!E156),IF(E146&lt;I145,I145*(1-'Trading Model'!$E$14),I145))</f>
        <v>15.475617892624998</v>
      </c>
      <c r="J146" s="198">
        <f t="shared" si="23"/>
        <v>0</v>
      </c>
      <c r="K146" s="198">
        <f t="shared" si="18"/>
        <v>0</v>
      </c>
      <c r="L146" s="198">
        <f>COUNTIF(J146:K146,"&lt;&gt;0")*-'Trading Model'!$E$15</f>
        <v>0</v>
      </c>
      <c r="M146" s="198">
        <f t="shared" si="16"/>
        <v>0</v>
      </c>
      <c r="N146" s="75">
        <f t="shared" si="19"/>
        <v>13</v>
      </c>
      <c r="O146" s="202">
        <f t="shared" si="20"/>
        <v>0</v>
      </c>
      <c r="P146" s="199">
        <f t="shared" si="17"/>
        <v>0</v>
      </c>
      <c r="Q146" s="203">
        <f t="shared" si="21"/>
        <v>93.200000000000387</v>
      </c>
      <c r="R146" s="203" t="s">
        <v>55</v>
      </c>
      <c r="S146" s="201">
        <f t="shared" si="22"/>
        <v>1.2033633451646653E-2</v>
      </c>
    </row>
    <row r="147" spans="1:19">
      <c r="A147" s="196">
        <v>40182</v>
      </c>
      <c r="B147" s="122">
        <v>17.209999</v>
      </c>
      <c r="C147" s="122">
        <v>18.120000999999998</v>
      </c>
      <c r="D147" s="122">
        <v>17.120000999999998</v>
      </c>
      <c r="E147" s="122">
        <v>18.110001</v>
      </c>
      <c r="F147" s="122">
        <v>11.419575</v>
      </c>
      <c r="G147" s="197">
        <v>142900</v>
      </c>
      <c r="H147" s="198">
        <f>IF(AND(E146&gt;=H146,E147&gt;=E146),E146*(1+'Trading Model'!$E$13),IF(AND(E147&lt;E146,E146&gt;=H146),E147*(1+'Trading Model'!$E$13),H146))</f>
        <v>18.868498950000003</v>
      </c>
      <c r="I147" s="198">
        <f>IF(K147&gt;0,E147*(1-'Trading Model'!E157),IF(E147&lt;I146,I146*(1-'Trading Model'!$E$14),I146))</f>
        <v>15.475617892624998</v>
      </c>
      <c r="J147" s="198">
        <f t="shared" si="23"/>
        <v>0</v>
      </c>
      <c r="K147" s="198">
        <f t="shared" si="18"/>
        <v>0</v>
      </c>
      <c r="L147" s="198">
        <f>COUNTIF(J147:K147,"&lt;&gt;0")*-'Trading Model'!$E$15</f>
        <v>0</v>
      </c>
      <c r="M147" s="198">
        <f t="shared" si="16"/>
        <v>0</v>
      </c>
      <c r="N147" s="75">
        <f t="shared" si="19"/>
        <v>13</v>
      </c>
      <c r="O147" s="202">
        <f t="shared" si="20"/>
        <v>0</v>
      </c>
      <c r="P147" s="199">
        <f t="shared" si="17"/>
        <v>0</v>
      </c>
      <c r="Q147" s="203">
        <f t="shared" si="21"/>
        <v>93.200000000000387</v>
      </c>
      <c r="R147" s="201">
        <f>E147/B143-1</f>
        <v>0.1076453211009174</v>
      </c>
      <c r="S147" s="201">
        <f t="shared" si="22"/>
        <v>7.6694470868014175E-2</v>
      </c>
    </row>
    <row r="148" spans="1:19">
      <c r="A148" s="196">
        <v>40183</v>
      </c>
      <c r="B148" s="122">
        <v>18.350000000000001</v>
      </c>
      <c r="C148" s="122">
        <v>18.98</v>
      </c>
      <c r="D148" s="122">
        <v>18.07</v>
      </c>
      <c r="E148" s="122">
        <v>18.43</v>
      </c>
      <c r="F148" s="122">
        <v>11.621356</v>
      </c>
      <c r="G148" s="197">
        <v>232000</v>
      </c>
      <c r="H148" s="198">
        <f>IF(AND(E147&gt;=H147,E148&gt;=E147),E147*(1+'Trading Model'!$E$13),IF(AND(E148&lt;E147,E147&gt;=H147),E148*(1+'Trading Model'!$E$13),H147))</f>
        <v>18.868498950000003</v>
      </c>
      <c r="I148" s="198">
        <f>IF(K148&gt;0,E148*(1-'Trading Model'!E158),IF(E148&lt;I147,I147*(1-'Trading Model'!$E$14),I147))</f>
        <v>15.475617892624998</v>
      </c>
      <c r="J148" s="198">
        <f t="shared" si="23"/>
        <v>0</v>
      </c>
      <c r="K148" s="198">
        <f t="shared" si="18"/>
        <v>0</v>
      </c>
      <c r="L148" s="198">
        <f>COUNTIF(J148:K148,"&lt;&gt;0")*-'Trading Model'!$E$15</f>
        <v>0</v>
      </c>
      <c r="M148" s="198">
        <f t="shared" si="16"/>
        <v>0</v>
      </c>
      <c r="N148" s="75">
        <f t="shared" si="19"/>
        <v>13</v>
      </c>
      <c r="O148" s="202">
        <f t="shared" si="20"/>
        <v>0</v>
      </c>
      <c r="P148" s="199">
        <f t="shared" si="17"/>
        <v>0</v>
      </c>
      <c r="Q148" s="203">
        <f t="shared" si="21"/>
        <v>93.200000000000387</v>
      </c>
      <c r="R148" s="160" t="s">
        <v>55</v>
      </c>
      <c r="S148" s="201">
        <f t="shared" si="22"/>
        <v>1.7669739499186043E-2</v>
      </c>
    </row>
    <row r="149" spans="1:19">
      <c r="A149" s="196">
        <v>40184</v>
      </c>
      <c r="B149" s="122">
        <v>18.440000999999999</v>
      </c>
      <c r="C149" s="122">
        <v>18.620000999999998</v>
      </c>
      <c r="D149" s="122">
        <v>17.920000000000002</v>
      </c>
      <c r="E149" s="122">
        <v>18.149999999999999</v>
      </c>
      <c r="F149" s="122">
        <v>11.444798</v>
      </c>
      <c r="G149" s="197">
        <v>84800</v>
      </c>
      <c r="H149" s="198">
        <f>IF(AND(E148&gt;=H148,E149&gt;=E148),E148*(1+'Trading Model'!$E$13),IF(AND(E149&lt;E148,E148&gt;=H148),E149*(1+'Trading Model'!$E$13),H148))</f>
        <v>18.868498950000003</v>
      </c>
      <c r="I149" s="198">
        <f>IF(K149&gt;0,E149*(1-'Trading Model'!E159),IF(E149&lt;I148,I148*(1-'Trading Model'!$E$14),I148))</f>
        <v>15.475617892624998</v>
      </c>
      <c r="J149" s="198">
        <f t="shared" si="23"/>
        <v>0</v>
      </c>
      <c r="K149" s="198">
        <f t="shared" si="18"/>
        <v>0</v>
      </c>
      <c r="L149" s="198">
        <f>COUNTIF(J149:K149,"&lt;&gt;0")*-'Trading Model'!$E$15</f>
        <v>0</v>
      </c>
      <c r="M149" s="198">
        <f t="shared" si="16"/>
        <v>0</v>
      </c>
      <c r="N149" s="75">
        <f t="shared" si="19"/>
        <v>13</v>
      </c>
      <c r="O149" s="202">
        <f t="shared" si="20"/>
        <v>0</v>
      </c>
      <c r="P149" s="199">
        <f t="shared" si="17"/>
        <v>0</v>
      </c>
      <c r="Q149" s="203">
        <f t="shared" si="21"/>
        <v>93.100000000000392</v>
      </c>
      <c r="R149" s="203" t="s">
        <v>55</v>
      </c>
      <c r="S149" s="201">
        <f t="shared" si="22"/>
        <v>-1.5192620727075501E-2</v>
      </c>
    </row>
    <row r="150" spans="1:19">
      <c r="A150" s="196">
        <v>40185</v>
      </c>
      <c r="B150" s="122">
        <v>18.049999</v>
      </c>
      <c r="C150" s="122">
        <v>18.27</v>
      </c>
      <c r="D150" s="122">
        <v>17.690000999999999</v>
      </c>
      <c r="E150" s="122">
        <v>18.239999999999998</v>
      </c>
      <c r="F150" s="122">
        <v>11.50155</v>
      </c>
      <c r="G150" s="197">
        <v>147900</v>
      </c>
      <c r="H150" s="198">
        <f>IF(AND(E149&gt;=H149,E150&gt;=E149),E149*(1+'Trading Model'!$E$13),IF(AND(E150&lt;E149,E149&gt;=H149),E150*(1+'Trading Model'!$E$13),H149))</f>
        <v>18.868498950000003</v>
      </c>
      <c r="I150" s="198">
        <f>IF(K150&gt;0,E150*(1-'Trading Model'!E160),IF(E150&lt;I149,I149*(1-'Trading Model'!$E$14),I149))</f>
        <v>15.475617892624998</v>
      </c>
      <c r="J150" s="198">
        <f t="shared" si="23"/>
        <v>0</v>
      </c>
      <c r="K150" s="198">
        <f t="shared" si="18"/>
        <v>0</v>
      </c>
      <c r="L150" s="198">
        <f>COUNTIF(J150:K150,"&lt;&gt;0")*-'Trading Model'!$E$15</f>
        <v>0</v>
      </c>
      <c r="M150" s="198">
        <f t="shared" si="16"/>
        <v>0</v>
      </c>
      <c r="N150" s="75">
        <f t="shared" si="19"/>
        <v>13</v>
      </c>
      <c r="O150" s="202">
        <f t="shared" si="20"/>
        <v>0</v>
      </c>
      <c r="P150" s="199">
        <f t="shared" si="17"/>
        <v>0</v>
      </c>
      <c r="Q150" s="203">
        <f t="shared" si="21"/>
        <v>93.100000000000392</v>
      </c>
      <c r="R150" s="203" t="s">
        <v>55</v>
      </c>
      <c r="S150" s="201">
        <f t="shared" si="22"/>
        <v>4.9586776859504855E-3</v>
      </c>
    </row>
    <row r="151" spans="1:19">
      <c r="A151" s="196">
        <v>40186</v>
      </c>
      <c r="B151" s="122">
        <v>18.100000000000001</v>
      </c>
      <c r="C151" s="122">
        <v>18.350000000000001</v>
      </c>
      <c r="D151" s="122">
        <v>17.829999999999998</v>
      </c>
      <c r="E151" s="122">
        <v>18.25</v>
      </c>
      <c r="F151" s="122">
        <v>11.507854</v>
      </c>
      <c r="G151" s="197">
        <v>100300</v>
      </c>
      <c r="H151" s="198">
        <f>IF(AND(E150&gt;=H150,E151&gt;=E150),E150*(1+'Trading Model'!$E$13),IF(AND(E151&lt;E150,E150&gt;=H150),E151*(1+'Trading Model'!$E$13),H150))</f>
        <v>18.868498950000003</v>
      </c>
      <c r="I151" s="198">
        <f>IF(K151&gt;0,E151*(1-'Trading Model'!E161),IF(E151&lt;I150,I150*(1-'Trading Model'!$E$14),I150))</f>
        <v>15.475617892624998</v>
      </c>
      <c r="J151" s="198">
        <f t="shared" si="23"/>
        <v>0</v>
      </c>
      <c r="K151" s="198">
        <f t="shared" si="18"/>
        <v>0</v>
      </c>
      <c r="L151" s="198">
        <f>COUNTIF(J151:K151,"&lt;&gt;0")*-'Trading Model'!$E$15</f>
        <v>0</v>
      </c>
      <c r="M151" s="198">
        <f t="shared" si="16"/>
        <v>0</v>
      </c>
      <c r="N151" s="75">
        <f t="shared" si="19"/>
        <v>13</v>
      </c>
      <c r="O151" s="202">
        <f t="shared" si="20"/>
        <v>0</v>
      </c>
      <c r="P151" s="199">
        <f t="shared" si="17"/>
        <v>0</v>
      </c>
      <c r="Q151" s="203">
        <f t="shared" si="21"/>
        <v>93.100000000000392</v>
      </c>
      <c r="R151" s="203" t="s">
        <v>55</v>
      </c>
      <c r="S151" s="201">
        <f t="shared" si="22"/>
        <v>5.482456140351033E-4</v>
      </c>
    </row>
    <row r="152" spans="1:19">
      <c r="A152" s="196">
        <v>40189</v>
      </c>
      <c r="B152" s="122">
        <v>18.190000999999999</v>
      </c>
      <c r="C152" s="122">
        <v>18.309999000000001</v>
      </c>
      <c r="D152" s="122">
        <v>18.079999999999998</v>
      </c>
      <c r="E152" s="122">
        <v>18.209999</v>
      </c>
      <c r="F152" s="122">
        <v>11.482632000000001</v>
      </c>
      <c r="G152" s="197">
        <v>118900</v>
      </c>
      <c r="H152" s="198">
        <f>IF(AND(E151&gt;=H151,E152&gt;=E151),E151*(1+'Trading Model'!$E$13),IF(AND(E152&lt;E151,E151&gt;=H151),E152*(1+'Trading Model'!$E$13),H151))</f>
        <v>18.868498950000003</v>
      </c>
      <c r="I152" s="198">
        <f>IF(K152&gt;0,E152*(1-'Trading Model'!E162),IF(E152&lt;I151,I151*(1-'Trading Model'!$E$14),I151))</f>
        <v>15.475617892624998</v>
      </c>
      <c r="J152" s="198">
        <f t="shared" si="23"/>
        <v>0</v>
      </c>
      <c r="K152" s="198">
        <f t="shared" si="18"/>
        <v>0</v>
      </c>
      <c r="L152" s="198">
        <f>COUNTIF(J152:K152,"&lt;&gt;0")*-'Trading Model'!$E$15</f>
        <v>0</v>
      </c>
      <c r="M152" s="198">
        <f t="shared" si="16"/>
        <v>0</v>
      </c>
      <c r="N152" s="75">
        <f t="shared" si="19"/>
        <v>13</v>
      </c>
      <c r="O152" s="202">
        <f t="shared" si="20"/>
        <v>0</v>
      </c>
      <c r="P152" s="199">
        <f t="shared" si="17"/>
        <v>0</v>
      </c>
      <c r="Q152" s="203">
        <f t="shared" si="21"/>
        <v>93.000000000000398</v>
      </c>
      <c r="R152" s="201">
        <f>E152/B148-1</f>
        <v>-7.6294822888284264E-3</v>
      </c>
      <c r="S152" s="201">
        <f t="shared" si="22"/>
        <v>-2.1918356164383201E-3</v>
      </c>
    </row>
    <row r="153" spans="1:19">
      <c r="A153" s="196">
        <v>40190</v>
      </c>
      <c r="B153" s="122">
        <v>18.030000999999999</v>
      </c>
      <c r="C153" s="122">
        <v>18.209999</v>
      </c>
      <c r="D153" s="122">
        <v>17.610001</v>
      </c>
      <c r="E153" s="122">
        <v>17.91</v>
      </c>
      <c r="F153" s="122">
        <v>11.293461000000001</v>
      </c>
      <c r="G153" s="197">
        <v>94200</v>
      </c>
      <c r="H153" s="198">
        <f>IF(AND(E152&gt;=H152,E153&gt;=E152),E152*(1+'Trading Model'!$E$13),IF(AND(E153&lt;E152,E152&gt;=H152),E153*(1+'Trading Model'!$E$13),H152))</f>
        <v>18.868498950000003</v>
      </c>
      <c r="I153" s="198">
        <f>IF(K153&gt;0,E153*(1-'Trading Model'!E163),IF(E153&lt;I152,I152*(1-'Trading Model'!$E$14),I152))</f>
        <v>15.475617892624998</v>
      </c>
      <c r="J153" s="198">
        <f t="shared" si="23"/>
        <v>0</v>
      </c>
      <c r="K153" s="198">
        <f t="shared" si="18"/>
        <v>0</v>
      </c>
      <c r="L153" s="198">
        <f>COUNTIF(J153:K153,"&lt;&gt;0")*-'Trading Model'!$E$15</f>
        <v>0</v>
      </c>
      <c r="M153" s="198">
        <f t="shared" si="16"/>
        <v>0</v>
      </c>
      <c r="N153" s="75">
        <f t="shared" si="19"/>
        <v>13</v>
      </c>
      <c r="O153" s="202">
        <f t="shared" si="20"/>
        <v>0</v>
      </c>
      <c r="P153" s="199">
        <f t="shared" si="17"/>
        <v>0</v>
      </c>
      <c r="Q153" s="203">
        <f t="shared" si="21"/>
        <v>92.900000000000404</v>
      </c>
      <c r="R153" s="160" t="s">
        <v>55</v>
      </c>
      <c r="S153" s="201">
        <f t="shared" si="22"/>
        <v>-1.6474410569709552E-2</v>
      </c>
    </row>
    <row r="154" spans="1:19">
      <c r="A154" s="196">
        <v>40191</v>
      </c>
      <c r="B154" s="122">
        <v>18</v>
      </c>
      <c r="C154" s="122">
        <v>18.25</v>
      </c>
      <c r="D154" s="122">
        <v>17.84</v>
      </c>
      <c r="E154" s="122">
        <v>18.23</v>
      </c>
      <c r="F154" s="122">
        <v>11.495241999999999</v>
      </c>
      <c r="G154" s="197">
        <v>154000</v>
      </c>
      <c r="H154" s="198">
        <f>IF(AND(E153&gt;=H153,E154&gt;=E153),E153*(1+'Trading Model'!$E$13),IF(AND(E154&lt;E153,E153&gt;=H153),E154*(1+'Trading Model'!$E$13),H153))</f>
        <v>18.868498950000003</v>
      </c>
      <c r="I154" s="198">
        <f>IF(K154&gt;0,E154*(1-'Trading Model'!E164),IF(E154&lt;I153,I153*(1-'Trading Model'!$E$14),I153))</f>
        <v>15.475617892624998</v>
      </c>
      <c r="J154" s="198">
        <f t="shared" si="23"/>
        <v>0</v>
      </c>
      <c r="K154" s="198">
        <f t="shared" si="18"/>
        <v>0</v>
      </c>
      <c r="L154" s="198">
        <f>COUNTIF(J154:K154,"&lt;&gt;0")*-'Trading Model'!$E$15</f>
        <v>0</v>
      </c>
      <c r="M154" s="198">
        <f t="shared" si="16"/>
        <v>0</v>
      </c>
      <c r="N154" s="75">
        <f t="shared" si="19"/>
        <v>13</v>
      </c>
      <c r="O154" s="202">
        <f t="shared" si="20"/>
        <v>0</v>
      </c>
      <c r="P154" s="199">
        <f t="shared" si="17"/>
        <v>0</v>
      </c>
      <c r="Q154" s="203">
        <f t="shared" si="21"/>
        <v>92.900000000000404</v>
      </c>
      <c r="R154" s="203" t="s">
        <v>55</v>
      </c>
      <c r="S154" s="201">
        <f t="shared" si="22"/>
        <v>1.7867113344500307E-2</v>
      </c>
    </row>
    <row r="155" spans="1:19">
      <c r="A155" s="196">
        <v>40192</v>
      </c>
      <c r="B155" s="122">
        <v>18.129999000000002</v>
      </c>
      <c r="C155" s="122">
        <v>18.25</v>
      </c>
      <c r="D155" s="122">
        <v>17.899999999999999</v>
      </c>
      <c r="E155" s="122">
        <v>18.02</v>
      </c>
      <c r="F155" s="122">
        <v>11.362824</v>
      </c>
      <c r="G155" s="197">
        <v>70300</v>
      </c>
      <c r="H155" s="198">
        <f>IF(AND(E154&gt;=H154,E155&gt;=E154),E154*(1+'Trading Model'!$E$13),IF(AND(E155&lt;E154,E154&gt;=H154),E155*(1+'Trading Model'!$E$13),H154))</f>
        <v>18.868498950000003</v>
      </c>
      <c r="I155" s="198">
        <f>IF(K155&gt;0,E155*(1-'Trading Model'!E165),IF(E155&lt;I154,I154*(1-'Trading Model'!$E$14),I154))</f>
        <v>15.475617892624998</v>
      </c>
      <c r="J155" s="198">
        <f t="shared" si="23"/>
        <v>0</v>
      </c>
      <c r="K155" s="198">
        <f t="shared" si="18"/>
        <v>0</v>
      </c>
      <c r="L155" s="198">
        <f>COUNTIF(J155:K155,"&lt;&gt;0")*-'Trading Model'!$E$15</f>
        <v>0</v>
      </c>
      <c r="M155" s="198">
        <f t="shared" si="16"/>
        <v>0</v>
      </c>
      <c r="N155" s="75">
        <f t="shared" si="19"/>
        <v>13</v>
      </c>
      <c r="O155" s="202">
        <f t="shared" si="20"/>
        <v>0</v>
      </c>
      <c r="P155" s="199">
        <f t="shared" si="17"/>
        <v>0</v>
      </c>
      <c r="Q155" s="203">
        <f t="shared" si="21"/>
        <v>92.800000000000409</v>
      </c>
      <c r="R155" s="203" t="s">
        <v>55</v>
      </c>
      <c r="S155" s="201">
        <f t="shared" si="22"/>
        <v>-1.1519473395501967E-2</v>
      </c>
    </row>
    <row r="156" spans="1:19">
      <c r="A156" s="196">
        <v>40193</v>
      </c>
      <c r="B156" s="122">
        <v>17.969999000000001</v>
      </c>
      <c r="C156" s="122">
        <v>18.25</v>
      </c>
      <c r="D156" s="122">
        <v>17.850000000000001</v>
      </c>
      <c r="E156" s="122">
        <v>18</v>
      </c>
      <c r="F156" s="122">
        <v>11.350213</v>
      </c>
      <c r="G156" s="197">
        <v>70800</v>
      </c>
      <c r="H156" s="198">
        <f>IF(AND(E155&gt;=H155,E156&gt;=E155),E155*(1+'Trading Model'!$E$13),IF(AND(E156&lt;E155,E155&gt;=H155),E156*(1+'Trading Model'!$E$13),H155))</f>
        <v>18.868498950000003</v>
      </c>
      <c r="I156" s="198">
        <f>IF(K156&gt;0,E156*(1-'Trading Model'!E166),IF(E156&lt;I155,I155*(1-'Trading Model'!$E$14),I155))</f>
        <v>15.475617892624998</v>
      </c>
      <c r="J156" s="198">
        <f t="shared" si="23"/>
        <v>0</v>
      </c>
      <c r="K156" s="198">
        <f t="shared" si="18"/>
        <v>0</v>
      </c>
      <c r="L156" s="198">
        <f>COUNTIF(J156:K156,"&lt;&gt;0")*-'Trading Model'!$E$15</f>
        <v>0</v>
      </c>
      <c r="M156" s="198">
        <f t="shared" si="16"/>
        <v>0</v>
      </c>
      <c r="N156" s="75">
        <f t="shared" si="19"/>
        <v>13</v>
      </c>
      <c r="O156" s="202">
        <f t="shared" si="20"/>
        <v>0</v>
      </c>
      <c r="P156" s="199">
        <f t="shared" si="17"/>
        <v>0</v>
      </c>
      <c r="Q156" s="203">
        <f t="shared" si="21"/>
        <v>92.700000000000415</v>
      </c>
      <c r="R156" s="203" t="s">
        <v>55</v>
      </c>
      <c r="S156" s="201">
        <f t="shared" si="22"/>
        <v>-1.1098779134295356E-3</v>
      </c>
    </row>
    <row r="157" spans="1:19">
      <c r="A157" s="196">
        <v>40197</v>
      </c>
      <c r="B157" s="122">
        <v>17.420000000000002</v>
      </c>
      <c r="C157" s="122">
        <v>18.02</v>
      </c>
      <c r="D157" s="122">
        <v>17.010000000000002</v>
      </c>
      <c r="E157" s="122">
        <v>18.02</v>
      </c>
      <c r="F157" s="122">
        <v>11.362824</v>
      </c>
      <c r="G157" s="197">
        <v>232900</v>
      </c>
      <c r="H157" s="198">
        <f>IF(AND(E156&gt;=H156,E157&gt;=E156),E156*(1+'Trading Model'!$E$13),IF(AND(E157&lt;E156,E156&gt;=H156),E157*(1+'Trading Model'!$E$13),H156))</f>
        <v>18.868498950000003</v>
      </c>
      <c r="I157" s="198">
        <f>IF(K157&gt;0,E157*(1-'Trading Model'!E167),IF(E157&lt;I156,I156*(1-'Trading Model'!$E$14),I156))</f>
        <v>15.475617892624998</v>
      </c>
      <c r="J157" s="198">
        <f t="shared" si="23"/>
        <v>0</v>
      </c>
      <c r="K157" s="198">
        <f t="shared" si="18"/>
        <v>0</v>
      </c>
      <c r="L157" s="198">
        <f>COUNTIF(J157:K157,"&lt;&gt;0")*-'Trading Model'!$E$15</f>
        <v>0</v>
      </c>
      <c r="M157" s="198">
        <f t="shared" si="16"/>
        <v>0</v>
      </c>
      <c r="N157" s="75">
        <f t="shared" si="19"/>
        <v>13</v>
      </c>
      <c r="O157" s="202">
        <f t="shared" si="20"/>
        <v>0</v>
      </c>
      <c r="P157" s="199">
        <f t="shared" si="17"/>
        <v>0</v>
      </c>
      <c r="Q157" s="203">
        <f t="shared" si="21"/>
        <v>92.700000000000415</v>
      </c>
      <c r="R157" s="201">
        <f>E157/B153-1</f>
        <v>-5.5468660262414371E-4</v>
      </c>
      <c r="S157" s="201">
        <f t="shared" si="22"/>
        <v>1.1111111111110628E-3</v>
      </c>
    </row>
    <row r="158" spans="1:19">
      <c r="A158" s="196">
        <v>40198</v>
      </c>
      <c r="B158" s="122">
        <v>18.149999999999999</v>
      </c>
      <c r="C158" s="122">
        <v>18.149999999999999</v>
      </c>
      <c r="D158" s="122">
        <v>17.309999000000001</v>
      </c>
      <c r="E158" s="122">
        <v>17.43</v>
      </c>
      <c r="F158" s="122">
        <v>10.990788999999999</v>
      </c>
      <c r="G158" s="197">
        <v>100500</v>
      </c>
      <c r="H158" s="198">
        <f>IF(AND(E157&gt;=H157,E158&gt;=E157),E157*(1+'Trading Model'!$E$13),IF(AND(E158&lt;E157,E157&gt;=H157),E158*(1+'Trading Model'!$E$13),H157))</f>
        <v>18.868498950000003</v>
      </c>
      <c r="I158" s="198">
        <f>IF(K158&gt;0,E158*(1-'Trading Model'!E168),IF(E158&lt;I157,I157*(1-'Trading Model'!$E$14),I157))</f>
        <v>15.475617892624998</v>
      </c>
      <c r="J158" s="198">
        <f t="shared" si="23"/>
        <v>0</v>
      </c>
      <c r="K158" s="198">
        <f t="shared" si="18"/>
        <v>0</v>
      </c>
      <c r="L158" s="198">
        <f>COUNTIF(J158:K158,"&lt;&gt;0")*-'Trading Model'!$E$15</f>
        <v>0</v>
      </c>
      <c r="M158" s="198">
        <f t="shared" si="16"/>
        <v>0</v>
      </c>
      <c r="N158" s="75">
        <f t="shared" si="19"/>
        <v>13</v>
      </c>
      <c r="O158" s="202">
        <f t="shared" si="20"/>
        <v>0</v>
      </c>
      <c r="P158" s="199">
        <f t="shared" si="17"/>
        <v>0</v>
      </c>
      <c r="Q158" s="203">
        <f t="shared" si="21"/>
        <v>92.600000000000421</v>
      </c>
      <c r="R158" s="160" t="s">
        <v>55</v>
      </c>
      <c r="S158" s="201">
        <f t="shared" si="22"/>
        <v>-3.2741398446170966E-2</v>
      </c>
    </row>
    <row r="159" spans="1:19">
      <c r="A159" s="196">
        <v>40199</v>
      </c>
      <c r="B159" s="122">
        <v>17.549999</v>
      </c>
      <c r="C159" s="122">
        <v>17.690000999999999</v>
      </c>
      <c r="D159" s="122">
        <v>16.760000000000002</v>
      </c>
      <c r="E159" s="122">
        <v>17.07</v>
      </c>
      <c r="F159" s="122">
        <v>10.763783</v>
      </c>
      <c r="G159" s="197">
        <v>59900</v>
      </c>
      <c r="H159" s="198">
        <f>IF(AND(E158&gt;=H158,E159&gt;=E158),E158*(1+'Trading Model'!$E$13),IF(AND(E159&lt;E158,E158&gt;=H158),E159*(1+'Trading Model'!$E$13),H158))</f>
        <v>18.868498950000003</v>
      </c>
      <c r="I159" s="198">
        <f>IF(K159&gt;0,E159*(1-'Trading Model'!E169),IF(E159&lt;I158,I158*(1-'Trading Model'!$E$14),I158))</f>
        <v>15.475617892624998</v>
      </c>
      <c r="J159" s="198">
        <f t="shared" si="23"/>
        <v>0</v>
      </c>
      <c r="K159" s="198">
        <f t="shared" si="18"/>
        <v>0</v>
      </c>
      <c r="L159" s="198">
        <f>COUNTIF(J159:K159,"&lt;&gt;0")*-'Trading Model'!$E$15</f>
        <v>0</v>
      </c>
      <c r="M159" s="198">
        <f t="shared" si="16"/>
        <v>0</v>
      </c>
      <c r="N159" s="75">
        <f t="shared" si="19"/>
        <v>13</v>
      </c>
      <c r="O159" s="202">
        <f t="shared" si="20"/>
        <v>0</v>
      </c>
      <c r="P159" s="199">
        <f t="shared" si="17"/>
        <v>0</v>
      </c>
      <c r="Q159" s="203">
        <f t="shared" si="21"/>
        <v>92.500000000000426</v>
      </c>
      <c r="R159" s="203" t="s">
        <v>55</v>
      </c>
      <c r="S159" s="201">
        <f t="shared" si="22"/>
        <v>-2.0654044750430312E-2</v>
      </c>
    </row>
    <row r="160" spans="1:19">
      <c r="A160" s="196">
        <v>40200</v>
      </c>
      <c r="B160" s="122">
        <v>17.309999000000001</v>
      </c>
      <c r="C160" s="122">
        <v>17.309999000000001</v>
      </c>
      <c r="D160" s="122">
        <v>16.629999000000002</v>
      </c>
      <c r="E160" s="122">
        <v>16.829999999999998</v>
      </c>
      <c r="F160" s="122">
        <v>10.612448000000001</v>
      </c>
      <c r="G160" s="197">
        <v>69600</v>
      </c>
      <c r="H160" s="198">
        <f>IF(AND(E159&gt;=H159,E160&gt;=E159),E159*(1+'Trading Model'!$E$13),IF(AND(E160&lt;E159,E159&gt;=H159),E160*(1+'Trading Model'!$E$13),H159))</f>
        <v>18.868498950000003</v>
      </c>
      <c r="I160" s="198">
        <f>IF(K160&gt;0,E160*(1-'Trading Model'!E170),IF(E160&lt;I159,I159*(1-'Trading Model'!$E$14),I159))</f>
        <v>15.475617892624998</v>
      </c>
      <c r="J160" s="198">
        <f t="shared" si="23"/>
        <v>0</v>
      </c>
      <c r="K160" s="198">
        <f t="shared" si="18"/>
        <v>0</v>
      </c>
      <c r="L160" s="198">
        <f>COUNTIF(J160:K160,"&lt;&gt;0")*-'Trading Model'!$E$15</f>
        <v>0</v>
      </c>
      <c r="M160" s="198">
        <f t="shared" si="16"/>
        <v>0</v>
      </c>
      <c r="N160" s="75">
        <f t="shared" si="19"/>
        <v>13</v>
      </c>
      <c r="O160" s="202">
        <f t="shared" si="20"/>
        <v>0</v>
      </c>
      <c r="P160" s="199">
        <f t="shared" si="17"/>
        <v>0</v>
      </c>
      <c r="Q160" s="203">
        <f t="shared" si="21"/>
        <v>92.400000000000432</v>
      </c>
      <c r="R160" s="203" t="s">
        <v>55</v>
      </c>
      <c r="S160" s="201">
        <f t="shared" si="22"/>
        <v>-1.405975395430592E-2</v>
      </c>
    </row>
    <row r="161" spans="1:19">
      <c r="A161" s="196">
        <v>40203</v>
      </c>
      <c r="B161" s="122">
        <v>17.07</v>
      </c>
      <c r="C161" s="122">
        <v>17.07</v>
      </c>
      <c r="D161" s="122">
        <v>16.790001</v>
      </c>
      <c r="E161" s="122">
        <v>16.969999000000001</v>
      </c>
      <c r="F161" s="122">
        <v>10.700727000000001</v>
      </c>
      <c r="G161" s="197">
        <v>89000</v>
      </c>
      <c r="H161" s="198">
        <f>IF(AND(E160&gt;=H160,E161&gt;=E160),E160*(1+'Trading Model'!$E$13),IF(AND(E161&lt;E160,E160&gt;=H160),E161*(1+'Trading Model'!$E$13),H160))</f>
        <v>18.868498950000003</v>
      </c>
      <c r="I161" s="198">
        <f>IF(K161&gt;0,E161*(1-'Trading Model'!E171),IF(E161&lt;I160,I160*(1-'Trading Model'!$E$14),I160))</f>
        <v>15.475617892624998</v>
      </c>
      <c r="J161" s="198">
        <f t="shared" si="23"/>
        <v>0</v>
      </c>
      <c r="K161" s="198">
        <f t="shared" si="18"/>
        <v>0</v>
      </c>
      <c r="L161" s="198">
        <f>COUNTIF(J161:K161,"&lt;&gt;0")*-'Trading Model'!$E$15</f>
        <v>0</v>
      </c>
      <c r="M161" s="198">
        <f t="shared" si="16"/>
        <v>0</v>
      </c>
      <c r="N161" s="75">
        <f t="shared" si="19"/>
        <v>13</v>
      </c>
      <c r="O161" s="202">
        <f t="shared" si="20"/>
        <v>0</v>
      </c>
      <c r="P161" s="199">
        <f t="shared" si="17"/>
        <v>0</v>
      </c>
      <c r="Q161" s="203">
        <f t="shared" si="21"/>
        <v>92.400000000000432</v>
      </c>
      <c r="R161" s="203" t="s">
        <v>55</v>
      </c>
      <c r="S161" s="201">
        <f t="shared" si="22"/>
        <v>8.3184194890078E-3</v>
      </c>
    </row>
    <row r="162" spans="1:19">
      <c r="A162" s="196">
        <v>40204</v>
      </c>
      <c r="B162" s="122">
        <v>16.799999</v>
      </c>
      <c r="C162" s="122">
        <v>16.93</v>
      </c>
      <c r="D162" s="122">
        <v>16.57</v>
      </c>
      <c r="E162" s="122">
        <v>16.77</v>
      </c>
      <c r="F162" s="122">
        <v>10.574615</v>
      </c>
      <c r="G162" s="197">
        <v>49200</v>
      </c>
      <c r="H162" s="198">
        <f>IF(AND(E161&gt;=H161,E162&gt;=E161),E161*(1+'Trading Model'!$E$13),IF(AND(E162&lt;E161,E161&gt;=H161),E162*(1+'Trading Model'!$E$13),H161))</f>
        <v>18.868498950000003</v>
      </c>
      <c r="I162" s="198">
        <f>IF(K162&gt;0,E162*(1-'Trading Model'!E172),IF(E162&lt;I161,I161*(1-'Trading Model'!$E$14),I161))</f>
        <v>15.475617892624998</v>
      </c>
      <c r="J162" s="198">
        <f t="shared" si="23"/>
        <v>0</v>
      </c>
      <c r="K162" s="198">
        <f t="shared" si="18"/>
        <v>0</v>
      </c>
      <c r="L162" s="198">
        <f>COUNTIF(J162:K162,"&lt;&gt;0")*-'Trading Model'!$E$15</f>
        <v>0</v>
      </c>
      <c r="M162" s="198">
        <f t="shared" si="16"/>
        <v>0</v>
      </c>
      <c r="N162" s="75">
        <f t="shared" si="19"/>
        <v>13</v>
      </c>
      <c r="O162" s="202">
        <f t="shared" si="20"/>
        <v>0</v>
      </c>
      <c r="P162" s="199">
        <f t="shared" si="17"/>
        <v>0</v>
      </c>
      <c r="Q162" s="203">
        <f t="shared" si="21"/>
        <v>92.300000000000438</v>
      </c>
      <c r="R162" s="201">
        <f>E162/B158-1</f>
        <v>-7.6033057851239594E-2</v>
      </c>
      <c r="S162" s="201">
        <f t="shared" si="22"/>
        <v>-1.1785445597256805E-2</v>
      </c>
    </row>
    <row r="163" spans="1:19">
      <c r="A163" s="196">
        <v>40205</v>
      </c>
      <c r="B163" s="122">
        <v>16.68</v>
      </c>
      <c r="C163" s="122">
        <v>16.690000999999999</v>
      </c>
      <c r="D163" s="122">
        <v>16.149999999999999</v>
      </c>
      <c r="E163" s="122">
        <v>16.309999000000001</v>
      </c>
      <c r="F163" s="122">
        <v>10.284556</v>
      </c>
      <c r="G163" s="197">
        <v>76300</v>
      </c>
      <c r="H163" s="198">
        <f>IF(AND(E162&gt;=H162,E163&gt;=E162),E162*(1+'Trading Model'!$E$13),IF(AND(E163&lt;E162,E162&gt;=H162),E163*(1+'Trading Model'!$E$13),H162))</f>
        <v>18.868498950000003</v>
      </c>
      <c r="I163" s="198">
        <f>IF(K163&gt;0,E163*(1-'Trading Model'!E173),IF(E163&lt;I162,I162*(1-'Trading Model'!$E$14),I162))</f>
        <v>15.475617892624998</v>
      </c>
      <c r="J163" s="198">
        <f t="shared" si="23"/>
        <v>0</v>
      </c>
      <c r="K163" s="198">
        <f t="shared" si="18"/>
        <v>0</v>
      </c>
      <c r="L163" s="198">
        <f>COUNTIF(J163:K163,"&lt;&gt;0")*-'Trading Model'!$E$15</f>
        <v>0</v>
      </c>
      <c r="M163" s="198">
        <f t="shared" si="16"/>
        <v>0</v>
      </c>
      <c r="N163" s="75">
        <f t="shared" si="19"/>
        <v>13</v>
      </c>
      <c r="O163" s="202">
        <f t="shared" si="20"/>
        <v>0</v>
      </c>
      <c r="P163" s="199">
        <f t="shared" si="17"/>
        <v>0</v>
      </c>
      <c r="Q163" s="203">
        <f t="shared" si="21"/>
        <v>92.200000000000443</v>
      </c>
      <c r="R163" s="160" t="s">
        <v>55</v>
      </c>
      <c r="S163" s="201">
        <f t="shared" si="22"/>
        <v>-2.7429994036970662E-2</v>
      </c>
    </row>
    <row r="164" spans="1:19">
      <c r="A164" s="196">
        <v>40206</v>
      </c>
      <c r="B164" s="122">
        <v>16.420000000000002</v>
      </c>
      <c r="C164" s="122">
        <v>16.440000999999999</v>
      </c>
      <c r="D164" s="122">
        <v>16.23</v>
      </c>
      <c r="E164" s="122">
        <v>16.379999000000002</v>
      </c>
      <c r="F164" s="122">
        <v>10.328694</v>
      </c>
      <c r="G164" s="197">
        <v>72600</v>
      </c>
      <c r="H164" s="198">
        <f>IF(AND(E163&gt;=H163,E164&gt;=E163),E163*(1+'Trading Model'!$E$13),IF(AND(E164&lt;E163,E163&gt;=H163),E164*(1+'Trading Model'!$E$13),H163))</f>
        <v>18.868498950000003</v>
      </c>
      <c r="I164" s="198">
        <f>IF(K164&gt;0,E164*(1-'Trading Model'!E174),IF(E164&lt;I163,I163*(1-'Trading Model'!$E$14),I163))</f>
        <v>15.475617892624998</v>
      </c>
      <c r="J164" s="198">
        <f t="shared" si="23"/>
        <v>0</v>
      </c>
      <c r="K164" s="198">
        <f t="shared" si="18"/>
        <v>0</v>
      </c>
      <c r="L164" s="198">
        <f>COUNTIF(J164:K164,"&lt;&gt;0")*-'Trading Model'!$E$15</f>
        <v>0</v>
      </c>
      <c r="M164" s="198">
        <f t="shared" si="16"/>
        <v>0</v>
      </c>
      <c r="N164" s="75">
        <f t="shared" si="19"/>
        <v>13</v>
      </c>
      <c r="O164" s="202">
        <f t="shared" si="20"/>
        <v>0</v>
      </c>
      <c r="P164" s="199">
        <f t="shared" si="17"/>
        <v>0</v>
      </c>
      <c r="Q164" s="203">
        <f t="shared" si="21"/>
        <v>92.200000000000443</v>
      </c>
      <c r="R164" s="203" t="s">
        <v>55</v>
      </c>
      <c r="S164" s="201">
        <f t="shared" si="22"/>
        <v>4.2918457567042712E-3</v>
      </c>
    </row>
    <row r="165" spans="1:19">
      <c r="A165" s="196">
        <v>40207</v>
      </c>
      <c r="B165" s="122">
        <v>16.379999000000002</v>
      </c>
      <c r="C165" s="122">
        <v>17.120000999999998</v>
      </c>
      <c r="D165" s="122">
        <v>16.299999</v>
      </c>
      <c r="E165" s="122">
        <v>16.84</v>
      </c>
      <c r="F165" s="122">
        <v>10.618753999999999</v>
      </c>
      <c r="G165" s="197">
        <v>267200</v>
      </c>
      <c r="H165" s="198">
        <f>IF(AND(E164&gt;=H164,E165&gt;=E164),E164*(1+'Trading Model'!$E$13),IF(AND(E165&lt;E164,E164&gt;=H164),E165*(1+'Trading Model'!$E$13),H164))</f>
        <v>18.868498950000003</v>
      </c>
      <c r="I165" s="198">
        <f>IF(K165&gt;0,E165*(1-'Trading Model'!E175),IF(E165&lt;I164,I164*(1-'Trading Model'!$E$14),I164))</f>
        <v>15.475617892624998</v>
      </c>
      <c r="J165" s="198">
        <f t="shared" si="23"/>
        <v>0</v>
      </c>
      <c r="K165" s="198">
        <f t="shared" si="18"/>
        <v>0</v>
      </c>
      <c r="L165" s="198">
        <f>COUNTIF(J165:K165,"&lt;&gt;0")*-'Trading Model'!$E$15</f>
        <v>0</v>
      </c>
      <c r="M165" s="198">
        <f t="shared" si="16"/>
        <v>0</v>
      </c>
      <c r="N165" s="75">
        <f t="shared" si="19"/>
        <v>13</v>
      </c>
      <c r="O165" s="202">
        <f t="shared" si="20"/>
        <v>0</v>
      </c>
      <c r="P165" s="199">
        <f t="shared" si="17"/>
        <v>0</v>
      </c>
      <c r="Q165" s="203">
        <f t="shared" si="21"/>
        <v>92.200000000000443</v>
      </c>
      <c r="R165" s="203" t="s">
        <v>55</v>
      </c>
      <c r="S165" s="201">
        <f t="shared" si="22"/>
        <v>2.808309084756333E-2</v>
      </c>
    </row>
    <row r="166" spans="1:19">
      <c r="A166" s="196">
        <v>40210</v>
      </c>
      <c r="B166" s="122">
        <v>17</v>
      </c>
      <c r="C166" s="122">
        <v>17.200001</v>
      </c>
      <c r="D166" s="122">
        <v>16.829999999999998</v>
      </c>
      <c r="E166" s="122">
        <v>17</v>
      </c>
      <c r="F166" s="122">
        <v>10.719645999999999</v>
      </c>
      <c r="G166" s="197">
        <v>100800</v>
      </c>
      <c r="H166" s="198">
        <f>IF(AND(E165&gt;=H165,E166&gt;=E165),E165*(1+'Trading Model'!$E$13),IF(AND(E166&lt;E165,E165&gt;=H165),E166*(1+'Trading Model'!$E$13),H165))</f>
        <v>18.868498950000003</v>
      </c>
      <c r="I166" s="198">
        <f>IF(K166&gt;0,E166*(1-'Trading Model'!E176),IF(E166&lt;I165,I165*(1-'Trading Model'!$E$14),I165))</f>
        <v>15.475617892624998</v>
      </c>
      <c r="J166" s="198">
        <f t="shared" si="23"/>
        <v>0</v>
      </c>
      <c r="K166" s="198">
        <f t="shared" si="18"/>
        <v>0</v>
      </c>
      <c r="L166" s="198">
        <f>COUNTIF(J166:K166,"&lt;&gt;0")*-'Trading Model'!$E$15</f>
        <v>0</v>
      </c>
      <c r="M166" s="198">
        <f t="shared" si="16"/>
        <v>0</v>
      </c>
      <c r="N166" s="75">
        <f t="shared" si="19"/>
        <v>13</v>
      </c>
      <c r="O166" s="202">
        <f t="shared" si="20"/>
        <v>0</v>
      </c>
      <c r="P166" s="199">
        <f t="shared" si="17"/>
        <v>0</v>
      </c>
      <c r="Q166" s="203">
        <f t="shared" si="21"/>
        <v>92.200000000000443</v>
      </c>
      <c r="R166" s="203" t="s">
        <v>55</v>
      </c>
      <c r="S166" s="201">
        <f t="shared" si="22"/>
        <v>9.5011876484560887E-3</v>
      </c>
    </row>
    <row r="167" spans="1:19">
      <c r="A167" s="196">
        <v>40211</v>
      </c>
      <c r="B167" s="122">
        <v>17.139999</v>
      </c>
      <c r="C167" s="122">
        <v>17.489999999999998</v>
      </c>
      <c r="D167" s="122">
        <v>16.969999000000001</v>
      </c>
      <c r="E167" s="122">
        <v>17.360001</v>
      </c>
      <c r="F167" s="122">
        <v>10.946650999999999</v>
      </c>
      <c r="G167" s="197">
        <v>71800</v>
      </c>
      <c r="H167" s="198">
        <f>IF(AND(E166&gt;=H166,E167&gt;=E166),E166*(1+'Trading Model'!$E$13),IF(AND(E167&lt;E166,E166&gt;=H166),E167*(1+'Trading Model'!$E$13),H166))</f>
        <v>18.868498950000003</v>
      </c>
      <c r="I167" s="198">
        <f>IF(K167&gt;0,E167*(1-'Trading Model'!E177),IF(E167&lt;I166,I166*(1-'Trading Model'!$E$14),I166))</f>
        <v>15.475617892624998</v>
      </c>
      <c r="J167" s="198">
        <f t="shared" si="23"/>
        <v>0</v>
      </c>
      <c r="K167" s="198">
        <f t="shared" si="18"/>
        <v>0</v>
      </c>
      <c r="L167" s="198">
        <f>COUNTIF(J167:K167,"&lt;&gt;0")*-'Trading Model'!$E$15</f>
        <v>0</v>
      </c>
      <c r="M167" s="198">
        <f t="shared" si="16"/>
        <v>0</v>
      </c>
      <c r="N167" s="75">
        <f t="shared" si="19"/>
        <v>13</v>
      </c>
      <c r="O167" s="202">
        <f t="shared" si="20"/>
        <v>0</v>
      </c>
      <c r="P167" s="199">
        <f t="shared" si="17"/>
        <v>0</v>
      </c>
      <c r="Q167" s="203">
        <f t="shared" si="21"/>
        <v>92.200000000000443</v>
      </c>
      <c r="R167" s="201">
        <f>E167/B163-1</f>
        <v>4.0767446043165512E-2</v>
      </c>
      <c r="S167" s="201">
        <f t="shared" si="22"/>
        <v>2.1176529411764733E-2</v>
      </c>
    </row>
    <row r="168" spans="1:19">
      <c r="A168" s="196">
        <v>40212</v>
      </c>
      <c r="B168" s="122">
        <v>17.360001</v>
      </c>
      <c r="C168" s="122">
        <v>17.360001</v>
      </c>
      <c r="D168" s="122">
        <v>16.739999999999998</v>
      </c>
      <c r="E168" s="122">
        <v>16.850000000000001</v>
      </c>
      <c r="F168" s="122">
        <v>10.62506</v>
      </c>
      <c r="G168" s="197">
        <v>83300</v>
      </c>
      <c r="H168" s="198">
        <f>IF(AND(E167&gt;=H167,E168&gt;=E167),E167*(1+'Trading Model'!$E$13),IF(AND(E168&lt;E167,E167&gt;=H167),E168*(1+'Trading Model'!$E$13),H167))</f>
        <v>18.868498950000003</v>
      </c>
      <c r="I168" s="198">
        <f>IF(K168&gt;0,E168*(1-'Trading Model'!E178),IF(E168&lt;I167,I167*(1-'Trading Model'!$E$14),I167))</f>
        <v>15.475617892624998</v>
      </c>
      <c r="J168" s="198">
        <f t="shared" si="23"/>
        <v>0</v>
      </c>
      <c r="K168" s="198">
        <f t="shared" si="18"/>
        <v>0</v>
      </c>
      <c r="L168" s="198">
        <f>COUNTIF(J168:K168,"&lt;&gt;0")*-'Trading Model'!$E$15</f>
        <v>0</v>
      </c>
      <c r="M168" s="198">
        <f t="shared" si="16"/>
        <v>0</v>
      </c>
      <c r="N168" s="75">
        <f t="shared" si="19"/>
        <v>13</v>
      </c>
      <c r="O168" s="202">
        <f t="shared" si="20"/>
        <v>0</v>
      </c>
      <c r="P168" s="199">
        <f t="shared" si="17"/>
        <v>0</v>
      </c>
      <c r="Q168" s="203">
        <f t="shared" si="21"/>
        <v>92.100000000000449</v>
      </c>
      <c r="R168" s="160" t="s">
        <v>55</v>
      </c>
      <c r="S168" s="201">
        <f t="shared" si="22"/>
        <v>-2.9377936095740909E-2</v>
      </c>
    </row>
    <row r="169" spans="1:19">
      <c r="A169" s="196">
        <v>40213</v>
      </c>
      <c r="B169" s="122">
        <v>16.799999</v>
      </c>
      <c r="C169" s="122">
        <v>16.860001</v>
      </c>
      <c r="D169" s="122">
        <v>16.420000000000002</v>
      </c>
      <c r="E169" s="122">
        <v>16.469999000000001</v>
      </c>
      <c r="F169" s="122">
        <v>10.385446</v>
      </c>
      <c r="G169" s="197">
        <v>146900</v>
      </c>
      <c r="H169" s="198">
        <f>IF(AND(E168&gt;=H168,E169&gt;=E168),E168*(1+'Trading Model'!$E$13),IF(AND(E169&lt;E168,E168&gt;=H168),E169*(1+'Trading Model'!$E$13),H168))</f>
        <v>18.868498950000003</v>
      </c>
      <c r="I169" s="198">
        <f>IF(K169&gt;0,E169*(1-'Trading Model'!E179),IF(E169&lt;I168,I168*(1-'Trading Model'!$E$14),I168))</f>
        <v>15.475617892624998</v>
      </c>
      <c r="J169" s="198">
        <f t="shared" si="23"/>
        <v>0</v>
      </c>
      <c r="K169" s="198">
        <f t="shared" si="18"/>
        <v>0</v>
      </c>
      <c r="L169" s="198">
        <f>COUNTIF(J169:K169,"&lt;&gt;0")*-'Trading Model'!$E$15</f>
        <v>0</v>
      </c>
      <c r="M169" s="198">
        <f t="shared" si="16"/>
        <v>0</v>
      </c>
      <c r="N169" s="75">
        <f t="shared" si="19"/>
        <v>13</v>
      </c>
      <c r="O169" s="202">
        <f t="shared" si="20"/>
        <v>0</v>
      </c>
      <c r="P169" s="199">
        <f t="shared" si="17"/>
        <v>0</v>
      </c>
      <c r="Q169" s="203">
        <f t="shared" si="21"/>
        <v>92.000000000000455</v>
      </c>
      <c r="R169" s="203" t="s">
        <v>55</v>
      </c>
      <c r="S169" s="201">
        <f t="shared" si="22"/>
        <v>-2.2551988130563805E-2</v>
      </c>
    </row>
    <row r="170" spans="1:19">
      <c r="A170" s="196">
        <v>40214</v>
      </c>
      <c r="B170" s="122">
        <v>16.389999</v>
      </c>
      <c r="C170" s="122">
        <v>16.389999</v>
      </c>
      <c r="D170" s="122">
        <v>16.02</v>
      </c>
      <c r="E170" s="122">
        <v>16.370000999999998</v>
      </c>
      <c r="F170" s="122">
        <v>10.322388999999999</v>
      </c>
      <c r="G170" s="197">
        <v>151300</v>
      </c>
      <c r="H170" s="198">
        <f>IF(AND(E169&gt;=H169,E170&gt;=E169),E169*(1+'Trading Model'!$E$13),IF(AND(E170&lt;E169,E169&gt;=H169),E170*(1+'Trading Model'!$E$13),H169))</f>
        <v>18.868498950000003</v>
      </c>
      <c r="I170" s="198">
        <f>IF(K170&gt;0,E170*(1-'Trading Model'!E180),IF(E170&lt;I169,I169*(1-'Trading Model'!$E$14),I169))</f>
        <v>15.475617892624998</v>
      </c>
      <c r="J170" s="198">
        <f t="shared" si="23"/>
        <v>0</v>
      </c>
      <c r="K170" s="198">
        <f t="shared" si="18"/>
        <v>0</v>
      </c>
      <c r="L170" s="198">
        <f>COUNTIF(J170:K170,"&lt;&gt;0")*-'Trading Model'!$E$15</f>
        <v>0</v>
      </c>
      <c r="M170" s="198">
        <f t="shared" si="16"/>
        <v>0</v>
      </c>
      <c r="N170" s="75">
        <f t="shared" si="19"/>
        <v>13</v>
      </c>
      <c r="O170" s="202">
        <f t="shared" si="20"/>
        <v>0</v>
      </c>
      <c r="P170" s="199">
        <f t="shared" si="17"/>
        <v>0</v>
      </c>
      <c r="Q170" s="203">
        <f t="shared" si="21"/>
        <v>91.90000000000046</v>
      </c>
      <c r="R170" s="203" t="s">
        <v>55</v>
      </c>
      <c r="S170" s="201">
        <f t="shared" si="22"/>
        <v>-6.0715243516410444E-3</v>
      </c>
    </row>
    <row r="171" spans="1:19">
      <c r="A171" s="196">
        <v>40217</v>
      </c>
      <c r="B171" s="122">
        <v>16.239999999999998</v>
      </c>
      <c r="C171" s="122">
        <v>17.280000999999999</v>
      </c>
      <c r="D171" s="122">
        <v>16.18</v>
      </c>
      <c r="E171" s="122">
        <v>16.700001</v>
      </c>
      <c r="F171" s="122">
        <v>10.530476</v>
      </c>
      <c r="G171" s="197">
        <v>97000</v>
      </c>
      <c r="H171" s="198">
        <f>IF(AND(E170&gt;=H170,E171&gt;=E170),E170*(1+'Trading Model'!$E$13),IF(AND(E171&lt;E170,E170&gt;=H170),E171*(1+'Trading Model'!$E$13),H170))</f>
        <v>18.868498950000003</v>
      </c>
      <c r="I171" s="198">
        <f>IF(K171&gt;0,E171*(1-'Trading Model'!E181),IF(E171&lt;I170,I170*(1-'Trading Model'!$E$14),I170))</f>
        <v>15.475617892624998</v>
      </c>
      <c r="J171" s="198">
        <f t="shared" si="23"/>
        <v>0</v>
      </c>
      <c r="K171" s="198">
        <f t="shared" si="18"/>
        <v>0</v>
      </c>
      <c r="L171" s="198">
        <f>COUNTIF(J171:K171,"&lt;&gt;0")*-'Trading Model'!$E$15</f>
        <v>0</v>
      </c>
      <c r="M171" s="198">
        <f t="shared" si="16"/>
        <v>0</v>
      </c>
      <c r="N171" s="75">
        <f t="shared" si="19"/>
        <v>13</v>
      </c>
      <c r="O171" s="202">
        <f t="shared" si="20"/>
        <v>0</v>
      </c>
      <c r="P171" s="199">
        <f t="shared" si="17"/>
        <v>0</v>
      </c>
      <c r="Q171" s="203">
        <f t="shared" si="21"/>
        <v>91.90000000000046</v>
      </c>
      <c r="R171" s="203" t="s">
        <v>55</v>
      </c>
      <c r="S171" s="201">
        <f t="shared" si="22"/>
        <v>2.0158825891336329E-2</v>
      </c>
    </row>
    <row r="172" spans="1:19">
      <c r="A172" s="196">
        <v>40218</v>
      </c>
      <c r="B172" s="122">
        <v>16.799999</v>
      </c>
      <c r="C172" s="122">
        <v>17.059999000000001</v>
      </c>
      <c r="D172" s="122">
        <v>16.389999</v>
      </c>
      <c r="E172" s="122">
        <v>16.790001</v>
      </c>
      <c r="F172" s="122">
        <v>10.587225999999999</v>
      </c>
      <c r="G172" s="197">
        <v>129200</v>
      </c>
      <c r="H172" s="198">
        <f>IF(AND(E171&gt;=H171,E172&gt;=E171),E171*(1+'Trading Model'!$E$13),IF(AND(E172&lt;E171,E171&gt;=H171),E172*(1+'Trading Model'!$E$13),H171))</f>
        <v>18.868498950000003</v>
      </c>
      <c r="I172" s="198">
        <f>IF(K172&gt;0,E172*(1-'Trading Model'!E182),IF(E172&lt;I171,I171*(1-'Trading Model'!$E$14),I171))</f>
        <v>15.475617892624998</v>
      </c>
      <c r="J172" s="198">
        <f t="shared" si="23"/>
        <v>0</v>
      </c>
      <c r="K172" s="198">
        <f t="shared" si="18"/>
        <v>0</v>
      </c>
      <c r="L172" s="198">
        <f>COUNTIF(J172:K172,"&lt;&gt;0")*-'Trading Model'!$E$15</f>
        <v>0</v>
      </c>
      <c r="M172" s="198">
        <f t="shared" si="16"/>
        <v>0</v>
      </c>
      <c r="N172" s="75">
        <f t="shared" si="19"/>
        <v>13</v>
      </c>
      <c r="O172" s="202">
        <f t="shared" si="20"/>
        <v>0</v>
      </c>
      <c r="P172" s="199">
        <f t="shared" si="17"/>
        <v>0</v>
      </c>
      <c r="Q172" s="203">
        <f t="shared" si="21"/>
        <v>91.90000000000046</v>
      </c>
      <c r="R172" s="201">
        <f>E172/B168-1</f>
        <v>-3.283409949112337E-2</v>
      </c>
      <c r="S172" s="201">
        <f t="shared" si="22"/>
        <v>5.3892212341783985E-3</v>
      </c>
    </row>
    <row r="173" spans="1:19">
      <c r="A173" s="196">
        <v>40219</v>
      </c>
      <c r="B173" s="122">
        <v>16.860001</v>
      </c>
      <c r="C173" s="122">
        <v>16.91</v>
      </c>
      <c r="D173" s="122">
        <v>16.670000000000002</v>
      </c>
      <c r="E173" s="122">
        <v>16.780000999999999</v>
      </c>
      <c r="F173" s="122">
        <v>10.580921999999999</v>
      </c>
      <c r="G173" s="197">
        <v>72100</v>
      </c>
      <c r="H173" s="198">
        <f>IF(AND(E172&gt;=H172,E173&gt;=E172),E172*(1+'Trading Model'!$E$13),IF(AND(E173&lt;E172,E172&gt;=H172),E173*(1+'Trading Model'!$E$13),H172))</f>
        <v>18.868498950000003</v>
      </c>
      <c r="I173" s="198">
        <f>IF(K173&gt;0,E173*(1-'Trading Model'!E183),IF(E173&lt;I172,I172*(1-'Trading Model'!$E$14),I172))</f>
        <v>15.475617892624998</v>
      </c>
      <c r="J173" s="198">
        <f t="shared" si="23"/>
        <v>0</v>
      </c>
      <c r="K173" s="198">
        <f t="shared" si="18"/>
        <v>0</v>
      </c>
      <c r="L173" s="198">
        <f>COUNTIF(J173:K173,"&lt;&gt;0")*-'Trading Model'!$E$15</f>
        <v>0</v>
      </c>
      <c r="M173" s="198">
        <f t="shared" si="16"/>
        <v>0</v>
      </c>
      <c r="N173" s="75">
        <f t="shared" si="19"/>
        <v>13</v>
      </c>
      <c r="O173" s="202">
        <f t="shared" si="20"/>
        <v>0</v>
      </c>
      <c r="P173" s="199">
        <f t="shared" si="17"/>
        <v>0</v>
      </c>
      <c r="Q173" s="203">
        <f t="shared" si="21"/>
        <v>91.800000000000466</v>
      </c>
      <c r="R173" s="160" t="s">
        <v>55</v>
      </c>
      <c r="S173" s="201">
        <f t="shared" si="22"/>
        <v>-5.9559257917862762E-4</v>
      </c>
    </row>
    <row r="174" spans="1:19">
      <c r="A174" s="196">
        <v>40220</v>
      </c>
      <c r="B174" s="122">
        <v>16.850000000000001</v>
      </c>
      <c r="C174" s="122">
        <v>16.91</v>
      </c>
      <c r="D174" s="122">
        <v>16.450001</v>
      </c>
      <c r="E174" s="122">
        <v>16.829999999999998</v>
      </c>
      <c r="F174" s="122">
        <v>10.612448000000001</v>
      </c>
      <c r="G174" s="197">
        <v>52100</v>
      </c>
      <c r="H174" s="198">
        <f>IF(AND(E173&gt;=H173,E174&gt;=E173),E173*(1+'Trading Model'!$E$13),IF(AND(E174&lt;E173,E173&gt;=H173),E174*(1+'Trading Model'!$E$13),H173))</f>
        <v>18.868498950000003</v>
      </c>
      <c r="I174" s="198">
        <f>IF(K174&gt;0,E174*(1-'Trading Model'!E184),IF(E174&lt;I173,I173*(1-'Trading Model'!$E$14),I173))</f>
        <v>15.475617892624998</v>
      </c>
      <c r="J174" s="198">
        <f t="shared" si="23"/>
        <v>0</v>
      </c>
      <c r="K174" s="198">
        <f t="shared" si="18"/>
        <v>0</v>
      </c>
      <c r="L174" s="198">
        <f>COUNTIF(J174:K174,"&lt;&gt;0")*-'Trading Model'!$E$15</f>
        <v>0</v>
      </c>
      <c r="M174" s="198">
        <f t="shared" si="16"/>
        <v>0</v>
      </c>
      <c r="N174" s="75">
        <f t="shared" si="19"/>
        <v>13</v>
      </c>
      <c r="O174" s="202">
        <f t="shared" si="20"/>
        <v>0</v>
      </c>
      <c r="P174" s="199">
        <f t="shared" si="17"/>
        <v>0</v>
      </c>
      <c r="Q174" s="203">
        <f t="shared" si="21"/>
        <v>91.800000000000466</v>
      </c>
      <c r="R174" s="203" t="s">
        <v>55</v>
      </c>
      <c r="S174" s="201">
        <f t="shared" si="22"/>
        <v>2.9796780107462784E-3</v>
      </c>
    </row>
    <row r="175" spans="1:19">
      <c r="A175" s="196">
        <v>40221</v>
      </c>
      <c r="B175" s="122">
        <v>16.48</v>
      </c>
      <c r="C175" s="122">
        <v>16.91</v>
      </c>
      <c r="D175" s="122">
        <v>16.32</v>
      </c>
      <c r="E175" s="122">
        <v>16.850000000000001</v>
      </c>
      <c r="F175" s="122">
        <v>10.62506</v>
      </c>
      <c r="G175" s="197">
        <v>140100</v>
      </c>
      <c r="H175" s="198">
        <f>IF(AND(E174&gt;=H174,E175&gt;=E174),E174*(1+'Trading Model'!$E$13),IF(AND(E175&lt;E174,E174&gt;=H174),E175*(1+'Trading Model'!$E$13),H174))</f>
        <v>18.868498950000003</v>
      </c>
      <c r="I175" s="198">
        <f>IF(K175&gt;0,E175*(1-'Trading Model'!E185),IF(E175&lt;I174,I174*(1-'Trading Model'!$E$14),I174))</f>
        <v>15.475617892624998</v>
      </c>
      <c r="J175" s="198">
        <f t="shared" si="23"/>
        <v>0</v>
      </c>
      <c r="K175" s="198">
        <f t="shared" si="18"/>
        <v>0</v>
      </c>
      <c r="L175" s="198">
        <f>COUNTIF(J175:K175,"&lt;&gt;0")*-'Trading Model'!$E$15</f>
        <v>0</v>
      </c>
      <c r="M175" s="198">
        <f t="shared" si="16"/>
        <v>0</v>
      </c>
      <c r="N175" s="75">
        <f t="shared" si="19"/>
        <v>13</v>
      </c>
      <c r="O175" s="202">
        <f t="shared" si="20"/>
        <v>0</v>
      </c>
      <c r="P175" s="199">
        <f t="shared" si="17"/>
        <v>0</v>
      </c>
      <c r="Q175" s="203">
        <f t="shared" si="21"/>
        <v>91.800000000000466</v>
      </c>
      <c r="R175" s="203" t="s">
        <v>55</v>
      </c>
      <c r="S175" s="201">
        <f t="shared" si="22"/>
        <v>1.1883541295307776E-3</v>
      </c>
    </row>
    <row r="176" spans="1:19">
      <c r="A176" s="196">
        <v>40225</v>
      </c>
      <c r="B176" s="122">
        <v>17.030000999999999</v>
      </c>
      <c r="C176" s="122">
        <v>18.07</v>
      </c>
      <c r="D176" s="122">
        <v>16.799999</v>
      </c>
      <c r="E176" s="122">
        <v>18.040001</v>
      </c>
      <c r="F176" s="122">
        <v>11.375437</v>
      </c>
      <c r="G176" s="197">
        <v>401900</v>
      </c>
      <c r="H176" s="198">
        <f>IF(AND(E175&gt;=H175,E176&gt;=E175),E175*(1+'Trading Model'!$E$13),IF(AND(E176&lt;E175,E175&gt;=H175),E176*(1+'Trading Model'!$E$13),H175))</f>
        <v>18.868498950000003</v>
      </c>
      <c r="I176" s="198">
        <f>IF(K176&gt;0,E176*(1-'Trading Model'!E186),IF(E176&lt;I175,I175*(1-'Trading Model'!$E$14),I175))</f>
        <v>15.475617892624998</v>
      </c>
      <c r="J176" s="198">
        <f t="shared" si="23"/>
        <v>0</v>
      </c>
      <c r="K176" s="198">
        <f t="shared" si="18"/>
        <v>0</v>
      </c>
      <c r="L176" s="198">
        <f>COUNTIF(J176:K176,"&lt;&gt;0")*-'Trading Model'!$E$15</f>
        <v>0</v>
      </c>
      <c r="M176" s="198">
        <f t="shared" si="16"/>
        <v>0</v>
      </c>
      <c r="N176" s="75">
        <f t="shared" si="19"/>
        <v>13</v>
      </c>
      <c r="O176" s="202">
        <f t="shared" si="20"/>
        <v>0</v>
      </c>
      <c r="P176" s="199">
        <f t="shared" si="17"/>
        <v>0</v>
      </c>
      <c r="Q176" s="203">
        <f t="shared" si="21"/>
        <v>91.800000000000466</v>
      </c>
      <c r="R176" s="203" t="s">
        <v>55</v>
      </c>
      <c r="S176" s="201">
        <f t="shared" si="22"/>
        <v>7.0623204747774393E-2</v>
      </c>
    </row>
    <row r="177" spans="1:19">
      <c r="A177" s="196">
        <v>40226</v>
      </c>
      <c r="B177" s="122">
        <v>18.049999</v>
      </c>
      <c r="C177" s="122">
        <v>18.16</v>
      </c>
      <c r="D177" s="122">
        <v>17.77</v>
      </c>
      <c r="E177" s="122">
        <v>17.790001</v>
      </c>
      <c r="F177" s="122">
        <v>11.217794</v>
      </c>
      <c r="G177" s="197">
        <v>426400</v>
      </c>
      <c r="H177" s="198">
        <f>IF(AND(E176&gt;=H176,E177&gt;=E176),E176*(1+'Trading Model'!$E$13),IF(AND(E177&lt;E176,E176&gt;=H176),E177*(1+'Trading Model'!$E$13),H176))</f>
        <v>18.868498950000003</v>
      </c>
      <c r="I177" s="198">
        <f>IF(K177&gt;0,E177*(1-'Trading Model'!E187),IF(E177&lt;I176,I176*(1-'Trading Model'!$E$14),I176))</f>
        <v>15.475617892624998</v>
      </c>
      <c r="J177" s="198">
        <f t="shared" si="23"/>
        <v>0</v>
      </c>
      <c r="K177" s="198">
        <f t="shared" si="18"/>
        <v>0</v>
      </c>
      <c r="L177" s="198">
        <f>COUNTIF(J177:K177,"&lt;&gt;0")*-'Trading Model'!$E$15</f>
        <v>0</v>
      </c>
      <c r="M177" s="198">
        <f t="shared" si="16"/>
        <v>0</v>
      </c>
      <c r="N177" s="75">
        <f t="shared" si="19"/>
        <v>13</v>
      </c>
      <c r="O177" s="202">
        <f t="shared" si="20"/>
        <v>0</v>
      </c>
      <c r="P177" s="199">
        <f t="shared" si="17"/>
        <v>0</v>
      </c>
      <c r="Q177" s="203">
        <f t="shared" si="21"/>
        <v>91.700000000000472</v>
      </c>
      <c r="R177" s="201">
        <f>E177/B173-1</f>
        <v>5.516013907709727E-2</v>
      </c>
      <c r="S177" s="201">
        <f t="shared" si="22"/>
        <v>-1.3858092358198904E-2</v>
      </c>
    </row>
    <row r="178" spans="1:19">
      <c r="A178" s="196">
        <v>40227</v>
      </c>
      <c r="B178" s="122">
        <v>17.860001</v>
      </c>
      <c r="C178" s="122">
        <v>17.860001</v>
      </c>
      <c r="D178" s="122">
        <v>17.48</v>
      </c>
      <c r="E178" s="122">
        <v>17.66</v>
      </c>
      <c r="F178" s="122">
        <v>11.135819</v>
      </c>
      <c r="G178" s="197">
        <v>18900</v>
      </c>
      <c r="H178" s="198">
        <f>IF(AND(E177&gt;=H177,E178&gt;=E177),E177*(1+'Trading Model'!$E$13),IF(AND(E178&lt;E177,E177&gt;=H177),E178*(1+'Trading Model'!$E$13),H177))</f>
        <v>18.868498950000003</v>
      </c>
      <c r="I178" s="198">
        <f>IF(K178&gt;0,E178*(1-'Trading Model'!E188),IF(E178&lt;I177,I177*(1-'Trading Model'!$E$14),I177))</f>
        <v>15.475617892624998</v>
      </c>
      <c r="J178" s="198">
        <f t="shared" si="23"/>
        <v>0</v>
      </c>
      <c r="K178" s="198">
        <f t="shared" si="18"/>
        <v>0</v>
      </c>
      <c r="L178" s="198">
        <f>COUNTIF(J178:K178,"&lt;&gt;0")*-'Trading Model'!$E$15</f>
        <v>0</v>
      </c>
      <c r="M178" s="198">
        <f t="shared" si="16"/>
        <v>0</v>
      </c>
      <c r="N178" s="75">
        <f t="shared" si="19"/>
        <v>13</v>
      </c>
      <c r="O178" s="202">
        <f t="shared" si="20"/>
        <v>0</v>
      </c>
      <c r="P178" s="199">
        <f t="shared" si="17"/>
        <v>0</v>
      </c>
      <c r="Q178" s="203">
        <f t="shared" si="21"/>
        <v>91.600000000000477</v>
      </c>
      <c r="R178" s="160" t="s">
        <v>55</v>
      </c>
      <c r="S178" s="201">
        <f t="shared" si="22"/>
        <v>-7.3075319107627212E-3</v>
      </c>
    </row>
    <row r="179" spans="1:19">
      <c r="A179" s="196">
        <v>40228</v>
      </c>
      <c r="B179" s="122">
        <v>17.75</v>
      </c>
      <c r="C179" s="122">
        <v>17.75</v>
      </c>
      <c r="D179" s="122">
        <v>17.34</v>
      </c>
      <c r="E179" s="122">
        <v>17.530000999999999</v>
      </c>
      <c r="F179" s="122">
        <v>11.053846</v>
      </c>
      <c r="G179" s="197">
        <v>47100</v>
      </c>
      <c r="H179" s="198">
        <f>IF(AND(E178&gt;=H178,E179&gt;=E178),E178*(1+'Trading Model'!$E$13),IF(AND(E179&lt;E178,E178&gt;=H178),E179*(1+'Trading Model'!$E$13),H178))</f>
        <v>18.868498950000003</v>
      </c>
      <c r="I179" s="198">
        <f>IF(K179&gt;0,E179*(1-'Trading Model'!E189),IF(E179&lt;I178,I178*(1-'Trading Model'!$E$14),I178))</f>
        <v>15.475617892624998</v>
      </c>
      <c r="J179" s="198">
        <f t="shared" si="23"/>
        <v>0</v>
      </c>
      <c r="K179" s="198">
        <f t="shared" si="18"/>
        <v>0</v>
      </c>
      <c r="L179" s="198">
        <f>COUNTIF(J179:K179,"&lt;&gt;0")*-'Trading Model'!$E$15</f>
        <v>0</v>
      </c>
      <c r="M179" s="198">
        <f t="shared" si="16"/>
        <v>0</v>
      </c>
      <c r="N179" s="75">
        <f t="shared" si="19"/>
        <v>13</v>
      </c>
      <c r="O179" s="202">
        <f t="shared" si="20"/>
        <v>0</v>
      </c>
      <c r="P179" s="199">
        <f t="shared" si="17"/>
        <v>0</v>
      </c>
      <c r="Q179" s="203">
        <f t="shared" si="21"/>
        <v>91.500000000000483</v>
      </c>
      <c r="R179" s="203" t="s">
        <v>55</v>
      </c>
      <c r="S179" s="201">
        <f t="shared" si="22"/>
        <v>-7.3612117780295083E-3</v>
      </c>
    </row>
    <row r="180" spans="1:19">
      <c r="A180" s="196">
        <v>40231</v>
      </c>
      <c r="B180" s="122">
        <v>17.66</v>
      </c>
      <c r="C180" s="122">
        <v>17.66</v>
      </c>
      <c r="D180" s="122">
        <v>17.200001</v>
      </c>
      <c r="E180" s="122">
        <v>17.299999</v>
      </c>
      <c r="F180" s="122">
        <v>10.908813</v>
      </c>
      <c r="G180" s="197">
        <v>68500</v>
      </c>
      <c r="H180" s="198">
        <f>IF(AND(E179&gt;=H179,E180&gt;=E179),E179*(1+'Trading Model'!$E$13),IF(AND(E180&lt;E179,E179&gt;=H179),E180*(1+'Trading Model'!$E$13),H179))</f>
        <v>18.868498950000003</v>
      </c>
      <c r="I180" s="198">
        <f>IF(K180&gt;0,E180*(1-'Trading Model'!E190),IF(E180&lt;I179,I179*(1-'Trading Model'!$E$14),I179))</f>
        <v>15.475617892624998</v>
      </c>
      <c r="J180" s="198">
        <f t="shared" si="23"/>
        <v>0</v>
      </c>
      <c r="K180" s="198">
        <f t="shared" si="18"/>
        <v>0</v>
      </c>
      <c r="L180" s="198">
        <f>COUNTIF(J180:K180,"&lt;&gt;0")*-'Trading Model'!$E$15</f>
        <v>0</v>
      </c>
      <c r="M180" s="198">
        <f t="shared" si="16"/>
        <v>0</v>
      </c>
      <c r="N180" s="75">
        <f t="shared" si="19"/>
        <v>13</v>
      </c>
      <c r="O180" s="202">
        <f t="shared" si="20"/>
        <v>0</v>
      </c>
      <c r="P180" s="199">
        <f t="shared" si="17"/>
        <v>0</v>
      </c>
      <c r="Q180" s="203">
        <f t="shared" si="21"/>
        <v>91.400000000000489</v>
      </c>
      <c r="R180" s="203" t="s">
        <v>55</v>
      </c>
      <c r="S180" s="201">
        <f t="shared" si="22"/>
        <v>-1.3120478430092453E-2</v>
      </c>
    </row>
    <row r="181" spans="1:19">
      <c r="A181" s="196">
        <v>40232</v>
      </c>
      <c r="B181" s="122">
        <v>17.170000000000002</v>
      </c>
      <c r="C181" s="122">
        <v>17.170000000000002</v>
      </c>
      <c r="D181" s="122">
        <v>16.07</v>
      </c>
      <c r="E181" s="122">
        <v>16.170000000000002</v>
      </c>
      <c r="F181" s="122">
        <v>10.196275</v>
      </c>
      <c r="G181" s="197">
        <v>211100</v>
      </c>
      <c r="H181" s="198">
        <f>IF(AND(E180&gt;=H180,E181&gt;=E180),E180*(1+'Trading Model'!$E$13),IF(AND(E181&lt;E180,E180&gt;=H180),E181*(1+'Trading Model'!$E$13),H180))</f>
        <v>18.868498950000003</v>
      </c>
      <c r="I181" s="198">
        <f>IF(K181&gt;0,E181*(1-'Trading Model'!E191),IF(E181&lt;I180,I180*(1-'Trading Model'!$E$14),I180))</f>
        <v>15.475617892624998</v>
      </c>
      <c r="J181" s="198">
        <f t="shared" si="23"/>
        <v>0</v>
      </c>
      <c r="K181" s="198">
        <f t="shared" si="18"/>
        <v>0</v>
      </c>
      <c r="L181" s="198">
        <f>COUNTIF(J181:K181,"&lt;&gt;0")*-'Trading Model'!$E$15</f>
        <v>0</v>
      </c>
      <c r="M181" s="198">
        <f t="shared" si="16"/>
        <v>0</v>
      </c>
      <c r="N181" s="75">
        <f t="shared" si="19"/>
        <v>13</v>
      </c>
      <c r="O181" s="202">
        <f t="shared" si="20"/>
        <v>0</v>
      </c>
      <c r="P181" s="199">
        <f t="shared" si="17"/>
        <v>0</v>
      </c>
      <c r="Q181" s="203">
        <f t="shared" si="21"/>
        <v>91.300000000000495</v>
      </c>
      <c r="R181" s="203" t="s">
        <v>55</v>
      </c>
      <c r="S181" s="201">
        <f t="shared" si="22"/>
        <v>-6.5317865047275325E-2</v>
      </c>
    </row>
    <row r="182" spans="1:19">
      <c r="A182" s="196">
        <v>40233</v>
      </c>
      <c r="B182" s="122">
        <v>16.170000000000002</v>
      </c>
      <c r="C182" s="122">
        <v>16.309999000000001</v>
      </c>
      <c r="D182" s="122">
        <v>15.8</v>
      </c>
      <c r="E182" s="122">
        <v>15.98</v>
      </c>
      <c r="F182" s="122">
        <v>10.076466999999999</v>
      </c>
      <c r="G182" s="197">
        <v>198400</v>
      </c>
      <c r="H182" s="198">
        <f>IF(AND(E181&gt;=H181,E182&gt;=E181),E181*(1+'Trading Model'!$E$13),IF(AND(E182&lt;E181,E181&gt;=H181),E182*(1+'Trading Model'!$E$13),H181))</f>
        <v>18.868498950000003</v>
      </c>
      <c r="I182" s="198">
        <f>IF(K182&gt;0,E182*(1-'Trading Model'!E192),IF(E182&lt;I181,I181*(1-'Trading Model'!$E$14),I181))</f>
        <v>15.475617892624998</v>
      </c>
      <c r="J182" s="198">
        <f t="shared" si="23"/>
        <v>0</v>
      </c>
      <c r="K182" s="198">
        <f t="shared" si="18"/>
        <v>0</v>
      </c>
      <c r="L182" s="198">
        <f>COUNTIF(J182:K182,"&lt;&gt;0")*-'Trading Model'!$E$15</f>
        <v>0</v>
      </c>
      <c r="M182" s="198">
        <f t="shared" si="16"/>
        <v>0</v>
      </c>
      <c r="N182" s="75">
        <f t="shared" si="19"/>
        <v>13</v>
      </c>
      <c r="O182" s="202">
        <f t="shared" si="20"/>
        <v>0</v>
      </c>
      <c r="P182" s="199">
        <f t="shared" si="17"/>
        <v>0</v>
      </c>
      <c r="Q182" s="203">
        <f t="shared" si="21"/>
        <v>91.2000000000005</v>
      </c>
      <c r="R182" s="201">
        <f>E182/B178-1</f>
        <v>-0.10526320799198163</v>
      </c>
      <c r="S182" s="201">
        <f t="shared" si="22"/>
        <v>-1.1750154607297558E-2</v>
      </c>
    </row>
    <row r="183" spans="1:19">
      <c r="A183" s="196">
        <v>40234</v>
      </c>
      <c r="B183" s="122">
        <v>15.72</v>
      </c>
      <c r="C183" s="122">
        <v>15.93</v>
      </c>
      <c r="D183" s="122">
        <v>15.32</v>
      </c>
      <c r="E183" s="122">
        <v>15.87</v>
      </c>
      <c r="F183" s="122">
        <v>10.007104</v>
      </c>
      <c r="G183" s="197">
        <v>153200</v>
      </c>
      <c r="H183" s="198">
        <f>IF(AND(E182&gt;=H182,E183&gt;=E182),E182*(1+'Trading Model'!$E$13),IF(AND(E183&lt;E182,E182&gt;=H182),E183*(1+'Trading Model'!$E$13),H182))</f>
        <v>18.868498950000003</v>
      </c>
      <c r="I183" s="198">
        <f>IF(K183&gt;0,E183*(1-'Trading Model'!E193),IF(E183&lt;I182,I182*(1-'Trading Model'!$E$14),I182))</f>
        <v>15.475617892624998</v>
      </c>
      <c r="J183" s="198">
        <f t="shared" si="23"/>
        <v>0</v>
      </c>
      <c r="K183" s="198">
        <f t="shared" si="18"/>
        <v>0</v>
      </c>
      <c r="L183" s="198">
        <f>COUNTIF(J183:K183,"&lt;&gt;0")*-'Trading Model'!$E$15</f>
        <v>0</v>
      </c>
      <c r="M183" s="198">
        <f t="shared" si="16"/>
        <v>0</v>
      </c>
      <c r="N183" s="75">
        <f t="shared" si="19"/>
        <v>13</v>
      </c>
      <c r="O183" s="202">
        <f t="shared" si="20"/>
        <v>0</v>
      </c>
      <c r="P183" s="199">
        <f t="shared" si="17"/>
        <v>0</v>
      </c>
      <c r="Q183" s="203">
        <f t="shared" si="21"/>
        <v>91.100000000000506</v>
      </c>
      <c r="R183" s="160" t="s">
        <v>55</v>
      </c>
      <c r="S183" s="201">
        <f t="shared" si="22"/>
        <v>-6.8836045056320794E-3</v>
      </c>
    </row>
    <row r="184" spans="1:19">
      <c r="A184" s="196">
        <v>40235</v>
      </c>
      <c r="B184" s="122">
        <v>15.83</v>
      </c>
      <c r="C184" s="122">
        <v>16.120000999999998</v>
      </c>
      <c r="D184" s="122">
        <v>15.82</v>
      </c>
      <c r="E184" s="122">
        <v>16.09</v>
      </c>
      <c r="F184" s="122">
        <v>10.145828</v>
      </c>
      <c r="G184" s="197">
        <v>151500</v>
      </c>
      <c r="H184" s="198">
        <f>IF(AND(E183&gt;=H183,E184&gt;=E183),E183*(1+'Trading Model'!$E$13),IF(AND(E184&lt;E183,E183&gt;=H183),E184*(1+'Trading Model'!$E$13),H183))</f>
        <v>18.868498950000003</v>
      </c>
      <c r="I184" s="198">
        <f>IF(K184&gt;0,E184*(1-'Trading Model'!E194),IF(E184&lt;I183,I183*(1-'Trading Model'!$E$14),I183))</f>
        <v>15.475617892624998</v>
      </c>
      <c r="J184" s="198">
        <f t="shared" si="23"/>
        <v>0</v>
      </c>
      <c r="K184" s="198">
        <f t="shared" si="18"/>
        <v>0</v>
      </c>
      <c r="L184" s="198">
        <f>COUNTIF(J184:K184,"&lt;&gt;0")*-'Trading Model'!$E$15</f>
        <v>0</v>
      </c>
      <c r="M184" s="198">
        <f t="shared" si="16"/>
        <v>0</v>
      </c>
      <c r="N184" s="75">
        <f t="shared" si="19"/>
        <v>13</v>
      </c>
      <c r="O184" s="202">
        <f t="shared" si="20"/>
        <v>0</v>
      </c>
      <c r="P184" s="199">
        <f t="shared" si="17"/>
        <v>0</v>
      </c>
      <c r="Q184" s="203">
        <f t="shared" si="21"/>
        <v>91.100000000000506</v>
      </c>
      <c r="R184" s="203" t="s">
        <v>55</v>
      </c>
      <c r="S184" s="201">
        <f t="shared" si="22"/>
        <v>1.3862633900441068E-2</v>
      </c>
    </row>
    <row r="185" spans="1:19">
      <c r="A185" s="196">
        <v>40238</v>
      </c>
      <c r="B185" s="122">
        <v>16.059999000000001</v>
      </c>
      <c r="C185" s="122">
        <v>16.440000999999999</v>
      </c>
      <c r="D185" s="122">
        <v>16.059999000000001</v>
      </c>
      <c r="E185" s="122">
        <v>16.23</v>
      </c>
      <c r="F185" s="122">
        <v>10.234108000000001</v>
      </c>
      <c r="G185" s="197">
        <v>119900</v>
      </c>
      <c r="H185" s="198">
        <f>IF(AND(E184&gt;=H184,E185&gt;=E184),E184*(1+'Trading Model'!$E$13),IF(AND(E185&lt;E184,E184&gt;=H184),E185*(1+'Trading Model'!$E$13),H184))</f>
        <v>18.868498950000003</v>
      </c>
      <c r="I185" s="198">
        <f>IF(K185&gt;0,E185*(1-'Trading Model'!E195),IF(E185&lt;I184,I184*(1-'Trading Model'!$E$14),I184))</f>
        <v>15.475617892624998</v>
      </c>
      <c r="J185" s="198">
        <f t="shared" si="23"/>
        <v>0</v>
      </c>
      <c r="K185" s="198">
        <f t="shared" si="18"/>
        <v>0</v>
      </c>
      <c r="L185" s="198">
        <f>COUNTIF(J185:K185,"&lt;&gt;0")*-'Trading Model'!$E$15</f>
        <v>0</v>
      </c>
      <c r="M185" s="198">
        <f t="shared" si="16"/>
        <v>0</v>
      </c>
      <c r="N185" s="75">
        <f t="shared" si="19"/>
        <v>13</v>
      </c>
      <c r="O185" s="202">
        <f t="shared" si="20"/>
        <v>0</v>
      </c>
      <c r="P185" s="199">
        <f t="shared" si="17"/>
        <v>0</v>
      </c>
      <c r="Q185" s="203">
        <f t="shared" si="21"/>
        <v>91.100000000000506</v>
      </c>
      <c r="R185" s="203" t="s">
        <v>55</v>
      </c>
      <c r="S185" s="201">
        <f t="shared" si="22"/>
        <v>8.7010565568677034E-3</v>
      </c>
    </row>
    <row r="186" spans="1:19">
      <c r="A186" s="196">
        <v>40239</v>
      </c>
      <c r="B186" s="122">
        <v>15.78</v>
      </c>
      <c r="C186" s="122">
        <v>16.559999000000001</v>
      </c>
      <c r="D186" s="122">
        <v>15.73</v>
      </c>
      <c r="E186" s="122">
        <v>16.110001</v>
      </c>
      <c r="F186" s="122">
        <v>10.158441</v>
      </c>
      <c r="G186" s="197">
        <v>144900</v>
      </c>
      <c r="H186" s="198">
        <f>IF(AND(E185&gt;=H185,E186&gt;=E185),E185*(1+'Trading Model'!$E$13),IF(AND(E186&lt;E185,E185&gt;=H185),E186*(1+'Trading Model'!$E$13),H185))</f>
        <v>18.868498950000003</v>
      </c>
      <c r="I186" s="198">
        <f>IF(K186&gt;0,E186*(1-'Trading Model'!E196),IF(E186&lt;I185,I185*(1-'Trading Model'!$E$14),I185))</f>
        <v>15.475617892624998</v>
      </c>
      <c r="J186" s="198">
        <f t="shared" si="23"/>
        <v>0</v>
      </c>
      <c r="K186" s="198">
        <f t="shared" si="18"/>
        <v>0</v>
      </c>
      <c r="L186" s="198">
        <f>COUNTIF(J186:K186,"&lt;&gt;0")*-'Trading Model'!$E$15</f>
        <v>0</v>
      </c>
      <c r="M186" s="198">
        <f t="shared" si="16"/>
        <v>0</v>
      </c>
      <c r="N186" s="75">
        <f t="shared" si="19"/>
        <v>13</v>
      </c>
      <c r="O186" s="202">
        <f t="shared" si="20"/>
        <v>0</v>
      </c>
      <c r="P186" s="199">
        <f t="shared" si="17"/>
        <v>0</v>
      </c>
      <c r="Q186" s="203">
        <f t="shared" si="21"/>
        <v>91.000000000000512</v>
      </c>
      <c r="R186" s="203" t="s">
        <v>55</v>
      </c>
      <c r="S186" s="201">
        <f t="shared" si="22"/>
        <v>-7.3936537276647618E-3</v>
      </c>
    </row>
    <row r="187" spans="1:19">
      <c r="A187" s="196">
        <v>40240</v>
      </c>
      <c r="B187" s="122">
        <v>16.059999000000001</v>
      </c>
      <c r="C187" s="122">
        <v>16.670000000000002</v>
      </c>
      <c r="D187" s="122">
        <v>16.059999000000001</v>
      </c>
      <c r="E187" s="122">
        <v>16.530000999999999</v>
      </c>
      <c r="F187" s="122">
        <v>10.423279000000001</v>
      </c>
      <c r="G187" s="197">
        <v>81800</v>
      </c>
      <c r="H187" s="198">
        <f>IF(AND(E186&gt;=H186,E187&gt;=E186),E186*(1+'Trading Model'!$E$13),IF(AND(E187&lt;E186,E186&gt;=H186),E187*(1+'Trading Model'!$E$13),H186))</f>
        <v>18.868498950000003</v>
      </c>
      <c r="I187" s="198">
        <f>IF(K187&gt;0,E187*(1-'Trading Model'!E197),IF(E187&lt;I186,I186*(1-'Trading Model'!$E$14),I186))</f>
        <v>15.475617892624998</v>
      </c>
      <c r="J187" s="198">
        <f t="shared" si="23"/>
        <v>0</v>
      </c>
      <c r="K187" s="198">
        <f t="shared" si="18"/>
        <v>0</v>
      </c>
      <c r="L187" s="198">
        <f>COUNTIF(J187:K187,"&lt;&gt;0")*-'Trading Model'!$E$15</f>
        <v>0</v>
      </c>
      <c r="M187" s="198">
        <f t="shared" si="16"/>
        <v>0</v>
      </c>
      <c r="N187" s="75">
        <f t="shared" si="19"/>
        <v>13</v>
      </c>
      <c r="O187" s="202">
        <f t="shared" si="20"/>
        <v>0</v>
      </c>
      <c r="P187" s="199">
        <f t="shared" si="17"/>
        <v>0</v>
      </c>
      <c r="Q187" s="203">
        <f t="shared" si="21"/>
        <v>91.000000000000512</v>
      </c>
      <c r="R187" s="201">
        <f>E187/B183-1</f>
        <v>5.1526781170483371E-2</v>
      </c>
      <c r="S187" s="201">
        <f t="shared" si="22"/>
        <v>2.607076188263413E-2</v>
      </c>
    </row>
    <row r="188" spans="1:19">
      <c r="A188" s="196">
        <v>40241</v>
      </c>
      <c r="B188" s="122">
        <v>16.5</v>
      </c>
      <c r="C188" s="122">
        <v>16.780000999999999</v>
      </c>
      <c r="D188" s="122">
        <v>16.5</v>
      </c>
      <c r="E188" s="122">
        <v>16.68</v>
      </c>
      <c r="F188" s="122">
        <v>10.517863</v>
      </c>
      <c r="G188" s="197">
        <v>67500</v>
      </c>
      <c r="H188" s="198">
        <f>IF(AND(E187&gt;=H187,E188&gt;=E187),E187*(1+'Trading Model'!$E$13),IF(AND(E188&lt;E187,E187&gt;=H187),E188*(1+'Trading Model'!$E$13),H187))</f>
        <v>18.868498950000003</v>
      </c>
      <c r="I188" s="198">
        <f>IF(K188&gt;0,E188*(1-'Trading Model'!E198),IF(E188&lt;I187,I187*(1-'Trading Model'!$E$14),I187))</f>
        <v>15.475617892624998</v>
      </c>
      <c r="J188" s="198">
        <f t="shared" si="23"/>
        <v>0</v>
      </c>
      <c r="K188" s="198">
        <f t="shared" si="18"/>
        <v>0</v>
      </c>
      <c r="L188" s="198">
        <f>COUNTIF(J188:K188,"&lt;&gt;0")*-'Trading Model'!$E$15</f>
        <v>0</v>
      </c>
      <c r="M188" s="198">
        <f t="shared" si="16"/>
        <v>0</v>
      </c>
      <c r="N188" s="75">
        <f t="shared" si="19"/>
        <v>13</v>
      </c>
      <c r="O188" s="202">
        <f t="shared" si="20"/>
        <v>0</v>
      </c>
      <c r="P188" s="199">
        <f t="shared" si="17"/>
        <v>0</v>
      </c>
      <c r="Q188" s="203">
        <f t="shared" si="21"/>
        <v>91.000000000000512</v>
      </c>
      <c r="R188" s="160" t="s">
        <v>55</v>
      </c>
      <c r="S188" s="201">
        <f t="shared" si="22"/>
        <v>9.0743491183091773E-3</v>
      </c>
    </row>
    <row r="189" spans="1:19">
      <c r="A189" s="196">
        <v>40242</v>
      </c>
      <c r="B189" s="122">
        <v>16.780000999999999</v>
      </c>
      <c r="C189" s="122">
        <v>17.170000000000002</v>
      </c>
      <c r="D189" s="122">
        <v>16.780000999999999</v>
      </c>
      <c r="E189" s="122">
        <v>17.100000000000001</v>
      </c>
      <c r="F189" s="122">
        <v>10.782702</v>
      </c>
      <c r="G189" s="197">
        <v>382300</v>
      </c>
      <c r="H189" s="198">
        <f>IF(AND(E188&gt;=H188,E189&gt;=E188),E188*(1+'Trading Model'!$E$13),IF(AND(E189&lt;E188,E188&gt;=H188),E189*(1+'Trading Model'!$E$13),H188))</f>
        <v>18.868498950000003</v>
      </c>
      <c r="I189" s="198">
        <f>IF(K189&gt;0,E189*(1-'Trading Model'!E199),IF(E189&lt;I188,I188*(1-'Trading Model'!$E$14),I188))</f>
        <v>15.475617892624998</v>
      </c>
      <c r="J189" s="198">
        <f t="shared" si="23"/>
        <v>0</v>
      </c>
      <c r="K189" s="198">
        <f t="shared" si="18"/>
        <v>0</v>
      </c>
      <c r="L189" s="198">
        <f>COUNTIF(J189:K189,"&lt;&gt;0")*-'Trading Model'!$E$15</f>
        <v>0</v>
      </c>
      <c r="M189" s="198">
        <f t="shared" si="16"/>
        <v>0</v>
      </c>
      <c r="N189" s="75">
        <f t="shared" si="19"/>
        <v>13</v>
      </c>
      <c r="O189" s="202">
        <f t="shared" si="20"/>
        <v>0</v>
      </c>
      <c r="P189" s="199">
        <f t="shared" si="17"/>
        <v>0</v>
      </c>
      <c r="Q189" s="203">
        <f t="shared" si="21"/>
        <v>91.000000000000512</v>
      </c>
      <c r="R189" s="203" t="s">
        <v>55</v>
      </c>
      <c r="S189" s="201">
        <f t="shared" si="22"/>
        <v>2.5179856115107979E-2</v>
      </c>
    </row>
    <row r="190" spans="1:19">
      <c r="A190" s="196">
        <v>40245</v>
      </c>
      <c r="B190" s="122">
        <v>17.09</v>
      </c>
      <c r="C190" s="122">
        <v>17.829999999999998</v>
      </c>
      <c r="D190" s="122">
        <v>17.09</v>
      </c>
      <c r="E190" s="122">
        <v>17.809999000000001</v>
      </c>
      <c r="F190" s="122">
        <v>11.230404</v>
      </c>
      <c r="G190" s="197">
        <v>583200</v>
      </c>
      <c r="H190" s="198">
        <f>IF(AND(E189&gt;=H189,E190&gt;=E189),E189*(1+'Trading Model'!$E$13),IF(AND(E190&lt;E189,E189&gt;=H189),E190*(1+'Trading Model'!$E$13),H189))</f>
        <v>18.868498950000003</v>
      </c>
      <c r="I190" s="198">
        <f>IF(K190&gt;0,E190*(1-'Trading Model'!E200),IF(E190&lt;I189,I189*(1-'Trading Model'!$E$14),I189))</f>
        <v>15.475617892624998</v>
      </c>
      <c r="J190" s="198">
        <f t="shared" si="23"/>
        <v>0</v>
      </c>
      <c r="K190" s="198">
        <f t="shared" si="18"/>
        <v>0</v>
      </c>
      <c r="L190" s="198">
        <f>COUNTIF(J190:K190,"&lt;&gt;0")*-'Trading Model'!$E$15</f>
        <v>0</v>
      </c>
      <c r="M190" s="198">
        <f t="shared" si="16"/>
        <v>0</v>
      </c>
      <c r="N190" s="75">
        <f t="shared" si="19"/>
        <v>13</v>
      </c>
      <c r="O190" s="202">
        <f t="shared" si="20"/>
        <v>0</v>
      </c>
      <c r="P190" s="199">
        <f t="shared" si="17"/>
        <v>0</v>
      </c>
      <c r="Q190" s="203">
        <f t="shared" si="21"/>
        <v>91.000000000000512</v>
      </c>
      <c r="R190" s="203" t="s">
        <v>55</v>
      </c>
      <c r="S190" s="201">
        <f t="shared" si="22"/>
        <v>4.1520409356725185E-2</v>
      </c>
    </row>
    <row r="191" spans="1:19">
      <c r="A191" s="196">
        <v>40246</v>
      </c>
      <c r="B191" s="122">
        <v>18.02</v>
      </c>
      <c r="C191" s="122">
        <v>18.27</v>
      </c>
      <c r="D191" s="122">
        <v>17.559999000000001</v>
      </c>
      <c r="E191" s="122">
        <v>17.91</v>
      </c>
      <c r="F191" s="122">
        <v>11.293461000000001</v>
      </c>
      <c r="G191" s="197">
        <v>333900</v>
      </c>
      <c r="H191" s="198">
        <f>IF(AND(E190&gt;=H190,E191&gt;=E190),E190*(1+'Trading Model'!$E$13),IF(AND(E191&lt;E190,E190&gt;=H190),E191*(1+'Trading Model'!$E$13),H190))</f>
        <v>18.868498950000003</v>
      </c>
      <c r="I191" s="198">
        <f>IF(K191&gt;0,E191*(1-'Trading Model'!E201),IF(E191&lt;I190,I190*(1-'Trading Model'!$E$14),I190))</f>
        <v>15.475617892624998</v>
      </c>
      <c r="J191" s="198">
        <f t="shared" si="23"/>
        <v>0</v>
      </c>
      <c r="K191" s="198">
        <f t="shared" si="18"/>
        <v>0</v>
      </c>
      <c r="L191" s="198">
        <f>COUNTIF(J191:K191,"&lt;&gt;0")*-'Trading Model'!$E$15</f>
        <v>0</v>
      </c>
      <c r="M191" s="198">
        <f t="shared" si="16"/>
        <v>0</v>
      </c>
      <c r="N191" s="75">
        <f t="shared" si="19"/>
        <v>13</v>
      </c>
      <c r="O191" s="202">
        <f t="shared" si="20"/>
        <v>0</v>
      </c>
      <c r="P191" s="199">
        <f t="shared" si="17"/>
        <v>0</v>
      </c>
      <c r="Q191" s="203">
        <f t="shared" si="21"/>
        <v>91.000000000000512</v>
      </c>
      <c r="R191" s="203" t="s">
        <v>55</v>
      </c>
      <c r="S191" s="201">
        <f t="shared" si="22"/>
        <v>5.6148795965680343E-3</v>
      </c>
    </row>
    <row r="192" spans="1:19">
      <c r="A192" s="196">
        <v>40247</v>
      </c>
      <c r="B192" s="122">
        <v>17.91</v>
      </c>
      <c r="C192" s="122">
        <v>18.010000000000002</v>
      </c>
      <c r="D192" s="122">
        <v>17.510000000000002</v>
      </c>
      <c r="E192" s="122">
        <v>17.799999</v>
      </c>
      <c r="F192" s="122">
        <v>11.224097</v>
      </c>
      <c r="G192" s="197">
        <v>93000</v>
      </c>
      <c r="H192" s="198">
        <f>IF(AND(E191&gt;=H191,E192&gt;=E191),E191*(1+'Trading Model'!$E$13),IF(AND(E192&lt;E191,E191&gt;=H191),E192*(1+'Trading Model'!$E$13),H191))</f>
        <v>18.868498950000003</v>
      </c>
      <c r="I192" s="198">
        <f>IF(K192&gt;0,E192*(1-'Trading Model'!E202),IF(E192&lt;I191,I191*(1-'Trading Model'!$E$14),I191))</f>
        <v>15.475617892624998</v>
      </c>
      <c r="J192" s="198">
        <f t="shared" si="23"/>
        <v>0</v>
      </c>
      <c r="K192" s="198">
        <f t="shared" si="18"/>
        <v>0</v>
      </c>
      <c r="L192" s="198">
        <f>COUNTIF(J192:K192,"&lt;&gt;0")*-'Trading Model'!$E$15</f>
        <v>0</v>
      </c>
      <c r="M192" s="198">
        <f t="shared" si="16"/>
        <v>0</v>
      </c>
      <c r="N192" s="75">
        <f t="shared" si="19"/>
        <v>13</v>
      </c>
      <c r="O192" s="202">
        <f t="shared" si="20"/>
        <v>0</v>
      </c>
      <c r="P192" s="199">
        <f t="shared" si="17"/>
        <v>0</v>
      </c>
      <c r="Q192" s="203">
        <f t="shared" si="21"/>
        <v>90.900000000000517</v>
      </c>
      <c r="R192" s="201">
        <f>E192/B188-1</f>
        <v>7.8787818181818237E-2</v>
      </c>
      <c r="S192" s="201">
        <f t="shared" si="22"/>
        <v>-6.1418760469011957E-3</v>
      </c>
    </row>
    <row r="193" spans="1:19">
      <c r="A193" s="196">
        <v>40248</v>
      </c>
      <c r="B193" s="122">
        <v>17.829999999999998</v>
      </c>
      <c r="C193" s="122">
        <v>17.940000999999999</v>
      </c>
      <c r="D193" s="122">
        <v>17.68</v>
      </c>
      <c r="E193" s="122">
        <v>17.760000000000002</v>
      </c>
      <c r="F193" s="122">
        <v>11.198876</v>
      </c>
      <c r="G193" s="197">
        <v>77000</v>
      </c>
      <c r="H193" s="198">
        <f>IF(AND(E192&gt;=H192,E193&gt;=E192),E192*(1+'Trading Model'!$E$13),IF(AND(E193&lt;E192,E192&gt;=H192),E193*(1+'Trading Model'!$E$13),H192))</f>
        <v>18.868498950000003</v>
      </c>
      <c r="I193" s="198">
        <f>IF(K193&gt;0,E193*(1-'Trading Model'!E203),IF(E193&lt;I192,I192*(1-'Trading Model'!$E$14),I192))</f>
        <v>15.475617892624998</v>
      </c>
      <c r="J193" s="198">
        <f t="shared" si="23"/>
        <v>0</v>
      </c>
      <c r="K193" s="198">
        <f t="shared" si="18"/>
        <v>0</v>
      </c>
      <c r="L193" s="198">
        <f>COUNTIF(J193:K193,"&lt;&gt;0")*-'Trading Model'!$E$15</f>
        <v>0</v>
      </c>
      <c r="M193" s="198">
        <f t="shared" si="16"/>
        <v>0</v>
      </c>
      <c r="N193" s="75">
        <f t="shared" si="19"/>
        <v>13</v>
      </c>
      <c r="O193" s="202">
        <f t="shared" si="20"/>
        <v>0</v>
      </c>
      <c r="P193" s="199">
        <f t="shared" si="17"/>
        <v>0</v>
      </c>
      <c r="Q193" s="203">
        <f t="shared" si="21"/>
        <v>90.800000000000523</v>
      </c>
      <c r="R193" s="160" t="s">
        <v>55</v>
      </c>
      <c r="S193" s="201">
        <f t="shared" si="22"/>
        <v>-2.2471349577041222E-3</v>
      </c>
    </row>
    <row r="194" spans="1:19">
      <c r="A194" s="196">
        <v>40249</v>
      </c>
      <c r="B194" s="122">
        <v>17.799999</v>
      </c>
      <c r="C194" s="122">
        <v>18.079999999999998</v>
      </c>
      <c r="D194" s="122">
        <v>17.600000000000001</v>
      </c>
      <c r="E194" s="122">
        <v>17.790001</v>
      </c>
      <c r="F194" s="122">
        <v>11.217794</v>
      </c>
      <c r="G194" s="197">
        <v>72600</v>
      </c>
      <c r="H194" s="198">
        <f>IF(AND(E193&gt;=H193,E194&gt;=E193),E193*(1+'Trading Model'!$E$13),IF(AND(E194&lt;E193,E193&gt;=H193),E194*(1+'Trading Model'!$E$13),H193))</f>
        <v>18.868498950000003</v>
      </c>
      <c r="I194" s="198">
        <f>IF(K194&gt;0,E194*(1-'Trading Model'!E204),IF(E194&lt;I193,I193*(1-'Trading Model'!$E$14),I193))</f>
        <v>15.475617892624998</v>
      </c>
      <c r="J194" s="198">
        <f t="shared" si="23"/>
        <v>0</v>
      </c>
      <c r="K194" s="198">
        <f t="shared" si="18"/>
        <v>0</v>
      </c>
      <c r="L194" s="198">
        <f>COUNTIF(J194:K194,"&lt;&gt;0")*-'Trading Model'!$E$15</f>
        <v>0</v>
      </c>
      <c r="M194" s="198">
        <f t="shared" si="16"/>
        <v>0</v>
      </c>
      <c r="N194" s="75">
        <f t="shared" si="19"/>
        <v>13</v>
      </c>
      <c r="O194" s="202">
        <f t="shared" si="20"/>
        <v>0</v>
      </c>
      <c r="P194" s="199">
        <f t="shared" si="17"/>
        <v>0</v>
      </c>
      <c r="Q194" s="203">
        <f t="shared" si="21"/>
        <v>90.800000000000523</v>
      </c>
      <c r="R194" s="203" t="s">
        <v>55</v>
      </c>
      <c r="S194" s="201">
        <f t="shared" si="22"/>
        <v>1.6892454954953173E-3</v>
      </c>
    </row>
    <row r="195" spans="1:19">
      <c r="A195" s="196">
        <v>40252</v>
      </c>
      <c r="B195" s="122">
        <v>17.649999999999999</v>
      </c>
      <c r="C195" s="122">
        <v>17.899999999999999</v>
      </c>
      <c r="D195" s="122">
        <v>17.5</v>
      </c>
      <c r="E195" s="122">
        <v>17.610001</v>
      </c>
      <c r="F195" s="122">
        <v>11.104291999999999</v>
      </c>
      <c r="G195" s="197">
        <v>33900</v>
      </c>
      <c r="H195" s="198">
        <f>IF(AND(E194&gt;=H194,E195&gt;=E194),E194*(1+'Trading Model'!$E$13),IF(AND(E195&lt;E194,E194&gt;=H194),E195*(1+'Trading Model'!$E$13),H194))</f>
        <v>18.868498950000003</v>
      </c>
      <c r="I195" s="198">
        <f>IF(K195&gt;0,E195*(1-'Trading Model'!E205),IF(E195&lt;I194,I194*(1-'Trading Model'!$E$14),I194))</f>
        <v>15.475617892624998</v>
      </c>
      <c r="J195" s="198">
        <f t="shared" si="23"/>
        <v>0</v>
      </c>
      <c r="K195" s="198">
        <f t="shared" si="18"/>
        <v>0</v>
      </c>
      <c r="L195" s="198">
        <f>COUNTIF(J195:K195,"&lt;&gt;0")*-'Trading Model'!$E$15</f>
        <v>0</v>
      </c>
      <c r="M195" s="198">
        <f t="shared" ref="M195:M258" si="24">SUM(J195:L195)</f>
        <v>0</v>
      </c>
      <c r="N195" s="75">
        <f t="shared" si="19"/>
        <v>13</v>
      </c>
      <c r="O195" s="202">
        <f t="shared" si="20"/>
        <v>0</v>
      </c>
      <c r="P195" s="199">
        <f t="shared" ref="P195:P258" si="25">IFERROR(VLOOKUP(A195,Dividends,2,FALSE),$U$1)</f>
        <v>0</v>
      </c>
      <c r="Q195" s="203">
        <f t="shared" si="21"/>
        <v>90.700000000000529</v>
      </c>
      <c r="R195" s="203" t="s">
        <v>55</v>
      </c>
      <c r="S195" s="201">
        <f t="shared" si="22"/>
        <v>-1.0118043276107769E-2</v>
      </c>
    </row>
    <row r="196" spans="1:19">
      <c r="A196" s="196">
        <v>40253</v>
      </c>
      <c r="B196" s="122">
        <v>17.600000000000001</v>
      </c>
      <c r="C196" s="122">
        <v>17.799999</v>
      </c>
      <c r="D196" s="122">
        <v>17.559999000000001</v>
      </c>
      <c r="E196" s="122">
        <v>17.670000000000002</v>
      </c>
      <c r="F196" s="122">
        <v>11.142124000000001</v>
      </c>
      <c r="G196" s="197">
        <v>68800</v>
      </c>
      <c r="H196" s="198">
        <f>IF(AND(E195&gt;=H195,E196&gt;=E195),E195*(1+'Trading Model'!$E$13),IF(AND(E196&lt;E195,E195&gt;=H195),E196*(1+'Trading Model'!$E$13),H195))</f>
        <v>18.868498950000003</v>
      </c>
      <c r="I196" s="198">
        <f>IF(K196&gt;0,E196*(1-'Trading Model'!E206),IF(E196&lt;I195,I195*(1-'Trading Model'!$E$14),I195))</f>
        <v>15.475617892624998</v>
      </c>
      <c r="J196" s="198">
        <f t="shared" si="23"/>
        <v>0</v>
      </c>
      <c r="K196" s="198">
        <f t="shared" ref="K196:K259" si="26">IF(E196&gt;=H196,E196,0)</f>
        <v>0</v>
      </c>
      <c r="L196" s="198">
        <f>COUNTIF(J196:K196,"&lt;&gt;0")*-'Trading Model'!$E$15</f>
        <v>0</v>
      </c>
      <c r="M196" s="198">
        <f t="shared" si="24"/>
        <v>0</v>
      </c>
      <c r="N196" s="75">
        <f t="shared" ref="N196:N259" si="27">IF(AND(J196&lt;0,K196&gt;0),N195,(IF(J196&lt;0,N195+1,IF(K196&gt;0,N195+1,N195))))</f>
        <v>13</v>
      </c>
      <c r="O196" s="202">
        <f t="shared" ref="O196:O259" si="28">P196</f>
        <v>0</v>
      </c>
      <c r="P196" s="199">
        <f t="shared" si="25"/>
        <v>0</v>
      </c>
      <c r="Q196" s="203">
        <f t="shared" ref="Q196:Q259" si="29">IF(E196&lt;E195,Q195-0.1,Q195)</f>
        <v>90.700000000000529</v>
      </c>
      <c r="R196" s="203" t="s">
        <v>55</v>
      </c>
      <c r="S196" s="201">
        <f t="shared" ref="S196:S259" si="30">E196/E195-1</f>
        <v>3.4070980461613498E-3</v>
      </c>
    </row>
    <row r="197" spans="1:19">
      <c r="A197" s="196">
        <v>40254</v>
      </c>
      <c r="B197" s="122">
        <v>17.68</v>
      </c>
      <c r="C197" s="122">
        <v>17.82</v>
      </c>
      <c r="D197" s="122">
        <v>17.5</v>
      </c>
      <c r="E197" s="122">
        <v>17.620000999999998</v>
      </c>
      <c r="F197" s="122">
        <v>11.110595999999999</v>
      </c>
      <c r="G197" s="197">
        <v>46800</v>
      </c>
      <c r="H197" s="198">
        <f>IF(AND(E196&gt;=H196,E197&gt;=E196),E196*(1+'Trading Model'!$E$13),IF(AND(E197&lt;E196,E196&gt;=H196),E197*(1+'Trading Model'!$E$13),H196))</f>
        <v>18.868498950000003</v>
      </c>
      <c r="I197" s="198">
        <f>IF(K197&gt;0,E197*(1-'Trading Model'!E207),IF(E197&lt;I196,I196*(1-'Trading Model'!$E$14),I196))</f>
        <v>15.475617892624998</v>
      </c>
      <c r="J197" s="198">
        <f t="shared" ref="J197:J260" si="31">IF(E197&gt;=H197,-E197,IF(E197&lt;=I196,-E197,0))</f>
        <v>0</v>
      </c>
      <c r="K197" s="198">
        <f t="shared" si="26"/>
        <v>0</v>
      </c>
      <c r="L197" s="198">
        <f>COUNTIF(J197:K197,"&lt;&gt;0")*-'Trading Model'!$E$15</f>
        <v>0</v>
      </c>
      <c r="M197" s="198">
        <f t="shared" si="24"/>
        <v>0</v>
      </c>
      <c r="N197" s="75">
        <f t="shared" si="27"/>
        <v>13</v>
      </c>
      <c r="O197" s="202">
        <f t="shared" si="28"/>
        <v>0</v>
      </c>
      <c r="P197" s="199">
        <f t="shared" si="25"/>
        <v>0</v>
      </c>
      <c r="Q197" s="203">
        <f t="shared" si="29"/>
        <v>90.600000000000534</v>
      </c>
      <c r="R197" s="201">
        <f>E197/B193-1</f>
        <v>-1.1777846326416097E-2</v>
      </c>
      <c r="S197" s="201">
        <f t="shared" si="30"/>
        <v>-2.8295981890211763E-3</v>
      </c>
    </row>
    <row r="198" spans="1:19">
      <c r="A198" s="196">
        <v>40255</v>
      </c>
      <c r="B198" s="122">
        <v>17.610001</v>
      </c>
      <c r="C198" s="122">
        <v>17.629999000000002</v>
      </c>
      <c r="D198" s="122">
        <v>17.309999000000001</v>
      </c>
      <c r="E198" s="122">
        <v>17.399999999999999</v>
      </c>
      <c r="F198" s="122">
        <v>10.971871999999999</v>
      </c>
      <c r="G198" s="197">
        <v>74000</v>
      </c>
      <c r="H198" s="198">
        <f>IF(AND(E197&gt;=H197,E198&gt;=E197),E197*(1+'Trading Model'!$E$13),IF(AND(E198&lt;E197,E197&gt;=H197),E198*(1+'Trading Model'!$E$13),H197))</f>
        <v>18.868498950000003</v>
      </c>
      <c r="I198" s="198">
        <f>IF(K198&gt;0,E198*(1-'Trading Model'!E208),IF(E198&lt;I197,I197*(1-'Trading Model'!$E$14),I197))</f>
        <v>15.475617892624998</v>
      </c>
      <c r="J198" s="198">
        <f t="shared" si="31"/>
        <v>0</v>
      </c>
      <c r="K198" s="198">
        <f t="shared" si="26"/>
        <v>0</v>
      </c>
      <c r="L198" s="198">
        <f>COUNTIF(J198:K198,"&lt;&gt;0")*-'Trading Model'!$E$15</f>
        <v>0</v>
      </c>
      <c r="M198" s="198">
        <f t="shared" si="24"/>
        <v>0</v>
      </c>
      <c r="N198" s="75">
        <f t="shared" si="27"/>
        <v>13</v>
      </c>
      <c r="O198" s="202">
        <f t="shared" si="28"/>
        <v>0</v>
      </c>
      <c r="P198" s="199">
        <f t="shared" si="25"/>
        <v>0</v>
      </c>
      <c r="Q198" s="203">
        <f t="shared" si="29"/>
        <v>90.50000000000054</v>
      </c>
      <c r="R198" s="160" t="s">
        <v>55</v>
      </c>
      <c r="S198" s="201">
        <f t="shared" si="30"/>
        <v>-1.2485867622822444E-2</v>
      </c>
    </row>
    <row r="199" spans="1:19">
      <c r="A199" s="196">
        <v>40256</v>
      </c>
      <c r="B199" s="122">
        <v>17.299999</v>
      </c>
      <c r="C199" s="122">
        <v>17.559999000000001</v>
      </c>
      <c r="D199" s="122">
        <v>17.16</v>
      </c>
      <c r="E199" s="122">
        <v>17.299999</v>
      </c>
      <c r="F199" s="122">
        <v>10.908813</v>
      </c>
      <c r="G199" s="197">
        <v>98200</v>
      </c>
      <c r="H199" s="198">
        <f>IF(AND(E198&gt;=H198,E199&gt;=E198),E198*(1+'Trading Model'!$E$13),IF(AND(E199&lt;E198,E198&gt;=H198),E199*(1+'Trading Model'!$E$13),H198))</f>
        <v>18.868498950000003</v>
      </c>
      <c r="I199" s="198">
        <f>IF(K199&gt;0,E199*(1-'Trading Model'!E209),IF(E199&lt;I198,I198*(1-'Trading Model'!$E$14),I198))</f>
        <v>15.475617892624998</v>
      </c>
      <c r="J199" s="198">
        <f t="shared" si="31"/>
        <v>0</v>
      </c>
      <c r="K199" s="198">
        <f t="shared" si="26"/>
        <v>0</v>
      </c>
      <c r="L199" s="198">
        <f>COUNTIF(J199:K199,"&lt;&gt;0")*-'Trading Model'!$E$15</f>
        <v>0</v>
      </c>
      <c r="M199" s="198">
        <f t="shared" si="24"/>
        <v>0</v>
      </c>
      <c r="N199" s="75">
        <f t="shared" si="27"/>
        <v>13</v>
      </c>
      <c r="O199" s="202">
        <f t="shared" si="28"/>
        <v>0</v>
      </c>
      <c r="P199" s="199">
        <f t="shared" si="25"/>
        <v>0</v>
      </c>
      <c r="Q199" s="203">
        <f t="shared" si="29"/>
        <v>90.400000000000546</v>
      </c>
      <c r="R199" s="203" t="s">
        <v>55</v>
      </c>
      <c r="S199" s="201">
        <f t="shared" si="30"/>
        <v>-5.7471839080459608E-3</v>
      </c>
    </row>
    <row r="200" spans="1:19">
      <c r="A200" s="196">
        <v>40259</v>
      </c>
      <c r="B200" s="122">
        <v>17.129999000000002</v>
      </c>
      <c r="C200" s="122">
        <v>17.57</v>
      </c>
      <c r="D200" s="122">
        <v>17.129999000000002</v>
      </c>
      <c r="E200" s="122">
        <v>17.559999000000001</v>
      </c>
      <c r="F200" s="122">
        <v>11.072763</v>
      </c>
      <c r="G200" s="197">
        <v>115300</v>
      </c>
      <c r="H200" s="198">
        <f>IF(AND(E199&gt;=H199,E200&gt;=E199),E199*(1+'Trading Model'!$E$13),IF(AND(E200&lt;E199,E199&gt;=H199),E200*(1+'Trading Model'!$E$13),H199))</f>
        <v>18.868498950000003</v>
      </c>
      <c r="I200" s="198">
        <f>IF(K200&gt;0,E200*(1-'Trading Model'!E210),IF(E200&lt;I199,I199*(1-'Trading Model'!$E$14),I199))</f>
        <v>15.475617892624998</v>
      </c>
      <c r="J200" s="198">
        <f t="shared" si="31"/>
        <v>0</v>
      </c>
      <c r="K200" s="198">
        <f t="shared" si="26"/>
        <v>0</v>
      </c>
      <c r="L200" s="198">
        <f>COUNTIF(J200:K200,"&lt;&gt;0")*-'Trading Model'!$E$15</f>
        <v>0</v>
      </c>
      <c r="M200" s="198">
        <f t="shared" si="24"/>
        <v>0</v>
      </c>
      <c r="N200" s="75">
        <f t="shared" si="27"/>
        <v>13</v>
      </c>
      <c r="O200" s="202">
        <f t="shared" si="28"/>
        <v>0</v>
      </c>
      <c r="P200" s="199">
        <f t="shared" si="25"/>
        <v>0</v>
      </c>
      <c r="Q200" s="203">
        <f t="shared" si="29"/>
        <v>90.400000000000546</v>
      </c>
      <c r="R200" s="203" t="s">
        <v>55</v>
      </c>
      <c r="S200" s="201">
        <f t="shared" si="30"/>
        <v>1.5028902602826744E-2</v>
      </c>
    </row>
    <row r="201" spans="1:19">
      <c r="A201" s="196">
        <v>40260</v>
      </c>
      <c r="B201" s="122">
        <v>17.610001</v>
      </c>
      <c r="C201" s="122">
        <v>18.389999</v>
      </c>
      <c r="D201" s="122">
        <v>17.600000000000001</v>
      </c>
      <c r="E201" s="122">
        <v>18.379999000000002</v>
      </c>
      <c r="F201" s="122">
        <v>11.589828000000001</v>
      </c>
      <c r="G201" s="197">
        <v>175700</v>
      </c>
      <c r="H201" s="198">
        <f>IF(AND(E200&gt;=H200,E201&gt;=E200),E200*(1+'Trading Model'!$E$13),IF(AND(E201&lt;E200,E200&gt;=H200),E201*(1+'Trading Model'!$E$13),H200))</f>
        <v>18.868498950000003</v>
      </c>
      <c r="I201" s="198">
        <f>IF(K201&gt;0,E201*(1-'Trading Model'!E211),IF(E201&lt;I200,I200*(1-'Trading Model'!$E$14),I200))</f>
        <v>15.475617892624998</v>
      </c>
      <c r="J201" s="198">
        <f t="shared" si="31"/>
        <v>0</v>
      </c>
      <c r="K201" s="198">
        <f t="shared" si="26"/>
        <v>0</v>
      </c>
      <c r="L201" s="198">
        <f>COUNTIF(J201:K201,"&lt;&gt;0")*-'Trading Model'!$E$15</f>
        <v>0</v>
      </c>
      <c r="M201" s="198">
        <f t="shared" si="24"/>
        <v>0</v>
      </c>
      <c r="N201" s="75">
        <f t="shared" si="27"/>
        <v>13</v>
      </c>
      <c r="O201" s="202">
        <f t="shared" si="28"/>
        <v>0</v>
      </c>
      <c r="P201" s="199">
        <f t="shared" si="25"/>
        <v>0</v>
      </c>
      <c r="Q201" s="203">
        <f t="shared" si="29"/>
        <v>90.400000000000546</v>
      </c>
      <c r="R201" s="203" t="s">
        <v>55</v>
      </c>
      <c r="S201" s="201">
        <f t="shared" si="30"/>
        <v>4.6697041383658489E-2</v>
      </c>
    </row>
    <row r="202" spans="1:19">
      <c r="A202" s="196">
        <v>40261</v>
      </c>
      <c r="B202" s="122">
        <v>18.120000999999998</v>
      </c>
      <c r="C202" s="122">
        <v>18.5</v>
      </c>
      <c r="D202" s="122">
        <v>18.100000000000001</v>
      </c>
      <c r="E202" s="122">
        <v>18.43</v>
      </c>
      <c r="F202" s="122">
        <v>11.621356</v>
      </c>
      <c r="G202" s="197">
        <v>104900</v>
      </c>
      <c r="H202" s="198">
        <f>IF(AND(E201&gt;=H201,E202&gt;=E201),E201*(1+'Trading Model'!$E$13),IF(AND(E202&lt;E201,E201&gt;=H201),E202*(1+'Trading Model'!$E$13),H201))</f>
        <v>18.868498950000003</v>
      </c>
      <c r="I202" s="198">
        <f>IF(K202&gt;0,E202*(1-'Trading Model'!E212),IF(E202&lt;I201,I201*(1-'Trading Model'!$E$14),I201))</f>
        <v>15.475617892624998</v>
      </c>
      <c r="J202" s="198">
        <f t="shared" si="31"/>
        <v>0</v>
      </c>
      <c r="K202" s="198">
        <f t="shared" si="26"/>
        <v>0</v>
      </c>
      <c r="L202" s="198">
        <f>COUNTIF(J202:K202,"&lt;&gt;0")*-'Trading Model'!$E$15</f>
        <v>0</v>
      </c>
      <c r="M202" s="198">
        <f t="shared" si="24"/>
        <v>0</v>
      </c>
      <c r="N202" s="75">
        <f t="shared" si="27"/>
        <v>13</v>
      </c>
      <c r="O202" s="202">
        <f t="shared" si="28"/>
        <v>0</v>
      </c>
      <c r="P202" s="199">
        <f t="shared" si="25"/>
        <v>0</v>
      </c>
      <c r="Q202" s="203">
        <f t="shared" si="29"/>
        <v>90.400000000000546</v>
      </c>
      <c r="R202" s="201">
        <f>E202/B198-1</f>
        <v>4.6564392585781267E-2</v>
      </c>
      <c r="S202" s="201">
        <f t="shared" si="30"/>
        <v>2.7204027595431057E-3</v>
      </c>
    </row>
    <row r="203" spans="1:19">
      <c r="A203" s="196">
        <v>40262</v>
      </c>
      <c r="B203" s="122">
        <v>18.420000000000002</v>
      </c>
      <c r="C203" s="122">
        <v>18.850000000000001</v>
      </c>
      <c r="D203" s="122">
        <v>18.420000000000002</v>
      </c>
      <c r="E203" s="122">
        <v>18.489999999999998</v>
      </c>
      <c r="F203" s="122">
        <v>11.659190000000001</v>
      </c>
      <c r="G203" s="197">
        <v>123700</v>
      </c>
      <c r="H203" s="198">
        <f>IF(AND(E202&gt;=H202,E203&gt;=E202),E202*(1+'Trading Model'!$E$13),IF(AND(E203&lt;E202,E202&gt;=H202),E203*(1+'Trading Model'!$E$13),H202))</f>
        <v>18.868498950000003</v>
      </c>
      <c r="I203" s="198">
        <f>IF(K203&gt;0,E203*(1-'Trading Model'!E213),IF(E203&lt;I202,I202*(1-'Trading Model'!$E$14),I202))</f>
        <v>15.475617892624998</v>
      </c>
      <c r="J203" s="198">
        <f t="shared" si="31"/>
        <v>0</v>
      </c>
      <c r="K203" s="198">
        <f t="shared" si="26"/>
        <v>0</v>
      </c>
      <c r="L203" s="198">
        <f>COUNTIF(J203:K203,"&lt;&gt;0")*-'Trading Model'!$E$15</f>
        <v>0</v>
      </c>
      <c r="M203" s="198">
        <f t="shared" si="24"/>
        <v>0</v>
      </c>
      <c r="N203" s="75">
        <f t="shared" si="27"/>
        <v>13</v>
      </c>
      <c r="O203" s="202">
        <f t="shared" si="28"/>
        <v>0</v>
      </c>
      <c r="P203" s="199">
        <f t="shared" si="25"/>
        <v>0</v>
      </c>
      <c r="Q203" s="203">
        <f t="shared" si="29"/>
        <v>90.400000000000546</v>
      </c>
      <c r="R203" s="160" t="s">
        <v>55</v>
      </c>
      <c r="S203" s="201">
        <f t="shared" si="30"/>
        <v>3.2555615843732344E-3</v>
      </c>
    </row>
    <row r="204" spans="1:19">
      <c r="A204" s="196">
        <v>40263</v>
      </c>
      <c r="B204" s="122">
        <v>18.610001</v>
      </c>
      <c r="C204" s="122">
        <v>18.700001</v>
      </c>
      <c r="D204" s="122">
        <v>18.239999999999998</v>
      </c>
      <c r="E204" s="122">
        <v>18.32</v>
      </c>
      <c r="F204" s="122">
        <v>11.551992</v>
      </c>
      <c r="G204" s="197">
        <v>110500</v>
      </c>
      <c r="H204" s="198">
        <f>IF(AND(E203&gt;=H203,E204&gt;=E203),E203*(1+'Trading Model'!$E$13),IF(AND(E204&lt;E203,E203&gt;=H203),E204*(1+'Trading Model'!$E$13),H203))</f>
        <v>18.868498950000003</v>
      </c>
      <c r="I204" s="198">
        <f>IF(K204&gt;0,E204*(1-'Trading Model'!E214),IF(E204&lt;I203,I203*(1-'Trading Model'!$E$14),I203))</f>
        <v>15.475617892624998</v>
      </c>
      <c r="J204" s="198">
        <f t="shared" si="31"/>
        <v>0</v>
      </c>
      <c r="K204" s="198">
        <f t="shared" si="26"/>
        <v>0</v>
      </c>
      <c r="L204" s="198">
        <f>COUNTIF(J204:K204,"&lt;&gt;0")*-'Trading Model'!$E$15</f>
        <v>0</v>
      </c>
      <c r="M204" s="198">
        <f t="shared" si="24"/>
        <v>0</v>
      </c>
      <c r="N204" s="75">
        <f t="shared" si="27"/>
        <v>13</v>
      </c>
      <c r="O204" s="202">
        <f t="shared" si="28"/>
        <v>0</v>
      </c>
      <c r="P204" s="199">
        <f t="shared" si="25"/>
        <v>0</v>
      </c>
      <c r="Q204" s="203">
        <f t="shared" si="29"/>
        <v>90.300000000000551</v>
      </c>
      <c r="R204" s="203" t="s">
        <v>55</v>
      </c>
      <c r="S204" s="201">
        <f t="shared" si="30"/>
        <v>-9.1941590048674193E-3</v>
      </c>
    </row>
    <row r="205" spans="1:19">
      <c r="A205" s="196">
        <v>40266</v>
      </c>
      <c r="B205" s="122">
        <v>18.489999999999998</v>
      </c>
      <c r="C205" s="122">
        <v>18.899999999999999</v>
      </c>
      <c r="D205" s="122">
        <v>18.489999999999998</v>
      </c>
      <c r="E205" s="122">
        <v>18.739999999999998</v>
      </c>
      <c r="F205" s="122">
        <v>11.816833000000001</v>
      </c>
      <c r="G205" s="197">
        <v>185100</v>
      </c>
      <c r="H205" s="198">
        <f>IF(AND(E204&gt;=H204,E205&gt;=E204),E204*(1+'Trading Model'!$E$13),IF(AND(E205&lt;E204,E204&gt;=H204),E205*(1+'Trading Model'!$E$13),H204))</f>
        <v>18.868498950000003</v>
      </c>
      <c r="I205" s="198">
        <f>IF(K205&gt;0,E205*(1-'Trading Model'!E215),IF(E205&lt;I204,I204*(1-'Trading Model'!$E$14),I204))</f>
        <v>15.475617892624998</v>
      </c>
      <c r="J205" s="198">
        <f t="shared" si="31"/>
        <v>0</v>
      </c>
      <c r="K205" s="198">
        <f t="shared" si="26"/>
        <v>0</v>
      </c>
      <c r="L205" s="198">
        <f>COUNTIF(J205:K205,"&lt;&gt;0")*-'Trading Model'!$E$15</f>
        <v>0</v>
      </c>
      <c r="M205" s="198">
        <f t="shared" si="24"/>
        <v>0</v>
      </c>
      <c r="N205" s="75">
        <f t="shared" si="27"/>
        <v>13</v>
      </c>
      <c r="O205" s="202">
        <f t="shared" si="28"/>
        <v>0</v>
      </c>
      <c r="P205" s="199">
        <f t="shared" si="25"/>
        <v>0</v>
      </c>
      <c r="Q205" s="203">
        <f t="shared" si="29"/>
        <v>90.300000000000551</v>
      </c>
      <c r="R205" s="203" t="s">
        <v>55</v>
      </c>
      <c r="S205" s="201">
        <f t="shared" si="30"/>
        <v>2.2925764192139653E-2</v>
      </c>
    </row>
    <row r="206" spans="1:19">
      <c r="A206" s="196">
        <v>40267</v>
      </c>
      <c r="B206" s="122">
        <v>18.66</v>
      </c>
      <c r="C206" s="122">
        <v>18.91</v>
      </c>
      <c r="D206" s="122">
        <v>18.57</v>
      </c>
      <c r="E206" s="122">
        <v>18.790001</v>
      </c>
      <c r="F206" s="122">
        <v>11.848363000000001</v>
      </c>
      <c r="G206" s="197">
        <v>73000</v>
      </c>
      <c r="H206" s="198">
        <f>IF(AND(E205&gt;=H205,E206&gt;=E205),E205*(1+'Trading Model'!$E$13),IF(AND(E206&lt;E205,E205&gt;=H205),E206*(1+'Trading Model'!$E$13),H205))</f>
        <v>18.868498950000003</v>
      </c>
      <c r="I206" s="198">
        <f>IF(K206&gt;0,E206*(1-'Trading Model'!E216),IF(E206&lt;I205,I205*(1-'Trading Model'!$E$14),I205))</f>
        <v>15.475617892624998</v>
      </c>
      <c r="J206" s="198">
        <f t="shared" si="31"/>
        <v>0</v>
      </c>
      <c r="K206" s="198">
        <f t="shared" si="26"/>
        <v>0</v>
      </c>
      <c r="L206" s="198">
        <f>COUNTIF(J206:K206,"&lt;&gt;0")*-'Trading Model'!$E$15</f>
        <v>0</v>
      </c>
      <c r="M206" s="198">
        <f t="shared" si="24"/>
        <v>0</v>
      </c>
      <c r="N206" s="75">
        <f t="shared" si="27"/>
        <v>13</v>
      </c>
      <c r="O206" s="202">
        <f t="shared" si="28"/>
        <v>0</v>
      </c>
      <c r="P206" s="199">
        <f t="shared" si="25"/>
        <v>0</v>
      </c>
      <c r="Q206" s="203">
        <f t="shared" si="29"/>
        <v>90.300000000000551</v>
      </c>
      <c r="R206" s="203" t="s">
        <v>55</v>
      </c>
      <c r="S206" s="201">
        <f t="shared" si="30"/>
        <v>2.6681430096051617E-3</v>
      </c>
    </row>
    <row r="207" spans="1:19">
      <c r="A207" s="196">
        <v>40268</v>
      </c>
      <c r="B207" s="122">
        <v>18.739999999999998</v>
      </c>
      <c r="C207" s="122">
        <v>19</v>
      </c>
      <c r="D207" s="122">
        <v>18.639999</v>
      </c>
      <c r="E207" s="122">
        <v>18.739999999999998</v>
      </c>
      <c r="F207" s="122">
        <v>11.816833000000001</v>
      </c>
      <c r="G207" s="197">
        <v>66800</v>
      </c>
      <c r="H207" s="198">
        <f>IF(AND(E206&gt;=H206,E207&gt;=E206),E206*(1+'Trading Model'!$E$13),IF(AND(E207&lt;E206,E206&gt;=H206),E207*(1+'Trading Model'!$E$13),H206))</f>
        <v>18.868498950000003</v>
      </c>
      <c r="I207" s="198">
        <f>IF(K207&gt;0,E207*(1-'Trading Model'!E217),IF(E207&lt;I206,I206*(1-'Trading Model'!$E$14),I206))</f>
        <v>15.475617892624998</v>
      </c>
      <c r="J207" s="198">
        <f t="shared" si="31"/>
        <v>0</v>
      </c>
      <c r="K207" s="198">
        <f t="shared" si="26"/>
        <v>0</v>
      </c>
      <c r="L207" s="198">
        <f>COUNTIF(J207:K207,"&lt;&gt;0")*-'Trading Model'!$E$15</f>
        <v>0</v>
      </c>
      <c r="M207" s="198">
        <f t="shared" si="24"/>
        <v>0</v>
      </c>
      <c r="N207" s="75">
        <f t="shared" si="27"/>
        <v>13</v>
      </c>
      <c r="O207" s="202">
        <f t="shared" si="28"/>
        <v>0</v>
      </c>
      <c r="P207" s="199">
        <f t="shared" si="25"/>
        <v>0</v>
      </c>
      <c r="Q207" s="203">
        <f t="shared" si="29"/>
        <v>90.200000000000557</v>
      </c>
      <c r="R207" s="201">
        <f>E207/B203-1</f>
        <v>1.7372421281215855E-2</v>
      </c>
      <c r="S207" s="201">
        <f t="shared" si="30"/>
        <v>-2.6610429664161162E-3</v>
      </c>
    </row>
    <row r="208" spans="1:19">
      <c r="A208" s="196">
        <v>40269</v>
      </c>
      <c r="B208" s="122">
        <v>18.760000000000002</v>
      </c>
      <c r="C208" s="122">
        <v>19.129999000000002</v>
      </c>
      <c r="D208" s="122">
        <v>18.739999999999998</v>
      </c>
      <c r="E208" s="122">
        <v>18.84</v>
      </c>
      <c r="F208" s="122">
        <v>11.879891000000001</v>
      </c>
      <c r="G208" s="197">
        <v>145200</v>
      </c>
      <c r="H208" s="198">
        <f>IF(AND(E207&gt;=H207,E208&gt;=E207),E207*(1+'Trading Model'!$E$13),IF(AND(E208&lt;E207,E207&gt;=H207),E208*(1+'Trading Model'!$E$13),H207))</f>
        <v>18.868498950000003</v>
      </c>
      <c r="I208" s="198">
        <f>IF(K208&gt;0,E208*(1-'Trading Model'!E218),IF(E208&lt;I207,I207*(1-'Trading Model'!$E$14),I207))</f>
        <v>15.475617892624998</v>
      </c>
      <c r="J208" s="198">
        <f t="shared" si="31"/>
        <v>0</v>
      </c>
      <c r="K208" s="198">
        <f t="shared" si="26"/>
        <v>0</v>
      </c>
      <c r="L208" s="198">
        <f>COUNTIF(J208:K208,"&lt;&gt;0")*-'Trading Model'!$E$15</f>
        <v>0</v>
      </c>
      <c r="M208" s="198">
        <f t="shared" si="24"/>
        <v>0</v>
      </c>
      <c r="N208" s="75">
        <f t="shared" si="27"/>
        <v>13</v>
      </c>
      <c r="O208" s="202">
        <f t="shared" si="28"/>
        <v>0</v>
      </c>
      <c r="P208" s="199">
        <f t="shared" si="25"/>
        <v>0</v>
      </c>
      <c r="Q208" s="203">
        <f t="shared" si="29"/>
        <v>90.200000000000557</v>
      </c>
      <c r="R208" s="160" t="s">
        <v>55</v>
      </c>
      <c r="S208" s="201">
        <f t="shared" si="30"/>
        <v>5.3361792956243548E-3</v>
      </c>
    </row>
    <row r="209" spans="1:19">
      <c r="A209" s="196">
        <v>40273</v>
      </c>
      <c r="B209" s="122">
        <v>19.02</v>
      </c>
      <c r="C209" s="122">
        <v>19.02</v>
      </c>
      <c r="D209" s="122">
        <v>18.809999000000001</v>
      </c>
      <c r="E209" s="122">
        <v>18.870000999999998</v>
      </c>
      <c r="F209" s="122">
        <v>11.898806</v>
      </c>
      <c r="G209" s="197">
        <v>79000</v>
      </c>
      <c r="H209" s="198">
        <f>IF(AND(E208&gt;=H208,E209&gt;=E208),E208*(1+'Trading Model'!$E$13),IF(AND(E209&lt;E208,E208&gt;=H208),E209*(1+'Trading Model'!$E$13),H208))</f>
        <v>18.868498950000003</v>
      </c>
      <c r="I209" s="198">
        <f>IF(K209&gt;0,E209*(1-'Trading Model'!E219),IF(E209&lt;I208,I208*(1-'Trading Model'!$E$14),I208))</f>
        <v>18.870000999999998</v>
      </c>
      <c r="J209" s="198">
        <f t="shared" si="31"/>
        <v>-18.870000999999998</v>
      </c>
      <c r="K209" s="198">
        <f t="shared" si="26"/>
        <v>18.870000999999998</v>
      </c>
      <c r="L209" s="198">
        <f>COUNTIF(J209:K209,"&lt;&gt;0")*-'Trading Model'!$E$15</f>
        <v>-0.2</v>
      </c>
      <c r="M209" s="198">
        <f t="shared" si="24"/>
        <v>-0.2</v>
      </c>
      <c r="N209" s="75">
        <f t="shared" si="27"/>
        <v>13</v>
      </c>
      <c r="O209" s="202">
        <f t="shared" si="28"/>
        <v>0</v>
      </c>
      <c r="P209" s="199">
        <f t="shared" si="25"/>
        <v>0</v>
      </c>
      <c r="Q209" s="203">
        <f t="shared" si="29"/>
        <v>90.200000000000557</v>
      </c>
      <c r="R209" s="203" t="s">
        <v>55</v>
      </c>
      <c r="S209" s="201">
        <f t="shared" si="30"/>
        <v>1.5924097664543613E-3</v>
      </c>
    </row>
    <row r="210" spans="1:19">
      <c r="A210" s="196">
        <v>40274</v>
      </c>
      <c r="B210" s="122">
        <v>18.899999999999999</v>
      </c>
      <c r="C210" s="122">
        <v>19.41</v>
      </c>
      <c r="D210" s="122">
        <v>18.860001</v>
      </c>
      <c r="E210" s="122">
        <v>19.379999000000002</v>
      </c>
      <c r="F210" s="122">
        <v>12.220395</v>
      </c>
      <c r="G210" s="197">
        <v>209300</v>
      </c>
      <c r="H210" s="198">
        <f>IF(AND(E209&gt;=H209,E210&gt;=E209),E209*(1+'Trading Model'!$E$13),IF(AND(E210&lt;E209,E209&gt;=H209),E210*(1+'Trading Model'!$E$13),H209))</f>
        <v>19.813501049999999</v>
      </c>
      <c r="I210" s="198">
        <f>IF(K210&gt;0,E210*(1-'Trading Model'!E220),IF(E210&lt;I209,I209*(1-'Trading Model'!$E$14),I209))</f>
        <v>18.870000999999998</v>
      </c>
      <c r="J210" s="198">
        <f t="shared" si="31"/>
        <v>0</v>
      </c>
      <c r="K210" s="198">
        <f t="shared" si="26"/>
        <v>0</v>
      </c>
      <c r="L210" s="198">
        <f>COUNTIF(J210:K210,"&lt;&gt;0")*-'Trading Model'!$E$15</f>
        <v>0</v>
      </c>
      <c r="M210" s="198">
        <f t="shared" si="24"/>
        <v>0</v>
      </c>
      <c r="N210" s="75">
        <f t="shared" si="27"/>
        <v>13</v>
      </c>
      <c r="O210" s="202">
        <f t="shared" si="28"/>
        <v>0</v>
      </c>
      <c r="P210" s="199">
        <f t="shared" si="25"/>
        <v>0</v>
      </c>
      <c r="Q210" s="203">
        <f t="shared" si="29"/>
        <v>90.200000000000557</v>
      </c>
      <c r="R210" s="203" t="s">
        <v>55</v>
      </c>
      <c r="S210" s="201">
        <f t="shared" si="30"/>
        <v>2.7026919606416788E-2</v>
      </c>
    </row>
    <row r="211" spans="1:19">
      <c r="A211" s="196">
        <v>40275</v>
      </c>
      <c r="B211" s="122">
        <v>19.469999000000001</v>
      </c>
      <c r="C211" s="122">
        <v>19.950001</v>
      </c>
      <c r="D211" s="122">
        <v>19.41</v>
      </c>
      <c r="E211" s="122">
        <v>19.540001</v>
      </c>
      <c r="F211" s="122">
        <v>12.321286000000001</v>
      </c>
      <c r="G211" s="197">
        <v>198100</v>
      </c>
      <c r="H211" s="198">
        <f>IF(AND(E210&gt;=H210,E211&gt;=E210),E210*(1+'Trading Model'!$E$13),IF(AND(E211&lt;E210,E210&gt;=H210),E211*(1+'Trading Model'!$E$13),H210))</f>
        <v>19.813501049999999</v>
      </c>
      <c r="I211" s="198">
        <f>IF(K211&gt;0,E211*(1-'Trading Model'!E221),IF(E211&lt;I210,I210*(1-'Trading Model'!$E$14),I210))</f>
        <v>18.870000999999998</v>
      </c>
      <c r="J211" s="198">
        <f t="shared" si="31"/>
        <v>0</v>
      </c>
      <c r="K211" s="198">
        <f t="shared" si="26"/>
        <v>0</v>
      </c>
      <c r="L211" s="198">
        <f>COUNTIF(J211:K211,"&lt;&gt;0")*-'Trading Model'!$E$15</f>
        <v>0</v>
      </c>
      <c r="M211" s="198">
        <f t="shared" si="24"/>
        <v>0</v>
      </c>
      <c r="N211" s="75">
        <f t="shared" si="27"/>
        <v>13</v>
      </c>
      <c r="O211" s="202">
        <f t="shared" si="28"/>
        <v>0</v>
      </c>
      <c r="P211" s="199">
        <f t="shared" si="25"/>
        <v>0</v>
      </c>
      <c r="Q211" s="203">
        <f t="shared" si="29"/>
        <v>90.200000000000557</v>
      </c>
      <c r="R211" s="203" t="s">
        <v>55</v>
      </c>
      <c r="S211" s="201">
        <f t="shared" si="30"/>
        <v>8.256037577710762E-3</v>
      </c>
    </row>
    <row r="212" spans="1:19">
      <c r="A212" s="196">
        <v>40276</v>
      </c>
      <c r="B212" s="122">
        <v>19.420000000000002</v>
      </c>
      <c r="C212" s="122">
        <v>19.68</v>
      </c>
      <c r="D212" s="122">
        <v>19</v>
      </c>
      <c r="E212" s="122">
        <v>19.450001</v>
      </c>
      <c r="F212" s="122">
        <v>12.264535</v>
      </c>
      <c r="G212" s="197">
        <v>116900</v>
      </c>
      <c r="H212" s="198">
        <f>IF(AND(E211&gt;=H211,E212&gt;=E211),E211*(1+'Trading Model'!$E$13),IF(AND(E212&lt;E211,E211&gt;=H211),E212*(1+'Trading Model'!$E$13),H211))</f>
        <v>19.813501049999999</v>
      </c>
      <c r="I212" s="198">
        <f>IF(K212&gt;0,E212*(1-'Trading Model'!E222),IF(E212&lt;I211,I211*(1-'Trading Model'!$E$14),I211))</f>
        <v>18.870000999999998</v>
      </c>
      <c r="J212" s="198">
        <f t="shared" si="31"/>
        <v>0</v>
      </c>
      <c r="K212" s="198">
        <f t="shared" si="26"/>
        <v>0</v>
      </c>
      <c r="L212" s="198">
        <f>COUNTIF(J212:K212,"&lt;&gt;0")*-'Trading Model'!$E$15</f>
        <v>0</v>
      </c>
      <c r="M212" s="198">
        <f t="shared" si="24"/>
        <v>0</v>
      </c>
      <c r="N212" s="75">
        <f t="shared" si="27"/>
        <v>13</v>
      </c>
      <c r="O212" s="202">
        <f t="shared" si="28"/>
        <v>0</v>
      </c>
      <c r="P212" s="199">
        <f t="shared" si="25"/>
        <v>0</v>
      </c>
      <c r="Q212" s="203">
        <f t="shared" si="29"/>
        <v>90.100000000000563</v>
      </c>
      <c r="R212" s="201">
        <f>E212/B208-1</f>
        <v>3.678043710021317E-2</v>
      </c>
      <c r="S212" s="201">
        <f t="shared" si="30"/>
        <v>-4.6059363047115109E-3</v>
      </c>
    </row>
    <row r="213" spans="1:19">
      <c r="A213" s="196">
        <v>40277</v>
      </c>
      <c r="B213" s="122">
        <v>19.579999999999998</v>
      </c>
      <c r="C213" s="122">
        <v>20.09</v>
      </c>
      <c r="D213" s="122">
        <v>19.399999999999999</v>
      </c>
      <c r="E213" s="122">
        <v>20.030000999999999</v>
      </c>
      <c r="F213" s="122">
        <v>12.630265</v>
      </c>
      <c r="G213" s="197">
        <v>137400</v>
      </c>
      <c r="H213" s="198">
        <f>IF(AND(E212&gt;=H212,E213&gt;=E212),E212*(1+'Trading Model'!$E$13),IF(AND(E213&lt;E212,E212&gt;=H212),E213*(1+'Trading Model'!$E$13),H212))</f>
        <v>19.813501049999999</v>
      </c>
      <c r="I213" s="198">
        <f>IF(K213&gt;0,E213*(1-'Trading Model'!E223),IF(E213&lt;I212,I212*(1-'Trading Model'!$E$14),I212))</f>
        <v>20.030000999999999</v>
      </c>
      <c r="J213" s="198">
        <f t="shared" si="31"/>
        <v>-20.030000999999999</v>
      </c>
      <c r="K213" s="198">
        <f t="shared" si="26"/>
        <v>20.030000999999999</v>
      </c>
      <c r="L213" s="198">
        <f>COUNTIF(J213:K213,"&lt;&gt;0")*-'Trading Model'!$E$15</f>
        <v>-0.2</v>
      </c>
      <c r="M213" s="198">
        <f t="shared" si="24"/>
        <v>-0.2</v>
      </c>
      <c r="N213" s="75">
        <f t="shared" si="27"/>
        <v>13</v>
      </c>
      <c r="O213" s="202">
        <f t="shared" si="28"/>
        <v>0</v>
      </c>
      <c r="P213" s="199">
        <f t="shared" si="25"/>
        <v>0</v>
      </c>
      <c r="Q213" s="203">
        <f t="shared" si="29"/>
        <v>90.100000000000563</v>
      </c>
      <c r="R213" s="160" t="s">
        <v>55</v>
      </c>
      <c r="S213" s="201">
        <f t="shared" si="30"/>
        <v>2.982004988071707E-2</v>
      </c>
    </row>
    <row r="214" spans="1:19">
      <c r="A214" s="196">
        <v>40280</v>
      </c>
      <c r="B214" s="122">
        <v>20.190000999999999</v>
      </c>
      <c r="C214" s="122">
        <v>20.51</v>
      </c>
      <c r="D214" s="122">
        <v>20.030000999999999</v>
      </c>
      <c r="E214" s="122">
        <v>20.5</v>
      </c>
      <c r="F214" s="122">
        <v>12.926629999999999</v>
      </c>
      <c r="G214" s="197">
        <v>114100</v>
      </c>
      <c r="H214" s="198">
        <f>IF(AND(E213&gt;=H213,E214&gt;=E213),E213*(1+'Trading Model'!$E$13),IF(AND(E214&lt;E213,E213&gt;=H213),E214*(1+'Trading Model'!$E$13),H213))</f>
        <v>21.031501049999999</v>
      </c>
      <c r="I214" s="198">
        <f>IF(K214&gt;0,E214*(1-'Trading Model'!E224),IF(E214&lt;I213,I213*(1-'Trading Model'!$E$14),I213))</f>
        <v>20.030000999999999</v>
      </c>
      <c r="J214" s="198">
        <f t="shared" si="31"/>
        <v>0</v>
      </c>
      <c r="K214" s="198">
        <f t="shared" si="26"/>
        <v>0</v>
      </c>
      <c r="L214" s="198">
        <f>COUNTIF(J214:K214,"&lt;&gt;0")*-'Trading Model'!$E$15</f>
        <v>0</v>
      </c>
      <c r="M214" s="198">
        <f t="shared" si="24"/>
        <v>0</v>
      </c>
      <c r="N214" s="75">
        <f t="shared" si="27"/>
        <v>13</v>
      </c>
      <c r="O214" s="202">
        <f t="shared" si="28"/>
        <v>0</v>
      </c>
      <c r="P214" s="199">
        <f t="shared" si="25"/>
        <v>0</v>
      </c>
      <c r="Q214" s="203">
        <f t="shared" si="29"/>
        <v>90.100000000000563</v>
      </c>
      <c r="R214" s="203" t="s">
        <v>55</v>
      </c>
      <c r="S214" s="201">
        <f t="shared" si="30"/>
        <v>2.3464751699213693E-2</v>
      </c>
    </row>
    <row r="215" spans="1:19">
      <c r="A215" s="196">
        <v>40281</v>
      </c>
      <c r="B215" s="122">
        <v>20.620000999999998</v>
      </c>
      <c r="C215" s="122">
        <v>20.98</v>
      </c>
      <c r="D215" s="122">
        <v>20.52</v>
      </c>
      <c r="E215" s="122">
        <v>20.76</v>
      </c>
      <c r="F215" s="122">
        <v>13.090581</v>
      </c>
      <c r="G215" s="197">
        <v>180900</v>
      </c>
      <c r="H215" s="198">
        <f>IF(AND(E214&gt;=H214,E215&gt;=E214),E214*(1+'Trading Model'!$E$13),IF(AND(E215&lt;E214,E214&gt;=H214),E215*(1+'Trading Model'!$E$13),H214))</f>
        <v>21.031501049999999</v>
      </c>
      <c r="I215" s="198">
        <f>IF(K215&gt;0,E215*(1-'Trading Model'!E225),IF(E215&lt;I214,I214*(1-'Trading Model'!$E$14),I214))</f>
        <v>20.030000999999999</v>
      </c>
      <c r="J215" s="198">
        <f t="shared" si="31"/>
        <v>0</v>
      </c>
      <c r="K215" s="198">
        <f t="shared" si="26"/>
        <v>0</v>
      </c>
      <c r="L215" s="198">
        <f>COUNTIF(J215:K215,"&lt;&gt;0")*-'Trading Model'!$E$15</f>
        <v>0</v>
      </c>
      <c r="M215" s="198">
        <f t="shared" si="24"/>
        <v>0</v>
      </c>
      <c r="N215" s="75">
        <f t="shared" si="27"/>
        <v>13</v>
      </c>
      <c r="O215" s="202">
        <f t="shared" si="28"/>
        <v>0</v>
      </c>
      <c r="P215" s="199">
        <f t="shared" si="25"/>
        <v>0</v>
      </c>
      <c r="Q215" s="203">
        <f t="shared" si="29"/>
        <v>90.100000000000563</v>
      </c>
      <c r="R215" s="203" t="s">
        <v>55</v>
      </c>
      <c r="S215" s="201">
        <f t="shared" si="30"/>
        <v>1.2682926829268304E-2</v>
      </c>
    </row>
    <row r="216" spans="1:19">
      <c r="A216" s="196">
        <v>40282</v>
      </c>
      <c r="B216" s="122">
        <v>20.77</v>
      </c>
      <c r="C216" s="122">
        <v>20.99</v>
      </c>
      <c r="D216" s="122">
        <v>20.77</v>
      </c>
      <c r="E216" s="122">
        <v>20.959999</v>
      </c>
      <c r="F216" s="122">
        <v>13.21669</v>
      </c>
      <c r="G216" s="197">
        <v>96900</v>
      </c>
      <c r="H216" s="198">
        <f>IF(AND(E215&gt;=H215,E216&gt;=E215),E215*(1+'Trading Model'!$E$13),IF(AND(E216&lt;E215,E215&gt;=H215),E216*(1+'Trading Model'!$E$13),H215))</f>
        <v>21.031501049999999</v>
      </c>
      <c r="I216" s="198">
        <f>IF(K216&gt;0,E216*(1-'Trading Model'!E226),IF(E216&lt;I215,I215*(1-'Trading Model'!$E$14),I215))</f>
        <v>20.030000999999999</v>
      </c>
      <c r="J216" s="198">
        <f t="shared" si="31"/>
        <v>0</v>
      </c>
      <c r="K216" s="198">
        <f t="shared" si="26"/>
        <v>0</v>
      </c>
      <c r="L216" s="198">
        <f>COUNTIF(J216:K216,"&lt;&gt;0")*-'Trading Model'!$E$15</f>
        <v>0</v>
      </c>
      <c r="M216" s="198">
        <f t="shared" si="24"/>
        <v>0</v>
      </c>
      <c r="N216" s="75">
        <f t="shared" si="27"/>
        <v>13</v>
      </c>
      <c r="O216" s="202">
        <f t="shared" si="28"/>
        <v>0</v>
      </c>
      <c r="P216" s="199">
        <f t="shared" si="25"/>
        <v>0</v>
      </c>
      <c r="Q216" s="203">
        <f t="shared" si="29"/>
        <v>90.100000000000563</v>
      </c>
      <c r="R216" s="203" t="s">
        <v>55</v>
      </c>
      <c r="S216" s="201">
        <f t="shared" si="30"/>
        <v>9.6338631984584921E-3</v>
      </c>
    </row>
    <row r="217" spans="1:19">
      <c r="A217" s="196">
        <v>40283</v>
      </c>
      <c r="B217" s="122">
        <v>21.09</v>
      </c>
      <c r="C217" s="122">
        <v>21.959999</v>
      </c>
      <c r="D217" s="122">
        <v>21.09</v>
      </c>
      <c r="E217" s="122">
        <v>21.219999000000001</v>
      </c>
      <c r="F217" s="122">
        <v>13.380637999999999</v>
      </c>
      <c r="G217" s="197">
        <v>341600</v>
      </c>
      <c r="H217" s="198">
        <f>IF(AND(E216&gt;=H216,E217&gt;=E216),E216*(1+'Trading Model'!$E$13),IF(AND(E217&lt;E216,E216&gt;=H216),E217*(1+'Trading Model'!$E$13),H216))</f>
        <v>21.031501049999999</v>
      </c>
      <c r="I217" s="198">
        <f>IF(K217&gt;0,E217*(1-'Trading Model'!E227),IF(E217&lt;I216,I216*(1-'Trading Model'!$E$14),I216))</f>
        <v>21.219999000000001</v>
      </c>
      <c r="J217" s="198">
        <f t="shared" si="31"/>
        <v>-21.219999000000001</v>
      </c>
      <c r="K217" s="198">
        <f t="shared" si="26"/>
        <v>21.219999000000001</v>
      </c>
      <c r="L217" s="198">
        <f>COUNTIF(J217:K217,"&lt;&gt;0")*-'Trading Model'!$E$15</f>
        <v>-0.2</v>
      </c>
      <c r="M217" s="198">
        <f t="shared" si="24"/>
        <v>-0.2</v>
      </c>
      <c r="N217" s="75">
        <f t="shared" si="27"/>
        <v>13</v>
      </c>
      <c r="O217" s="202">
        <f t="shared" si="28"/>
        <v>0</v>
      </c>
      <c r="P217" s="199">
        <f t="shared" si="25"/>
        <v>0</v>
      </c>
      <c r="Q217" s="203">
        <f t="shared" si="29"/>
        <v>90.100000000000563</v>
      </c>
      <c r="R217" s="201">
        <f>E217/B213-1</f>
        <v>8.3758886618999107E-2</v>
      </c>
      <c r="S217" s="201">
        <f t="shared" si="30"/>
        <v>1.2404580744493465E-2</v>
      </c>
    </row>
    <row r="218" spans="1:19">
      <c r="A218" s="196">
        <v>40284</v>
      </c>
      <c r="B218" s="122">
        <v>21.32</v>
      </c>
      <c r="C218" s="122">
        <v>21.51</v>
      </c>
      <c r="D218" s="122">
        <v>20.92</v>
      </c>
      <c r="E218" s="122">
        <v>20.959999</v>
      </c>
      <c r="F218" s="122">
        <v>13.21669</v>
      </c>
      <c r="G218" s="197">
        <v>164700</v>
      </c>
      <c r="H218" s="198">
        <f>IF(AND(E217&gt;=H217,E218&gt;=E217),E217*(1+'Trading Model'!$E$13),IF(AND(E218&lt;E217,E217&gt;=H217),E218*(1+'Trading Model'!$E$13),H217))</f>
        <v>22.007998950000001</v>
      </c>
      <c r="I218" s="198">
        <f>IF(K218&gt;0,E218*(1-'Trading Model'!E228),IF(E218&lt;I217,I217*(1-'Trading Model'!$E$14),I217))</f>
        <v>20.158999050000002</v>
      </c>
      <c r="J218" s="198">
        <f t="shared" si="31"/>
        <v>-20.959999</v>
      </c>
      <c r="K218" s="198">
        <f t="shared" si="26"/>
        <v>0</v>
      </c>
      <c r="L218" s="198">
        <f>COUNTIF(J218:K218,"&lt;&gt;0")*-'Trading Model'!$E$15</f>
        <v>-0.1</v>
      </c>
      <c r="M218" s="198">
        <f t="shared" si="24"/>
        <v>-21.059999000000001</v>
      </c>
      <c r="N218" s="75">
        <f t="shared" si="27"/>
        <v>14</v>
      </c>
      <c r="O218" s="202">
        <f t="shared" si="28"/>
        <v>0</v>
      </c>
      <c r="P218" s="199">
        <f t="shared" si="25"/>
        <v>0</v>
      </c>
      <c r="Q218" s="203">
        <f t="shared" si="29"/>
        <v>90.000000000000568</v>
      </c>
      <c r="R218" s="160" t="s">
        <v>55</v>
      </c>
      <c r="S218" s="201">
        <f t="shared" si="30"/>
        <v>-1.2252592471847068E-2</v>
      </c>
    </row>
    <row r="219" spans="1:19">
      <c r="A219" s="196">
        <v>40287</v>
      </c>
      <c r="B219" s="122">
        <v>21.01</v>
      </c>
      <c r="C219" s="122">
        <v>21.1</v>
      </c>
      <c r="D219" s="122">
        <v>20.57</v>
      </c>
      <c r="E219" s="122">
        <v>20.82</v>
      </c>
      <c r="F219" s="122">
        <v>13.128413999999999</v>
      </c>
      <c r="G219" s="197">
        <v>102000</v>
      </c>
      <c r="H219" s="198">
        <f>IF(AND(E218&gt;=H218,E219&gt;=E218),E218*(1+'Trading Model'!$E$13),IF(AND(E219&lt;E218,E218&gt;=H218),E219*(1+'Trading Model'!$E$13),H218))</f>
        <v>22.007998950000001</v>
      </c>
      <c r="I219" s="198">
        <f>IF(K219&gt;0,E219*(1-'Trading Model'!E229),IF(E219&lt;I218,I218*(1-'Trading Model'!$E$14),I218))</f>
        <v>20.158999050000002</v>
      </c>
      <c r="J219" s="198">
        <f t="shared" si="31"/>
        <v>0</v>
      </c>
      <c r="K219" s="198">
        <f t="shared" si="26"/>
        <v>0</v>
      </c>
      <c r="L219" s="198">
        <f>COUNTIF(J219:K219,"&lt;&gt;0")*-'Trading Model'!$E$15</f>
        <v>0</v>
      </c>
      <c r="M219" s="198">
        <f t="shared" si="24"/>
        <v>0</v>
      </c>
      <c r="N219" s="75">
        <f t="shared" si="27"/>
        <v>14</v>
      </c>
      <c r="O219" s="202">
        <f t="shared" si="28"/>
        <v>0</v>
      </c>
      <c r="P219" s="199">
        <f t="shared" si="25"/>
        <v>0</v>
      </c>
      <c r="Q219" s="203">
        <f t="shared" si="29"/>
        <v>89.900000000000574</v>
      </c>
      <c r="R219" s="203" t="s">
        <v>55</v>
      </c>
      <c r="S219" s="201">
        <f t="shared" si="30"/>
        <v>-6.6793419217242578E-3</v>
      </c>
    </row>
    <row r="220" spans="1:19">
      <c r="A220" s="196">
        <v>40288</v>
      </c>
      <c r="B220" s="122">
        <v>21.139999</v>
      </c>
      <c r="C220" s="122">
        <v>21.18</v>
      </c>
      <c r="D220" s="122">
        <v>20.940000999999999</v>
      </c>
      <c r="E220" s="122">
        <v>21.040001</v>
      </c>
      <c r="F220" s="122">
        <v>13.267137999999999</v>
      </c>
      <c r="G220" s="197">
        <v>116700</v>
      </c>
      <c r="H220" s="198">
        <f>IF(AND(E219&gt;=H219,E220&gt;=E219),E219*(1+'Trading Model'!$E$13),IF(AND(E220&lt;E219,E219&gt;=H219),E220*(1+'Trading Model'!$E$13),H219))</f>
        <v>22.007998950000001</v>
      </c>
      <c r="I220" s="198">
        <f>IF(K220&gt;0,E220*(1-'Trading Model'!E230),IF(E220&lt;I219,I219*(1-'Trading Model'!$E$14),I219))</f>
        <v>20.158999050000002</v>
      </c>
      <c r="J220" s="198">
        <f t="shared" si="31"/>
        <v>0</v>
      </c>
      <c r="K220" s="198">
        <f t="shared" si="26"/>
        <v>0</v>
      </c>
      <c r="L220" s="198">
        <f>COUNTIF(J220:K220,"&lt;&gt;0")*-'Trading Model'!$E$15</f>
        <v>0</v>
      </c>
      <c r="M220" s="198">
        <f t="shared" si="24"/>
        <v>0</v>
      </c>
      <c r="N220" s="75">
        <f t="shared" si="27"/>
        <v>14</v>
      </c>
      <c r="O220" s="202">
        <f t="shared" si="28"/>
        <v>0</v>
      </c>
      <c r="P220" s="199">
        <f t="shared" si="25"/>
        <v>0</v>
      </c>
      <c r="Q220" s="203">
        <f t="shared" si="29"/>
        <v>89.900000000000574</v>
      </c>
      <c r="R220" s="203" t="s">
        <v>55</v>
      </c>
      <c r="S220" s="201">
        <f t="shared" si="30"/>
        <v>1.0566810758885659E-2</v>
      </c>
    </row>
    <row r="221" spans="1:19">
      <c r="A221" s="196">
        <v>40289</v>
      </c>
      <c r="B221" s="122">
        <v>21.07</v>
      </c>
      <c r="C221" s="122">
        <v>21.110001</v>
      </c>
      <c r="D221" s="122">
        <v>20.370000999999998</v>
      </c>
      <c r="E221" s="122">
        <v>20.48</v>
      </c>
      <c r="F221" s="122">
        <v>12.914020000000001</v>
      </c>
      <c r="G221" s="197">
        <v>83100</v>
      </c>
      <c r="H221" s="198">
        <f>IF(AND(E220&gt;=H220,E221&gt;=E220),E220*(1+'Trading Model'!$E$13),IF(AND(E221&lt;E220,E220&gt;=H220),E221*(1+'Trading Model'!$E$13),H220))</f>
        <v>22.007998950000001</v>
      </c>
      <c r="I221" s="198">
        <f>IF(K221&gt;0,E221*(1-'Trading Model'!E231),IF(E221&lt;I220,I220*(1-'Trading Model'!$E$14),I220))</f>
        <v>20.158999050000002</v>
      </c>
      <c r="J221" s="198">
        <f t="shared" si="31"/>
        <v>0</v>
      </c>
      <c r="K221" s="198">
        <f t="shared" si="26"/>
        <v>0</v>
      </c>
      <c r="L221" s="198">
        <f>COUNTIF(J221:K221,"&lt;&gt;0")*-'Trading Model'!$E$15</f>
        <v>0</v>
      </c>
      <c r="M221" s="198">
        <f t="shared" si="24"/>
        <v>0</v>
      </c>
      <c r="N221" s="75">
        <f t="shared" si="27"/>
        <v>14</v>
      </c>
      <c r="O221" s="202">
        <f t="shared" si="28"/>
        <v>0</v>
      </c>
      <c r="P221" s="199">
        <f t="shared" si="25"/>
        <v>0</v>
      </c>
      <c r="Q221" s="203">
        <f t="shared" si="29"/>
        <v>89.80000000000058</v>
      </c>
      <c r="R221" s="203" t="s">
        <v>55</v>
      </c>
      <c r="S221" s="201">
        <f t="shared" si="30"/>
        <v>-2.6616015845246421E-2</v>
      </c>
    </row>
    <row r="222" spans="1:19">
      <c r="A222" s="196">
        <v>40290</v>
      </c>
      <c r="B222" s="122">
        <v>20.209999</v>
      </c>
      <c r="C222" s="122">
        <v>20.280000999999999</v>
      </c>
      <c r="D222" s="122">
        <v>19.790001</v>
      </c>
      <c r="E222" s="122">
        <v>20.27</v>
      </c>
      <c r="F222" s="122">
        <v>12.781601999999999</v>
      </c>
      <c r="G222" s="197">
        <v>194500</v>
      </c>
      <c r="H222" s="198">
        <f>IF(AND(E221&gt;=H221,E222&gt;=E221),E221*(1+'Trading Model'!$E$13),IF(AND(E222&lt;E221,E221&gt;=H221),E222*(1+'Trading Model'!$E$13),H221))</f>
        <v>22.007998950000001</v>
      </c>
      <c r="I222" s="198">
        <f>IF(K222&gt;0,E222*(1-'Trading Model'!E232),IF(E222&lt;I221,I221*(1-'Trading Model'!$E$14),I221))</f>
        <v>20.158999050000002</v>
      </c>
      <c r="J222" s="198">
        <f t="shared" si="31"/>
        <v>0</v>
      </c>
      <c r="K222" s="198">
        <f t="shared" si="26"/>
        <v>0</v>
      </c>
      <c r="L222" s="198">
        <f>COUNTIF(J222:K222,"&lt;&gt;0")*-'Trading Model'!$E$15</f>
        <v>0</v>
      </c>
      <c r="M222" s="198">
        <f t="shared" si="24"/>
        <v>0</v>
      </c>
      <c r="N222" s="75">
        <f t="shared" si="27"/>
        <v>14</v>
      </c>
      <c r="O222" s="202">
        <f t="shared" si="28"/>
        <v>0</v>
      </c>
      <c r="P222" s="199">
        <f t="shared" si="25"/>
        <v>0</v>
      </c>
      <c r="Q222" s="203">
        <f t="shared" si="29"/>
        <v>89.700000000000585</v>
      </c>
      <c r="R222" s="201">
        <f>E222/B218-1</f>
        <v>-4.9249530956848031E-2</v>
      </c>
      <c r="S222" s="201">
        <f t="shared" si="30"/>
        <v>-1.025390625E-2</v>
      </c>
    </row>
    <row r="223" spans="1:19">
      <c r="A223" s="196">
        <v>40291</v>
      </c>
      <c r="B223" s="122">
        <v>20.350000000000001</v>
      </c>
      <c r="C223" s="122">
        <v>20.350000000000001</v>
      </c>
      <c r="D223" s="122">
        <v>19.920000000000002</v>
      </c>
      <c r="E223" s="122">
        <v>19.969999000000001</v>
      </c>
      <c r="F223" s="122">
        <v>12.592430999999999</v>
      </c>
      <c r="G223" s="197">
        <v>127800</v>
      </c>
      <c r="H223" s="198">
        <f>IF(AND(E222&gt;=H222,E223&gt;=E222),E222*(1+'Trading Model'!$E$13),IF(AND(E223&lt;E222,E222&gt;=H222),E223*(1+'Trading Model'!$E$13),H222))</f>
        <v>22.007998950000001</v>
      </c>
      <c r="I223" s="198">
        <f>IF(K223&gt;0,E223*(1-'Trading Model'!E233),IF(E223&lt;I222,I222*(1-'Trading Model'!$E$14),I222))</f>
        <v>19.1510490975</v>
      </c>
      <c r="J223" s="198">
        <f t="shared" si="31"/>
        <v>-19.969999000000001</v>
      </c>
      <c r="K223" s="198">
        <f t="shared" si="26"/>
        <v>0</v>
      </c>
      <c r="L223" s="198">
        <f>COUNTIF(J223:K223,"&lt;&gt;0")*-'Trading Model'!$E$15</f>
        <v>-0.1</v>
      </c>
      <c r="M223" s="198">
        <f t="shared" si="24"/>
        <v>-20.069999000000003</v>
      </c>
      <c r="N223" s="75">
        <f t="shared" si="27"/>
        <v>15</v>
      </c>
      <c r="O223" s="202">
        <f t="shared" si="28"/>
        <v>0</v>
      </c>
      <c r="P223" s="199">
        <f t="shared" si="25"/>
        <v>0</v>
      </c>
      <c r="Q223" s="203">
        <f t="shared" si="29"/>
        <v>89.600000000000591</v>
      </c>
      <c r="R223" s="160" t="s">
        <v>55</v>
      </c>
      <c r="S223" s="201">
        <f t="shared" si="30"/>
        <v>-1.4800246669955497E-2</v>
      </c>
    </row>
    <row r="224" spans="1:19">
      <c r="A224" s="196">
        <v>40294</v>
      </c>
      <c r="B224" s="122">
        <v>20.079999999999998</v>
      </c>
      <c r="C224" s="122">
        <v>20.170000000000002</v>
      </c>
      <c r="D224" s="122">
        <v>19.709999</v>
      </c>
      <c r="E224" s="122">
        <v>19.790001</v>
      </c>
      <c r="F224" s="122">
        <v>12.478929000000001</v>
      </c>
      <c r="G224" s="197">
        <v>76000</v>
      </c>
      <c r="H224" s="198">
        <f>IF(AND(E223&gt;=H223,E224&gt;=E223),E223*(1+'Trading Model'!$E$13),IF(AND(E224&lt;E223,E223&gt;=H223),E224*(1+'Trading Model'!$E$13),H223))</f>
        <v>22.007998950000001</v>
      </c>
      <c r="I224" s="198">
        <f>IF(K224&gt;0,E224*(1-'Trading Model'!E234),IF(E224&lt;I223,I223*(1-'Trading Model'!$E$14),I223))</f>
        <v>19.1510490975</v>
      </c>
      <c r="J224" s="198">
        <f t="shared" si="31"/>
        <v>0</v>
      </c>
      <c r="K224" s="198">
        <f t="shared" si="26"/>
        <v>0</v>
      </c>
      <c r="L224" s="198">
        <f>COUNTIF(J224:K224,"&lt;&gt;0")*-'Trading Model'!$E$15</f>
        <v>0</v>
      </c>
      <c r="M224" s="198">
        <f t="shared" si="24"/>
        <v>0</v>
      </c>
      <c r="N224" s="75">
        <f t="shared" si="27"/>
        <v>15</v>
      </c>
      <c r="O224" s="202">
        <f t="shared" si="28"/>
        <v>0</v>
      </c>
      <c r="P224" s="199">
        <f t="shared" si="25"/>
        <v>0</v>
      </c>
      <c r="Q224" s="203">
        <f t="shared" si="29"/>
        <v>89.500000000000597</v>
      </c>
      <c r="R224" s="203" t="s">
        <v>55</v>
      </c>
      <c r="S224" s="201">
        <f t="shared" si="30"/>
        <v>-9.0134205815434187E-3</v>
      </c>
    </row>
    <row r="225" spans="1:19">
      <c r="A225" s="196">
        <v>40295</v>
      </c>
      <c r="B225" s="122">
        <v>19.799999</v>
      </c>
      <c r="C225" s="122">
        <v>19.98</v>
      </c>
      <c r="D225" s="122">
        <v>19.32</v>
      </c>
      <c r="E225" s="122">
        <v>19.450001</v>
      </c>
      <c r="F225" s="122">
        <v>12.264535</v>
      </c>
      <c r="G225" s="197">
        <v>167900</v>
      </c>
      <c r="H225" s="198">
        <f>IF(AND(E224&gt;=H224,E225&gt;=E224),E224*(1+'Trading Model'!$E$13),IF(AND(E225&lt;E224,E224&gt;=H224),E225*(1+'Trading Model'!$E$13),H224))</f>
        <v>22.007998950000001</v>
      </c>
      <c r="I225" s="198">
        <f>IF(K225&gt;0,E225*(1-'Trading Model'!E235),IF(E225&lt;I224,I224*(1-'Trading Model'!$E$14),I224))</f>
        <v>19.1510490975</v>
      </c>
      <c r="J225" s="198">
        <f t="shared" si="31"/>
        <v>0</v>
      </c>
      <c r="K225" s="198">
        <f t="shared" si="26"/>
        <v>0</v>
      </c>
      <c r="L225" s="198">
        <f>COUNTIF(J225:K225,"&lt;&gt;0")*-'Trading Model'!$E$15</f>
        <v>0</v>
      </c>
      <c r="M225" s="198">
        <f t="shared" si="24"/>
        <v>0</v>
      </c>
      <c r="N225" s="75">
        <f t="shared" si="27"/>
        <v>15</v>
      </c>
      <c r="O225" s="202">
        <f t="shared" si="28"/>
        <v>0</v>
      </c>
      <c r="P225" s="199">
        <f t="shared" si="25"/>
        <v>0</v>
      </c>
      <c r="Q225" s="203">
        <f t="shared" si="29"/>
        <v>89.400000000000603</v>
      </c>
      <c r="R225" s="203" t="s">
        <v>55</v>
      </c>
      <c r="S225" s="201">
        <f t="shared" si="30"/>
        <v>-1.7180393270318728E-2</v>
      </c>
    </row>
    <row r="226" spans="1:19">
      <c r="A226" s="196">
        <v>40296</v>
      </c>
      <c r="B226" s="122">
        <v>19.459999</v>
      </c>
      <c r="C226" s="122">
        <v>19.799999</v>
      </c>
      <c r="D226" s="122">
        <v>19.34</v>
      </c>
      <c r="E226" s="122">
        <v>19.690000999999999</v>
      </c>
      <c r="F226" s="122">
        <v>12.415872999999999</v>
      </c>
      <c r="G226" s="197">
        <v>106500</v>
      </c>
      <c r="H226" s="198">
        <f>IF(AND(E225&gt;=H225,E226&gt;=E225),E225*(1+'Trading Model'!$E$13),IF(AND(E226&lt;E225,E225&gt;=H225),E226*(1+'Trading Model'!$E$13),H225))</f>
        <v>22.007998950000001</v>
      </c>
      <c r="I226" s="198">
        <f>IF(K226&gt;0,E226*(1-'Trading Model'!E236),IF(E226&lt;I225,I225*(1-'Trading Model'!$E$14),I225))</f>
        <v>19.1510490975</v>
      </c>
      <c r="J226" s="198">
        <f t="shared" si="31"/>
        <v>0</v>
      </c>
      <c r="K226" s="198">
        <f t="shared" si="26"/>
        <v>0</v>
      </c>
      <c r="L226" s="198">
        <f>COUNTIF(J226:K226,"&lt;&gt;0")*-'Trading Model'!$E$15</f>
        <v>0</v>
      </c>
      <c r="M226" s="198">
        <f t="shared" si="24"/>
        <v>0</v>
      </c>
      <c r="N226" s="75">
        <f t="shared" si="27"/>
        <v>15</v>
      </c>
      <c r="O226" s="202">
        <f t="shared" si="28"/>
        <v>0</v>
      </c>
      <c r="P226" s="199">
        <f t="shared" si="25"/>
        <v>0</v>
      </c>
      <c r="Q226" s="203">
        <f t="shared" si="29"/>
        <v>89.400000000000603</v>
      </c>
      <c r="R226" s="203" t="s">
        <v>55</v>
      </c>
      <c r="S226" s="201">
        <f t="shared" si="30"/>
        <v>1.2339330985124297E-2</v>
      </c>
    </row>
    <row r="227" spans="1:19">
      <c r="A227" s="196">
        <v>40297</v>
      </c>
      <c r="B227" s="122">
        <v>19.829999999999998</v>
      </c>
      <c r="C227" s="122">
        <v>20.420000000000002</v>
      </c>
      <c r="D227" s="122">
        <v>19.809999000000001</v>
      </c>
      <c r="E227" s="122">
        <v>20.399999999999999</v>
      </c>
      <c r="F227" s="122">
        <v>12.863573000000001</v>
      </c>
      <c r="G227" s="197">
        <v>156900</v>
      </c>
      <c r="H227" s="198">
        <f>IF(AND(E226&gt;=H226,E227&gt;=E226),E226*(1+'Trading Model'!$E$13),IF(AND(E227&lt;E226,E226&gt;=H226),E227*(1+'Trading Model'!$E$13),H226))</f>
        <v>22.007998950000001</v>
      </c>
      <c r="I227" s="198">
        <f>IF(K227&gt;0,E227*(1-'Trading Model'!E237),IF(E227&lt;I226,I226*(1-'Trading Model'!$E$14),I226))</f>
        <v>19.1510490975</v>
      </c>
      <c r="J227" s="198">
        <f t="shared" si="31"/>
        <v>0</v>
      </c>
      <c r="K227" s="198">
        <f t="shared" si="26"/>
        <v>0</v>
      </c>
      <c r="L227" s="198">
        <f>COUNTIF(J227:K227,"&lt;&gt;0")*-'Trading Model'!$E$15</f>
        <v>0</v>
      </c>
      <c r="M227" s="198">
        <f t="shared" si="24"/>
        <v>0</v>
      </c>
      <c r="N227" s="75">
        <f t="shared" si="27"/>
        <v>15</v>
      </c>
      <c r="O227" s="202">
        <f t="shared" si="28"/>
        <v>0</v>
      </c>
      <c r="P227" s="199">
        <f t="shared" si="25"/>
        <v>0</v>
      </c>
      <c r="Q227" s="203">
        <f t="shared" si="29"/>
        <v>89.400000000000603</v>
      </c>
      <c r="R227" s="201">
        <f>E227/B223-1</f>
        <v>2.4570024570023108E-3</v>
      </c>
      <c r="S227" s="201">
        <f t="shared" si="30"/>
        <v>3.6058860535354897E-2</v>
      </c>
    </row>
    <row r="228" spans="1:19">
      <c r="A228" s="196">
        <v>40298</v>
      </c>
      <c r="B228" s="122">
        <v>19.82</v>
      </c>
      <c r="C228" s="122">
        <v>19.84</v>
      </c>
      <c r="D228" s="122">
        <v>19.299999</v>
      </c>
      <c r="E228" s="122">
        <v>19.549999</v>
      </c>
      <c r="F228" s="122">
        <v>12.872854</v>
      </c>
      <c r="G228" s="197">
        <v>115400</v>
      </c>
      <c r="H228" s="198">
        <f>IF(AND(E227&gt;=H227,E228&gt;=E227),E227*(1+'Trading Model'!$E$13),IF(AND(E228&lt;E227,E227&gt;=H227),E228*(1+'Trading Model'!$E$13),H227))</f>
        <v>22.007998950000001</v>
      </c>
      <c r="I228" s="198">
        <f>IF(K228&gt;0,E228*(1-'Trading Model'!E238),IF(E228&lt;I227,I227*(1-'Trading Model'!$E$14),I227))</f>
        <v>19.1510490975</v>
      </c>
      <c r="J228" s="198">
        <f t="shared" si="31"/>
        <v>0</v>
      </c>
      <c r="K228" s="198">
        <f t="shared" si="26"/>
        <v>0</v>
      </c>
      <c r="L228" s="198">
        <f>COUNTIF(J228:K228,"&lt;&gt;0")*-'Trading Model'!$E$15</f>
        <v>0</v>
      </c>
      <c r="M228" s="198">
        <f t="shared" si="24"/>
        <v>0</v>
      </c>
      <c r="N228" s="75">
        <f t="shared" si="27"/>
        <v>15</v>
      </c>
      <c r="O228" s="202">
        <f t="shared" si="28"/>
        <v>0.86409400000000003</v>
      </c>
      <c r="P228" s="199">
        <f t="shared" si="25"/>
        <v>0.86409400000000003</v>
      </c>
      <c r="Q228" s="203">
        <f t="shared" si="29"/>
        <v>89.300000000000608</v>
      </c>
      <c r="R228" s="160" t="s">
        <v>55</v>
      </c>
      <c r="S228" s="201">
        <f t="shared" si="30"/>
        <v>-4.1666715686274447E-2</v>
      </c>
    </row>
    <row r="229" spans="1:19">
      <c r="A229" s="196">
        <v>40301</v>
      </c>
      <c r="B229" s="122">
        <v>19.440000999999999</v>
      </c>
      <c r="C229" s="122">
        <v>20.360001</v>
      </c>
      <c r="D229" s="122">
        <v>19.440000999999999</v>
      </c>
      <c r="E229" s="122">
        <v>20.18</v>
      </c>
      <c r="F229" s="122">
        <v>13.287684</v>
      </c>
      <c r="G229" s="197">
        <v>109200</v>
      </c>
      <c r="H229" s="198">
        <f>IF(AND(E228&gt;=H228,E229&gt;=E228),E228*(1+'Trading Model'!$E$13),IF(AND(E229&lt;E228,E228&gt;=H228),E229*(1+'Trading Model'!$E$13),H228))</f>
        <v>22.007998950000001</v>
      </c>
      <c r="I229" s="198">
        <f>IF(K229&gt;0,E229*(1-'Trading Model'!E239),IF(E229&lt;I228,I228*(1-'Trading Model'!$E$14),I228))</f>
        <v>19.1510490975</v>
      </c>
      <c r="J229" s="198">
        <f t="shared" si="31"/>
        <v>0</v>
      </c>
      <c r="K229" s="198">
        <f t="shared" si="26"/>
        <v>0</v>
      </c>
      <c r="L229" s="198">
        <f>COUNTIF(J229:K229,"&lt;&gt;0")*-'Trading Model'!$E$15</f>
        <v>0</v>
      </c>
      <c r="M229" s="198">
        <f t="shared" si="24"/>
        <v>0</v>
      </c>
      <c r="N229" s="75">
        <f t="shared" si="27"/>
        <v>15</v>
      </c>
      <c r="O229" s="202">
        <f t="shared" si="28"/>
        <v>0</v>
      </c>
      <c r="P229" s="199">
        <f t="shared" si="25"/>
        <v>0</v>
      </c>
      <c r="Q229" s="203">
        <f t="shared" si="29"/>
        <v>89.300000000000608</v>
      </c>
      <c r="R229" s="203" t="s">
        <v>55</v>
      </c>
      <c r="S229" s="201">
        <f t="shared" si="30"/>
        <v>3.2225116737857551E-2</v>
      </c>
    </row>
    <row r="230" spans="1:19">
      <c r="A230" s="196">
        <v>40302</v>
      </c>
      <c r="B230" s="122">
        <v>20</v>
      </c>
      <c r="C230" s="122">
        <v>20.010000000000002</v>
      </c>
      <c r="D230" s="122">
        <v>19.399999999999999</v>
      </c>
      <c r="E230" s="122">
        <v>19.459999</v>
      </c>
      <c r="F230" s="122">
        <v>12.813592999999999</v>
      </c>
      <c r="G230" s="197">
        <v>127400</v>
      </c>
      <c r="H230" s="198">
        <f>IF(AND(E229&gt;=H229,E230&gt;=E229),E229*(1+'Trading Model'!$E$13),IF(AND(E230&lt;E229,E229&gt;=H229),E230*(1+'Trading Model'!$E$13),H229))</f>
        <v>22.007998950000001</v>
      </c>
      <c r="I230" s="198">
        <f>IF(K230&gt;0,E230*(1-'Trading Model'!E240),IF(E230&lt;I229,I229*(1-'Trading Model'!$E$14),I229))</f>
        <v>19.1510490975</v>
      </c>
      <c r="J230" s="198">
        <f t="shared" si="31"/>
        <v>0</v>
      </c>
      <c r="K230" s="198">
        <f t="shared" si="26"/>
        <v>0</v>
      </c>
      <c r="L230" s="198">
        <f>COUNTIF(J230:K230,"&lt;&gt;0")*-'Trading Model'!$E$15</f>
        <v>0</v>
      </c>
      <c r="M230" s="198">
        <f t="shared" si="24"/>
        <v>0</v>
      </c>
      <c r="N230" s="75">
        <f t="shared" si="27"/>
        <v>15</v>
      </c>
      <c r="O230" s="202">
        <f t="shared" si="28"/>
        <v>0</v>
      </c>
      <c r="P230" s="199">
        <f t="shared" si="25"/>
        <v>0</v>
      </c>
      <c r="Q230" s="203">
        <f t="shared" si="29"/>
        <v>89.200000000000614</v>
      </c>
      <c r="R230" s="203" t="s">
        <v>55</v>
      </c>
      <c r="S230" s="201">
        <f t="shared" si="30"/>
        <v>-3.5678939544103061E-2</v>
      </c>
    </row>
    <row r="231" spans="1:19">
      <c r="A231" s="196">
        <v>40303</v>
      </c>
      <c r="B231" s="122">
        <v>19.030000999999999</v>
      </c>
      <c r="C231" s="122">
        <v>19.600000000000001</v>
      </c>
      <c r="D231" s="122">
        <v>19.02</v>
      </c>
      <c r="E231" s="122">
        <v>19.02</v>
      </c>
      <c r="F231" s="122">
        <v>12.523872000000001</v>
      </c>
      <c r="G231" s="197">
        <v>155300</v>
      </c>
      <c r="H231" s="198">
        <f>IF(AND(E230&gt;=H230,E231&gt;=E230),E230*(1+'Trading Model'!$E$13),IF(AND(E231&lt;E230,E230&gt;=H230),E231*(1+'Trading Model'!$E$13),H230))</f>
        <v>22.007998950000001</v>
      </c>
      <c r="I231" s="198">
        <f>IF(K231&gt;0,E231*(1-'Trading Model'!E241),IF(E231&lt;I230,I230*(1-'Trading Model'!$E$14),I230))</f>
        <v>18.193496642625</v>
      </c>
      <c r="J231" s="198">
        <f t="shared" si="31"/>
        <v>-19.02</v>
      </c>
      <c r="K231" s="198">
        <f t="shared" si="26"/>
        <v>0</v>
      </c>
      <c r="L231" s="198">
        <f>COUNTIF(J231:K231,"&lt;&gt;0")*-'Trading Model'!$E$15</f>
        <v>-0.1</v>
      </c>
      <c r="M231" s="198">
        <f t="shared" si="24"/>
        <v>-19.12</v>
      </c>
      <c r="N231" s="75">
        <f t="shared" si="27"/>
        <v>16</v>
      </c>
      <c r="O231" s="202">
        <f t="shared" si="28"/>
        <v>0</v>
      </c>
      <c r="P231" s="199">
        <f t="shared" si="25"/>
        <v>0</v>
      </c>
      <c r="Q231" s="203">
        <f t="shared" si="29"/>
        <v>89.10000000000062</v>
      </c>
      <c r="R231" s="203" t="s">
        <v>55</v>
      </c>
      <c r="S231" s="201">
        <f t="shared" si="30"/>
        <v>-2.2610432816569048E-2</v>
      </c>
    </row>
    <row r="232" spans="1:19">
      <c r="A232" s="196">
        <v>40304</v>
      </c>
      <c r="B232" s="122">
        <v>19.010000000000002</v>
      </c>
      <c r="C232" s="122">
        <v>19.010000000000002</v>
      </c>
      <c r="D232" s="122">
        <v>17.260000000000002</v>
      </c>
      <c r="E232" s="122">
        <v>17.850000000000001</v>
      </c>
      <c r="F232" s="122">
        <v>11.753475999999999</v>
      </c>
      <c r="G232" s="197">
        <v>235300</v>
      </c>
      <c r="H232" s="198">
        <f>IF(AND(E231&gt;=H231,E232&gt;=E231),E231*(1+'Trading Model'!$E$13),IF(AND(E232&lt;E231,E231&gt;=H231),E232*(1+'Trading Model'!$E$13),H231))</f>
        <v>22.007998950000001</v>
      </c>
      <c r="I232" s="198">
        <f>IF(K232&gt;0,E232*(1-'Trading Model'!E242),IF(E232&lt;I231,I231*(1-'Trading Model'!$E$14),I231))</f>
        <v>17.283821810493748</v>
      </c>
      <c r="J232" s="198">
        <f t="shared" si="31"/>
        <v>-17.850000000000001</v>
      </c>
      <c r="K232" s="198">
        <f t="shared" si="26"/>
        <v>0</v>
      </c>
      <c r="L232" s="198">
        <f>COUNTIF(J232:K232,"&lt;&gt;0")*-'Trading Model'!$E$15</f>
        <v>-0.1</v>
      </c>
      <c r="M232" s="198">
        <f t="shared" si="24"/>
        <v>-17.950000000000003</v>
      </c>
      <c r="N232" s="75">
        <f t="shared" si="27"/>
        <v>17</v>
      </c>
      <c r="O232" s="202">
        <f t="shared" si="28"/>
        <v>0</v>
      </c>
      <c r="P232" s="199">
        <f t="shared" si="25"/>
        <v>0</v>
      </c>
      <c r="Q232" s="203">
        <f t="shared" si="29"/>
        <v>89.000000000000625</v>
      </c>
      <c r="R232" s="201">
        <f>E232/B228-1</f>
        <v>-9.9394550958627592E-2</v>
      </c>
      <c r="S232" s="201">
        <f t="shared" si="30"/>
        <v>-6.1514195583596165E-2</v>
      </c>
    </row>
    <row r="233" spans="1:19">
      <c r="A233" s="196">
        <v>40305</v>
      </c>
      <c r="B233" s="122">
        <v>17.600000000000001</v>
      </c>
      <c r="C233" s="122">
        <v>18.690000999999999</v>
      </c>
      <c r="D233" s="122">
        <v>17.100000000000001</v>
      </c>
      <c r="E233" s="122">
        <v>17.420000000000002</v>
      </c>
      <c r="F233" s="122">
        <v>11.47034</v>
      </c>
      <c r="G233" s="197">
        <v>173000</v>
      </c>
      <c r="H233" s="198">
        <f>IF(AND(E232&gt;=H232,E233&gt;=E232),E232*(1+'Trading Model'!$E$13),IF(AND(E233&lt;E232,E232&gt;=H232),E233*(1+'Trading Model'!$E$13),H232))</f>
        <v>22.007998950000001</v>
      </c>
      <c r="I233" s="198">
        <f>IF(K233&gt;0,E233*(1-'Trading Model'!E243),IF(E233&lt;I232,I232*(1-'Trading Model'!$E$14),I232))</f>
        <v>17.283821810493748</v>
      </c>
      <c r="J233" s="198">
        <f t="shared" si="31"/>
        <v>0</v>
      </c>
      <c r="K233" s="198">
        <f t="shared" si="26"/>
        <v>0</v>
      </c>
      <c r="L233" s="198">
        <f>COUNTIF(J233:K233,"&lt;&gt;0")*-'Trading Model'!$E$15</f>
        <v>0</v>
      </c>
      <c r="M233" s="198">
        <f t="shared" si="24"/>
        <v>0</v>
      </c>
      <c r="N233" s="75">
        <f t="shared" si="27"/>
        <v>17</v>
      </c>
      <c r="O233" s="202">
        <f t="shared" si="28"/>
        <v>0</v>
      </c>
      <c r="P233" s="199">
        <f t="shared" si="25"/>
        <v>0</v>
      </c>
      <c r="Q233" s="203">
        <f t="shared" si="29"/>
        <v>88.900000000000631</v>
      </c>
      <c r="R233" s="160" t="s">
        <v>55</v>
      </c>
      <c r="S233" s="201">
        <f t="shared" si="30"/>
        <v>-2.4089635854341762E-2</v>
      </c>
    </row>
    <row r="234" spans="1:19">
      <c r="A234" s="196">
        <v>40308</v>
      </c>
      <c r="B234" s="122">
        <v>18.170000000000002</v>
      </c>
      <c r="C234" s="122">
        <v>19.139999</v>
      </c>
      <c r="D234" s="122">
        <v>18.100000000000001</v>
      </c>
      <c r="E234" s="122">
        <v>18.719999000000001</v>
      </c>
      <c r="F234" s="122">
        <v>12.326333</v>
      </c>
      <c r="G234" s="197">
        <v>204800</v>
      </c>
      <c r="H234" s="198">
        <f>IF(AND(E233&gt;=H233,E234&gt;=E233),E233*(1+'Trading Model'!$E$13),IF(AND(E234&lt;E233,E233&gt;=H233),E234*(1+'Trading Model'!$E$13),H233))</f>
        <v>22.007998950000001</v>
      </c>
      <c r="I234" s="198">
        <f>IF(K234&gt;0,E234*(1-'Trading Model'!E244),IF(E234&lt;I233,I233*(1-'Trading Model'!$E$14),I233))</f>
        <v>17.283821810493748</v>
      </c>
      <c r="J234" s="198">
        <f t="shared" si="31"/>
        <v>0</v>
      </c>
      <c r="K234" s="198">
        <f t="shared" si="26"/>
        <v>0</v>
      </c>
      <c r="L234" s="198">
        <f>COUNTIF(J234:K234,"&lt;&gt;0")*-'Trading Model'!$E$15</f>
        <v>0</v>
      </c>
      <c r="M234" s="198">
        <f t="shared" si="24"/>
        <v>0</v>
      </c>
      <c r="N234" s="75">
        <f t="shared" si="27"/>
        <v>17</v>
      </c>
      <c r="O234" s="202">
        <f t="shared" si="28"/>
        <v>0</v>
      </c>
      <c r="P234" s="199">
        <f t="shared" si="25"/>
        <v>0</v>
      </c>
      <c r="Q234" s="203">
        <f t="shared" si="29"/>
        <v>88.900000000000631</v>
      </c>
      <c r="R234" s="203" t="s">
        <v>55</v>
      </c>
      <c r="S234" s="201">
        <f t="shared" si="30"/>
        <v>7.4626808266360589E-2</v>
      </c>
    </row>
    <row r="235" spans="1:19">
      <c r="A235" s="196">
        <v>40309</v>
      </c>
      <c r="B235" s="122">
        <v>18.700001</v>
      </c>
      <c r="C235" s="122">
        <v>18.850000000000001</v>
      </c>
      <c r="D235" s="122">
        <v>18.329999999999998</v>
      </c>
      <c r="E235" s="122">
        <v>18.43</v>
      </c>
      <c r="F235" s="122">
        <v>12.135382</v>
      </c>
      <c r="G235" s="197">
        <v>145600</v>
      </c>
      <c r="H235" s="198">
        <f>IF(AND(E234&gt;=H234,E235&gt;=E234),E234*(1+'Trading Model'!$E$13),IF(AND(E235&lt;E234,E234&gt;=H234),E235*(1+'Trading Model'!$E$13),H234))</f>
        <v>22.007998950000001</v>
      </c>
      <c r="I235" s="198">
        <f>IF(K235&gt;0,E235*(1-'Trading Model'!E245),IF(E235&lt;I234,I234*(1-'Trading Model'!$E$14),I234))</f>
        <v>17.283821810493748</v>
      </c>
      <c r="J235" s="198">
        <f t="shared" si="31"/>
        <v>0</v>
      </c>
      <c r="K235" s="198">
        <f t="shared" si="26"/>
        <v>0</v>
      </c>
      <c r="L235" s="198">
        <f>COUNTIF(J235:K235,"&lt;&gt;0")*-'Trading Model'!$E$15</f>
        <v>0</v>
      </c>
      <c r="M235" s="198">
        <f t="shared" si="24"/>
        <v>0</v>
      </c>
      <c r="N235" s="75">
        <f t="shared" si="27"/>
        <v>17</v>
      </c>
      <c r="O235" s="202">
        <f t="shared" si="28"/>
        <v>0</v>
      </c>
      <c r="P235" s="199">
        <f t="shared" si="25"/>
        <v>0</v>
      </c>
      <c r="Q235" s="203">
        <f t="shared" si="29"/>
        <v>88.800000000000637</v>
      </c>
      <c r="R235" s="203" t="s">
        <v>55</v>
      </c>
      <c r="S235" s="201">
        <f t="shared" si="30"/>
        <v>-1.549140040018171E-2</v>
      </c>
    </row>
    <row r="236" spans="1:19">
      <c r="A236" s="196">
        <v>40310</v>
      </c>
      <c r="B236" s="122">
        <v>18.43</v>
      </c>
      <c r="C236" s="122">
        <v>18.57</v>
      </c>
      <c r="D236" s="122">
        <v>18.299999</v>
      </c>
      <c r="E236" s="122">
        <v>18.450001</v>
      </c>
      <c r="F236" s="122">
        <v>12.148552</v>
      </c>
      <c r="G236" s="197">
        <v>116600</v>
      </c>
      <c r="H236" s="198">
        <f>IF(AND(E235&gt;=H235,E236&gt;=E235),E235*(1+'Trading Model'!$E$13),IF(AND(E236&lt;E235,E235&gt;=H235),E236*(1+'Trading Model'!$E$13),H235))</f>
        <v>22.007998950000001</v>
      </c>
      <c r="I236" s="198">
        <f>IF(K236&gt;0,E236*(1-'Trading Model'!E246),IF(E236&lt;I235,I235*(1-'Trading Model'!$E$14),I235))</f>
        <v>17.283821810493748</v>
      </c>
      <c r="J236" s="198">
        <f t="shared" si="31"/>
        <v>0</v>
      </c>
      <c r="K236" s="198">
        <f t="shared" si="26"/>
        <v>0</v>
      </c>
      <c r="L236" s="198">
        <f>COUNTIF(J236:K236,"&lt;&gt;0")*-'Trading Model'!$E$15</f>
        <v>0</v>
      </c>
      <c r="M236" s="198">
        <f t="shared" si="24"/>
        <v>0</v>
      </c>
      <c r="N236" s="75">
        <f t="shared" si="27"/>
        <v>17</v>
      </c>
      <c r="O236" s="202">
        <f t="shared" si="28"/>
        <v>0</v>
      </c>
      <c r="P236" s="199">
        <f t="shared" si="25"/>
        <v>0</v>
      </c>
      <c r="Q236" s="203">
        <f t="shared" si="29"/>
        <v>88.800000000000637</v>
      </c>
      <c r="R236" s="203" t="s">
        <v>55</v>
      </c>
      <c r="S236" s="201">
        <f t="shared" si="30"/>
        <v>1.0852414541508981E-3</v>
      </c>
    </row>
    <row r="237" spans="1:19">
      <c r="A237" s="196">
        <v>40311</v>
      </c>
      <c r="B237" s="122">
        <v>18.370000999999998</v>
      </c>
      <c r="C237" s="122">
        <v>18.399999999999999</v>
      </c>
      <c r="D237" s="122">
        <v>18</v>
      </c>
      <c r="E237" s="122">
        <v>18.129999000000002</v>
      </c>
      <c r="F237" s="122">
        <v>11.937843000000001</v>
      </c>
      <c r="G237" s="197">
        <v>151500</v>
      </c>
      <c r="H237" s="198">
        <f>IF(AND(E236&gt;=H236,E237&gt;=E236),E236*(1+'Trading Model'!$E$13),IF(AND(E237&lt;E236,E236&gt;=H236),E237*(1+'Trading Model'!$E$13),H236))</f>
        <v>22.007998950000001</v>
      </c>
      <c r="I237" s="198">
        <f>IF(K237&gt;0,E237*(1-'Trading Model'!E247),IF(E237&lt;I236,I236*(1-'Trading Model'!$E$14),I236))</f>
        <v>17.283821810493748</v>
      </c>
      <c r="J237" s="198">
        <f t="shared" si="31"/>
        <v>0</v>
      </c>
      <c r="K237" s="198">
        <f t="shared" si="26"/>
        <v>0</v>
      </c>
      <c r="L237" s="198">
        <f>COUNTIF(J237:K237,"&lt;&gt;0")*-'Trading Model'!$E$15</f>
        <v>0</v>
      </c>
      <c r="M237" s="198">
        <f t="shared" si="24"/>
        <v>0</v>
      </c>
      <c r="N237" s="75">
        <f t="shared" si="27"/>
        <v>17</v>
      </c>
      <c r="O237" s="202">
        <f t="shared" si="28"/>
        <v>0</v>
      </c>
      <c r="P237" s="199">
        <f t="shared" si="25"/>
        <v>0</v>
      </c>
      <c r="Q237" s="203">
        <f t="shared" si="29"/>
        <v>88.700000000000642</v>
      </c>
      <c r="R237" s="201">
        <f>E237/B233-1</f>
        <v>3.0113579545454572E-2</v>
      </c>
      <c r="S237" s="201">
        <f t="shared" si="30"/>
        <v>-1.7344280902748976E-2</v>
      </c>
    </row>
    <row r="238" spans="1:19">
      <c r="A238" s="196">
        <v>40312</v>
      </c>
      <c r="B238" s="122">
        <v>18</v>
      </c>
      <c r="C238" s="122">
        <v>18</v>
      </c>
      <c r="D238" s="122">
        <v>17.290001</v>
      </c>
      <c r="E238" s="122">
        <v>17.610001</v>
      </c>
      <c r="F238" s="122">
        <v>11.595447</v>
      </c>
      <c r="G238" s="197">
        <v>102000</v>
      </c>
      <c r="H238" s="198">
        <f>IF(AND(E237&gt;=H237,E238&gt;=E237),E237*(1+'Trading Model'!$E$13),IF(AND(E238&lt;E237,E237&gt;=H237),E238*(1+'Trading Model'!$E$13),H237))</f>
        <v>22.007998950000001</v>
      </c>
      <c r="I238" s="198">
        <f>IF(K238&gt;0,E238*(1-'Trading Model'!E248),IF(E238&lt;I237,I237*(1-'Trading Model'!$E$14),I237))</f>
        <v>17.283821810493748</v>
      </c>
      <c r="J238" s="198">
        <f t="shared" si="31"/>
        <v>0</v>
      </c>
      <c r="K238" s="198">
        <f t="shared" si="26"/>
        <v>0</v>
      </c>
      <c r="L238" s="198">
        <f>COUNTIF(J238:K238,"&lt;&gt;0")*-'Trading Model'!$E$15</f>
        <v>0</v>
      </c>
      <c r="M238" s="198">
        <f t="shared" si="24"/>
        <v>0</v>
      </c>
      <c r="N238" s="75">
        <f t="shared" si="27"/>
        <v>17</v>
      </c>
      <c r="O238" s="202">
        <f t="shared" si="28"/>
        <v>0</v>
      </c>
      <c r="P238" s="199">
        <f t="shared" si="25"/>
        <v>0</v>
      </c>
      <c r="Q238" s="203">
        <f t="shared" si="29"/>
        <v>88.600000000000648</v>
      </c>
      <c r="R238" s="160" t="s">
        <v>55</v>
      </c>
      <c r="S238" s="201">
        <f t="shared" si="30"/>
        <v>-2.8681634235059872E-2</v>
      </c>
    </row>
    <row r="239" spans="1:19">
      <c r="A239" s="196">
        <v>40315</v>
      </c>
      <c r="B239" s="122">
        <v>17.540001</v>
      </c>
      <c r="C239" s="122">
        <v>17.610001</v>
      </c>
      <c r="D239" s="122">
        <v>16.66</v>
      </c>
      <c r="E239" s="122">
        <v>16.950001</v>
      </c>
      <c r="F239" s="122">
        <v>11.160864</v>
      </c>
      <c r="G239" s="197">
        <v>394300</v>
      </c>
      <c r="H239" s="198">
        <f>IF(AND(E238&gt;=H238,E239&gt;=E238),E238*(1+'Trading Model'!$E$13),IF(AND(E239&lt;E238,E238&gt;=H238),E239*(1+'Trading Model'!$E$13),H238))</f>
        <v>22.007998950000001</v>
      </c>
      <c r="I239" s="198">
        <f>IF(K239&gt;0,E239*(1-'Trading Model'!E249),IF(E239&lt;I238,I238*(1-'Trading Model'!$E$14),I238))</f>
        <v>16.41963071996906</v>
      </c>
      <c r="J239" s="198">
        <f t="shared" si="31"/>
        <v>-16.950001</v>
      </c>
      <c r="K239" s="198">
        <f t="shared" si="26"/>
        <v>0</v>
      </c>
      <c r="L239" s="198">
        <f>COUNTIF(J239:K239,"&lt;&gt;0")*-'Trading Model'!$E$15</f>
        <v>-0.1</v>
      </c>
      <c r="M239" s="198">
        <f t="shared" si="24"/>
        <v>-17.050001000000002</v>
      </c>
      <c r="N239" s="75">
        <f t="shared" si="27"/>
        <v>18</v>
      </c>
      <c r="O239" s="202">
        <f t="shared" si="28"/>
        <v>0</v>
      </c>
      <c r="P239" s="199">
        <f t="shared" si="25"/>
        <v>0</v>
      </c>
      <c r="Q239" s="203">
        <f t="shared" si="29"/>
        <v>88.500000000000654</v>
      </c>
      <c r="R239" s="203" t="s">
        <v>55</v>
      </c>
      <c r="S239" s="201">
        <f t="shared" si="30"/>
        <v>-3.7478703152827753E-2</v>
      </c>
    </row>
    <row r="240" spans="1:19">
      <c r="A240" s="196">
        <v>40316</v>
      </c>
      <c r="B240" s="122">
        <v>17.040001</v>
      </c>
      <c r="C240" s="122">
        <v>17.350000000000001</v>
      </c>
      <c r="D240" s="122">
        <v>16.899999999999999</v>
      </c>
      <c r="E240" s="122">
        <v>16.98</v>
      </c>
      <c r="F240" s="122">
        <v>11.180617</v>
      </c>
      <c r="G240" s="197">
        <v>415900</v>
      </c>
      <c r="H240" s="198">
        <f>IF(AND(E239&gt;=H239,E240&gt;=E239),E239*(1+'Trading Model'!$E$13),IF(AND(E240&lt;E239,E239&gt;=H239),E240*(1+'Trading Model'!$E$13),H239))</f>
        <v>22.007998950000001</v>
      </c>
      <c r="I240" s="198">
        <f>IF(K240&gt;0,E240*(1-'Trading Model'!E250),IF(E240&lt;I239,I239*(1-'Trading Model'!$E$14),I239))</f>
        <v>16.41963071996906</v>
      </c>
      <c r="J240" s="198">
        <f t="shared" si="31"/>
        <v>0</v>
      </c>
      <c r="K240" s="198">
        <f t="shared" si="26"/>
        <v>0</v>
      </c>
      <c r="L240" s="198">
        <f>COUNTIF(J240:K240,"&lt;&gt;0")*-'Trading Model'!$E$15</f>
        <v>0</v>
      </c>
      <c r="M240" s="198">
        <f t="shared" si="24"/>
        <v>0</v>
      </c>
      <c r="N240" s="75">
        <f t="shared" si="27"/>
        <v>18</v>
      </c>
      <c r="O240" s="202">
        <f t="shared" si="28"/>
        <v>0</v>
      </c>
      <c r="P240" s="199">
        <f t="shared" si="25"/>
        <v>0</v>
      </c>
      <c r="Q240" s="203">
        <f t="shared" si="29"/>
        <v>88.500000000000654</v>
      </c>
      <c r="R240" s="203" t="s">
        <v>55</v>
      </c>
      <c r="S240" s="201">
        <f t="shared" si="30"/>
        <v>1.7698524029585716E-3</v>
      </c>
    </row>
    <row r="241" spans="1:19">
      <c r="A241" s="196">
        <v>40317</v>
      </c>
      <c r="B241" s="122">
        <v>16.73</v>
      </c>
      <c r="C241" s="122">
        <v>17</v>
      </c>
      <c r="D241" s="122">
        <v>16.540001</v>
      </c>
      <c r="E241" s="122">
        <v>16.809999000000001</v>
      </c>
      <c r="F241" s="122">
        <v>11.068680000000001</v>
      </c>
      <c r="G241" s="197">
        <v>245400</v>
      </c>
      <c r="H241" s="198">
        <f>IF(AND(E240&gt;=H240,E241&gt;=E240),E240*(1+'Trading Model'!$E$13),IF(AND(E241&lt;E240,E240&gt;=H240),E241*(1+'Trading Model'!$E$13),H240))</f>
        <v>22.007998950000001</v>
      </c>
      <c r="I241" s="198">
        <f>IF(K241&gt;0,E241*(1-'Trading Model'!E251),IF(E241&lt;I240,I240*(1-'Trading Model'!$E$14),I240))</f>
        <v>16.41963071996906</v>
      </c>
      <c r="J241" s="198">
        <f t="shared" si="31"/>
        <v>0</v>
      </c>
      <c r="K241" s="198">
        <f t="shared" si="26"/>
        <v>0</v>
      </c>
      <c r="L241" s="198">
        <f>COUNTIF(J241:K241,"&lt;&gt;0")*-'Trading Model'!$E$15</f>
        <v>0</v>
      </c>
      <c r="M241" s="198">
        <f t="shared" si="24"/>
        <v>0</v>
      </c>
      <c r="N241" s="75">
        <f t="shared" si="27"/>
        <v>18</v>
      </c>
      <c r="O241" s="202">
        <f t="shared" si="28"/>
        <v>0</v>
      </c>
      <c r="P241" s="199">
        <f t="shared" si="25"/>
        <v>0</v>
      </c>
      <c r="Q241" s="203">
        <f t="shared" si="29"/>
        <v>88.400000000000659</v>
      </c>
      <c r="R241" s="203" t="s">
        <v>55</v>
      </c>
      <c r="S241" s="201">
        <f t="shared" si="30"/>
        <v>-1.0011837455830341E-2</v>
      </c>
    </row>
    <row r="242" spans="1:19">
      <c r="A242" s="196">
        <v>40318</v>
      </c>
      <c r="B242" s="122">
        <v>16.549999</v>
      </c>
      <c r="C242" s="122">
        <v>16.600000000000001</v>
      </c>
      <c r="D242" s="122">
        <v>16.219999000000001</v>
      </c>
      <c r="E242" s="122">
        <v>16.27</v>
      </c>
      <c r="F242" s="122">
        <v>10.713112000000001</v>
      </c>
      <c r="G242" s="197">
        <v>251200</v>
      </c>
      <c r="H242" s="198">
        <f>IF(AND(E241&gt;=H241,E242&gt;=E241),E241*(1+'Trading Model'!$E$13),IF(AND(E242&lt;E241,E241&gt;=H241),E242*(1+'Trading Model'!$E$13),H241))</f>
        <v>22.007998950000001</v>
      </c>
      <c r="I242" s="198">
        <f>IF(K242&gt;0,E242*(1-'Trading Model'!E252),IF(E242&lt;I241,I241*(1-'Trading Model'!$E$14),I241))</f>
        <v>15.598649183970606</v>
      </c>
      <c r="J242" s="198">
        <f t="shared" si="31"/>
        <v>-16.27</v>
      </c>
      <c r="K242" s="198">
        <f t="shared" si="26"/>
        <v>0</v>
      </c>
      <c r="L242" s="198">
        <f>COUNTIF(J242:K242,"&lt;&gt;0")*-'Trading Model'!$E$15</f>
        <v>-0.1</v>
      </c>
      <c r="M242" s="198">
        <f t="shared" si="24"/>
        <v>-16.37</v>
      </c>
      <c r="N242" s="75">
        <f t="shared" si="27"/>
        <v>19</v>
      </c>
      <c r="O242" s="202">
        <f t="shared" si="28"/>
        <v>0</v>
      </c>
      <c r="P242" s="199">
        <f t="shared" si="25"/>
        <v>0</v>
      </c>
      <c r="Q242" s="203">
        <f t="shared" si="29"/>
        <v>88.300000000000665</v>
      </c>
      <c r="R242" s="201">
        <f>E242/B238-1</f>
        <v>-9.6111111111111147E-2</v>
      </c>
      <c r="S242" s="201">
        <f t="shared" si="30"/>
        <v>-3.2123678294091573E-2</v>
      </c>
    </row>
    <row r="243" spans="1:19">
      <c r="A243" s="196">
        <v>40319</v>
      </c>
      <c r="B243" s="122">
        <v>16.219999000000001</v>
      </c>
      <c r="C243" s="122">
        <v>16.48</v>
      </c>
      <c r="D243" s="122">
        <v>15.68</v>
      </c>
      <c r="E243" s="122">
        <v>16.239999999999998</v>
      </c>
      <c r="F243" s="122">
        <v>10.693358999999999</v>
      </c>
      <c r="G243" s="197">
        <v>173300</v>
      </c>
      <c r="H243" s="198">
        <f>IF(AND(E242&gt;=H242,E243&gt;=E242),E242*(1+'Trading Model'!$E$13),IF(AND(E243&lt;E242,E242&gt;=H242),E243*(1+'Trading Model'!$E$13),H242))</f>
        <v>22.007998950000001</v>
      </c>
      <c r="I243" s="198">
        <f>IF(K243&gt;0,E243*(1-'Trading Model'!E253),IF(E243&lt;I242,I242*(1-'Trading Model'!$E$14),I242))</f>
        <v>15.598649183970606</v>
      </c>
      <c r="J243" s="198">
        <f t="shared" si="31"/>
        <v>0</v>
      </c>
      <c r="K243" s="198">
        <f t="shared" si="26"/>
        <v>0</v>
      </c>
      <c r="L243" s="198">
        <f>COUNTIF(J243:K243,"&lt;&gt;0")*-'Trading Model'!$E$15</f>
        <v>0</v>
      </c>
      <c r="M243" s="198">
        <f t="shared" si="24"/>
        <v>0</v>
      </c>
      <c r="N243" s="75">
        <f t="shared" si="27"/>
        <v>19</v>
      </c>
      <c r="O243" s="202">
        <f t="shared" si="28"/>
        <v>0</v>
      </c>
      <c r="P243" s="199">
        <f t="shared" si="25"/>
        <v>0</v>
      </c>
      <c r="Q243" s="203">
        <f t="shared" si="29"/>
        <v>88.200000000000671</v>
      </c>
      <c r="R243" s="160" t="s">
        <v>55</v>
      </c>
      <c r="S243" s="201">
        <f t="shared" si="30"/>
        <v>-1.8438844499079066E-3</v>
      </c>
    </row>
    <row r="244" spans="1:19">
      <c r="A244" s="196">
        <v>40322</v>
      </c>
      <c r="B244" s="122">
        <v>16.079999999999998</v>
      </c>
      <c r="C244" s="122">
        <v>16.329999999999998</v>
      </c>
      <c r="D244" s="122">
        <v>16.010000000000002</v>
      </c>
      <c r="E244" s="122">
        <v>16.049999</v>
      </c>
      <c r="F244" s="122">
        <v>10.568251</v>
      </c>
      <c r="G244" s="197">
        <v>185200</v>
      </c>
      <c r="H244" s="198">
        <f>IF(AND(E243&gt;=H243,E244&gt;=E243),E243*(1+'Trading Model'!$E$13),IF(AND(E244&lt;E243,E243&gt;=H243),E244*(1+'Trading Model'!$E$13),H243))</f>
        <v>22.007998950000001</v>
      </c>
      <c r="I244" s="198">
        <f>IF(K244&gt;0,E244*(1-'Trading Model'!E254),IF(E244&lt;I243,I243*(1-'Trading Model'!$E$14),I243))</f>
        <v>15.598649183970606</v>
      </c>
      <c r="J244" s="198">
        <f t="shared" si="31"/>
        <v>0</v>
      </c>
      <c r="K244" s="198">
        <f t="shared" si="26"/>
        <v>0</v>
      </c>
      <c r="L244" s="198">
        <f>COUNTIF(J244:K244,"&lt;&gt;0")*-'Trading Model'!$E$15</f>
        <v>0</v>
      </c>
      <c r="M244" s="198">
        <f t="shared" si="24"/>
        <v>0</v>
      </c>
      <c r="N244" s="75">
        <f t="shared" si="27"/>
        <v>19</v>
      </c>
      <c r="O244" s="202">
        <f t="shared" si="28"/>
        <v>0</v>
      </c>
      <c r="P244" s="199">
        <f t="shared" si="25"/>
        <v>0</v>
      </c>
      <c r="Q244" s="203">
        <f t="shared" si="29"/>
        <v>88.100000000000676</v>
      </c>
      <c r="R244" s="203" t="s">
        <v>55</v>
      </c>
      <c r="S244" s="201">
        <f t="shared" si="30"/>
        <v>-1.169956896551716E-2</v>
      </c>
    </row>
    <row r="245" spans="1:19">
      <c r="A245" s="196">
        <v>40323</v>
      </c>
      <c r="B245" s="122">
        <v>15.99</v>
      </c>
      <c r="C245" s="122">
        <v>15.99</v>
      </c>
      <c r="D245" s="122">
        <v>15.35</v>
      </c>
      <c r="E245" s="122">
        <v>15.51</v>
      </c>
      <c r="F245" s="122">
        <v>10.212685</v>
      </c>
      <c r="G245" s="197">
        <v>263300</v>
      </c>
      <c r="H245" s="198">
        <f>IF(AND(E244&gt;=H244,E245&gt;=E244),E244*(1+'Trading Model'!$E$13),IF(AND(E245&lt;E244,E244&gt;=H244),E245*(1+'Trading Model'!$E$13),H244))</f>
        <v>22.007998950000001</v>
      </c>
      <c r="I245" s="198">
        <f>IF(K245&gt;0,E245*(1-'Trading Model'!E255),IF(E245&lt;I244,I244*(1-'Trading Model'!$E$14),I244))</f>
        <v>14.818716724772075</v>
      </c>
      <c r="J245" s="198">
        <f t="shared" si="31"/>
        <v>-15.51</v>
      </c>
      <c r="K245" s="198">
        <f t="shared" si="26"/>
        <v>0</v>
      </c>
      <c r="L245" s="198">
        <f>COUNTIF(J245:K245,"&lt;&gt;0")*-'Trading Model'!$E$15</f>
        <v>-0.1</v>
      </c>
      <c r="M245" s="198">
        <f t="shared" si="24"/>
        <v>-15.61</v>
      </c>
      <c r="N245" s="75">
        <f t="shared" si="27"/>
        <v>20</v>
      </c>
      <c r="O245" s="202">
        <f t="shared" si="28"/>
        <v>0</v>
      </c>
      <c r="P245" s="199">
        <f t="shared" si="25"/>
        <v>0</v>
      </c>
      <c r="Q245" s="203">
        <f t="shared" si="29"/>
        <v>88.000000000000682</v>
      </c>
      <c r="R245" s="203" t="s">
        <v>55</v>
      </c>
      <c r="S245" s="201">
        <f t="shared" si="30"/>
        <v>-3.3644799604037323E-2</v>
      </c>
    </row>
    <row r="246" spans="1:19">
      <c r="A246" s="196">
        <v>40324</v>
      </c>
      <c r="B246" s="122">
        <v>15.56</v>
      </c>
      <c r="C246" s="122">
        <v>15.71</v>
      </c>
      <c r="D246" s="122">
        <v>14.79</v>
      </c>
      <c r="E246" s="122">
        <v>15.02</v>
      </c>
      <c r="F246" s="122">
        <v>9.8900410000000001</v>
      </c>
      <c r="G246" s="197">
        <v>1225500</v>
      </c>
      <c r="H246" s="198">
        <f>IF(AND(E245&gt;=H245,E246&gt;=E245),E245*(1+'Trading Model'!$E$13),IF(AND(E246&lt;E245,E245&gt;=H245),E246*(1+'Trading Model'!$E$13),H245))</f>
        <v>22.007998950000001</v>
      </c>
      <c r="I246" s="198">
        <f>IF(K246&gt;0,E246*(1-'Trading Model'!E256),IF(E246&lt;I245,I245*(1-'Trading Model'!$E$14),I245))</f>
        <v>14.818716724772075</v>
      </c>
      <c r="J246" s="198">
        <f t="shared" si="31"/>
        <v>0</v>
      </c>
      <c r="K246" s="198">
        <f t="shared" si="26"/>
        <v>0</v>
      </c>
      <c r="L246" s="198">
        <f>COUNTIF(J246:K246,"&lt;&gt;0")*-'Trading Model'!$E$15</f>
        <v>0</v>
      </c>
      <c r="M246" s="198">
        <f t="shared" si="24"/>
        <v>0</v>
      </c>
      <c r="N246" s="75">
        <f t="shared" si="27"/>
        <v>20</v>
      </c>
      <c r="O246" s="202">
        <f t="shared" si="28"/>
        <v>0</v>
      </c>
      <c r="P246" s="199">
        <f t="shared" si="25"/>
        <v>0</v>
      </c>
      <c r="Q246" s="203">
        <f t="shared" si="29"/>
        <v>87.900000000000688</v>
      </c>
      <c r="R246" s="203" t="s">
        <v>55</v>
      </c>
      <c r="S246" s="201">
        <f t="shared" si="30"/>
        <v>-3.1592520954223047E-2</v>
      </c>
    </row>
    <row r="247" spans="1:19">
      <c r="A247" s="196">
        <v>40325</v>
      </c>
      <c r="B247" s="122">
        <v>15.16</v>
      </c>
      <c r="C247" s="122">
        <v>16.59</v>
      </c>
      <c r="D247" s="122">
        <v>14.95</v>
      </c>
      <c r="E247" s="122">
        <v>16.549999</v>
      </c>
      <c r="F247" s="122">
        <v>10.89748</v>
      </c>
      <c r="G247" s="197">
        <v>536700</v>
      </c>
      <c r="H247" s="198">
        <f>IF(AND(E246&gt;=H246,E247&gt;=E246),E246*(1+'Trading Model'!$E$13),IF(AND(E247&lt;E246,E246&gt;=H246),E247*(1+'Trading Model'!$E$13),H246))</f>
        <v>22.007998950000001</v>
      </c>
      <c r="I247" s="198">
        <f>IF(K247&gt;0,E247*(1-'Trading Model'!E257),IF(E247&lt;I246,I246*(1-'Trading Model'!$E$14),I246))</f>
        <v>14.818716724772075</v>
      </c>
      <c r="J247" s="198">
        <f t="shared" si="31"/>
        <v>0</v>
      </c>
      <c r="K247" s="198">
        <f t="shared" si="26"/>
        <v>0</v>
      </c>
      <c r="L247" s="198">
        <f>COUNTIF(J247:K247,"&lt;&gt;0")*-'Trading Model'!$E$15</f>
        <v>0</v>
      </c>
      <c r="M247" s="198">
        <f t="shared" si="24"/>
        <v>0</v>
      </c>
      <c r="N247" s="75">
        <f t="shared" si="27"/>
        <v>20</v>
      </c>
      <c r="O247" s="202">
        <f t="shared" si="28"/>
        <v>0</v>
      </c>
      <c r="P247" s="199">
        <f t="shared" si="25"/>
        <v>0</v>
      </c>
      <c r="Q247" s="203">
        <f t="shared" si="29"/>
        <v>87.900000000000688</v>
      </c>
      <c r="R247" s="201">
        <f>E247/B243-1</f>
        <v>2.0345254028683923E-2</v>
      </c>
      <c r="S247" s="201">
        <f t="shared" si="30"/>
        <v>0.10186411451398136</v>
      </c>
    </row>
    <row r="248" spans="1:19">
      <c r="A248" s="196">
        <v>40326</v>
      </c>
      <c r="B248" s="122">
        <v>16.489999999999998</v>
      </c>
      <c r="C248" s="122">
        <v>16.709999</v>
      </c>
      <c r="D248" s="122">
        <v>16.190000999999999</v>
      </c>
      <c r="E248" s="122">
        <v>16.299999</v>
      </c>
      <c r="F248" s="122">
        <v>10.732863999999999</v>
      </c>
      <c r="G248" s="197">
        <v>186700</v>
      </c>
      <c r="H248" s="198">
        <f>IF(AND(E247&gt;=H247,E248&gt;=E247),E247*(1+'Trading Model'!$E$13),IF(AND(E248&lt;E247,E247&gt;=H247),E248*(1+'Trading Model'!$E$13),H247))</f>
        <v>22.007998950000001</v>
      </c>
      <c r="I248" s="198">
        <f>IF(K248&gt;0,E248*(1-'Trading Model'!E258),IF(E248&lt;I247,I247*(1-'Trading Model'!$E$14),I247))</f>
        <v>14.818716724772075</v>
      </c>
      <c r="J248" s="198">
        <f t="shared" si="31"/>
        <v>0</v>
      </c>
      <c r="K248" s="198">
        <f t="shared" si="26"/>
        <v>0</v>
      </c>
      <c r="L248" s="198">
        <f>COUNTIF(J248:K248,"&lt;&gt;0")*-'Trading Model'!$E$15</f>
        <v>0</v>
      </c>
      <c r="M248" s="198">
        <f t="shared" si="24"/>
        <v>0</v>
      </c>
      <c r="N248" s="75">
        <f t="shared" si="27"/>
        <v>20</v>
      </c>
      <c r="O248" s="202">
        <f t="shared" si="28"/>
        <v>0</v>
      </c>
      <c r="P248" s="199">
        <f t="shared" si="25"/>
        <v>0</v>
      </c>
      <c r="Q248" s="203">
        <f t="shared" si="29"/>
        <v>87.800000000000693</v>
      </c>
      <c r="R248" s="160" t="s">
        <v>55</v>
      </c>
      <c r="S248" s="201">
        <f t="shared" si="30"/>
        <v>-1.5105741094002534E-2</v>
      </c>
    </row>
    <row r="249" spans="1:19">
      <c r="A249" s="196">
        <v>40330</v>
      </c>
      <c r="B249" s="122">
        <v>16.299999</v>
      </c>
      <c r="C249" s="122">
        <v>16.790001</v>
      </c>
      <c r="D249" s="122">
        <v>16.239999999999998</v>
      </c>
      <c r="E249" s="122">
        <v>16.41</v>
      </c>
      <c r="F249" s="122">
        <v>10.805296999999999</v>
      </c>
      <c r="G249" s="197">
        <v>138700</v>
      </c>
      <c r="H249" s="198">
        <f>IF(AND(E248&gt;=H248,E249&gt;=E248),E248*(1+'Trading Model'!$E$13),IF(AND(E249&lt;E248,E248&gt;=H248),E249*(1+'Trading Model'!$E$13),H248))</f>
        <v>22.007998950000001</v>
      </c>
      <c r="I249" s="198">
        <f>IF(K249&gt;0,E249*(1-'Trading Model'!E259),IF(E249&lt;I248,I248*(1-'Trading Model'!$E$14),I248))</f>
        <v>14.818716724772075</v>
      </c>
      <c r="J249" s="198">
        <f t="shared" si="31"/>
        <v>0</v>
      </c>
      <c r="K249" s="198">
        <f t="shared" si="26"/>
        <v>0</v>
      </c>
      <c r="L249" s="198">
        <f>COUNTIF(J249:K249,"&lt;&gt;0")*-'Trading Model'!$E$15</f>
        <v>0</v>
      </c>
      <c r="M249" s="198">
        <f t="shared" si="24"/>
        <v>0</v>
      </c>
      <c r="N249" s="75">
        <f t="shared" si="27"/>
        <v>20</v>
      </c>
      <c r="O249" s="202">
        <f t="shared" si="28"/>
        <v>0</v>
      </c>
      <c r="P249" s="199">
        <f t="shared" si="25"/>
        <v>0</v>
      </c>
      <c r="Q249" s="203">
        <f t="shared" si="29"/>
        <v>87.800000000000693</v>
      </c>
      <c r="R249" s="203" t="s">
        <v>55</v>
      </c>
      <c r="S249" s="201">
        <f t="shared" si="30"/>
        <v>6.7485280213821497E-3</v>
      </c>
    </row>
    <row r="250" spans="1:19">
      <c r="A250" s="196">
        <v>40331</v>
      </c>
      <c r="B250" s="122">
        <v>16.510000000000002</v>
      </c>
      <c r="C250" s="122">
        <v>17.02</v>
      </c>
      <c r="D250" s="122">
        <v>16.329999999999998</v>
      </c>
      <c r="E250" s="122">
        <v>16.899999999999999</v>
      </c>
      <c r="F250" s="122">
        <v>11.127942000000001</v>
      </c>
      <c r="G250" s="197">
        <v>94200</v>
      </c>
      <c r="H250" s="198">
        <f>IF(AND(E249&gt;=H249,E250&gt;=E249),E249*(1+'Trading Model'!$E$13),IF(AND(E250&lt;E249,E249&gt;=H249),E250*(1+'Trading Model'!$E$13),H249))</f>
        <v>22.007998950000001</v>
      </c>
      <c r="I250" s="198">
        <f>IF(K250&gt;0,E250*(1-'Trading Model'!E260),IF(E250&lt;I249,I249*(1-'Trading Model'!$E$14),I249))</f>
        <v>14.818716724772075</v>
      </c>
      <c r="J250" s="198">
        <f t="shared" si="31"/>
        <v>0</v>
      </c>
      <c r="K250" s="198">
        <f t="shared" si="26"/>
        <v>0</v>
      </c>
      <c r="L250" s="198">
        <f>COUNTIF(J250:K250,"&lt;&gt;0")*-'Trading Model'!$E$15</f>
        <v>0</v>
      </c>
      <c r="M250" s="198">
        <f t="shared" si="24"/>
        <v>0</v>
      </c>
      <c r="N250" s="75">
        <f t="shared" si="27"/>
        <v>20</v>
      </c>
      <c r="O250" s="202">
        <f t="shared" si="28"/>
        <v>0</v>
      </c>
      <c r="P250" s="199">
        <f t="shared" si="25"/>
        <v>0</v>
      </c>
      <c r="Q250" s="203">
        <f t="shared" si="29"/>
        <v>87.800000000000693</v>
      </c>
      <c r="R250" s="203" t="s">
        <v>55</v>
      </c>
      <c r="S250" s="201">
        <f t="shared" si="30"/>
        <v>2.9859841560024192E-2</v>
      </c>
    </row>
    <row r="251" spans="1:19">
      <c r="A251" s="196">
        <v>40332</v>
      </c>
      <c r="B251" s="122">
        <v>16.760000000000002</v>
      </c>
      <c r="C251" s="122">
        <v>17.23</v>
      </c>
      <c r="D251" s="122">
        <v>16.760000000000002</v>
      </c>
      <c r="E251" s="122">
        <v>17.16</v>
      </c>
      <c r="F251" s="122">
        <v>11.299142</v>
      </c>
      <c r="G251" s="197">
        <v>130000</v>
      </c>
      <c r="H251" s="198">
        <f>IF(AND(E250&gt;=H250,E251&gt;=E250),E250*(1+'Trading Model'!$E$13),IF(AND(E251&lt;E250,E250&gt;=H250),E251*(1+'Trading Model'!$E$13),H250))</f>
        <v>22.007998950000001</v>
      </c>
      <c r="I251" s="198">
        <f>IF(K251&gt;0,E251*(1-'Trading Model'!E261),IF(E251&lt;I250,I250*(1-'Trading Model'!$E$14),I250))</f>
        <v>14.818716724772075</v>
      </c>
      <c r="J251" s="198">
        <f t="shared" si="31"/>
        <v>0</v>
      </c>
      <c r="K251" s="198">
        <f t="shared" si="26"/>
        <v>0</v>
      </c>
      <c r="L251" s="198">
        <f>COUNTIF(J251:K251,"&lt;&gt;0")*-'Trading Model'!$E$15</f>
        <v>0</v>
      </c>
      <c r="M251" s="198">
        <f t="shared" si="24"/>
        <v>0</v>
      </c>
      <c r="N251" s="75">
        <f t="shared" si="27"/>
        <v>20</v>
      </c>
      <c r="O251" s="202">
        <f t="shared" si="28"/>
        <v>0</v>
      </c>
      <c r="P251" s="199">
        <f t="shared" si="25"/>
        <v>0</v>
      </c>
      <c r="Q251" s="203">
        <f t="shared" si="29"/>
        <v>87.800000000000693</v>
      </c>
      <c r="R251" s="203" t="s">
        <v>55</v>
      </c>
      <c r="S251" s="201">
        <f t="shared" si="30"/>
        <v>1.5384615384615552E-2</v>
      </c>
    </row>
    <row r="252" spans="1:19">
      <c r="A252" s="196">
        <v>40333</v>
      </c>
      <c r="B252" s="122">
        <v>16.73</v>
      </c>
      <c r="C252" s="122">
        <v>17.049999</v>
      </c>
      <c r="D252" s="122">
        <v>16.600000000000001</v>
      </c>
      <c r="E252" s="122">
        <v>16.719999000000001</v>
      </c>
      <c r="F252" s="122">
        <v>11.009418</v>
      </c>
      <c r="G252" s="197">
        <v>166300</v>
      </c>
      <c r="H252" s="198">
        <f>IF(AND(E251&gt;=H251,E252&gt;=E251),E251*(1+'Trading Model'!$E$13),IF(AND(E252&lt;E251,E251&gt;=H251),E252*(1+'Trading Model'!$E$13),H251))</f>
        <v>22.007998950000001</v>
      </c>
      <c r="I252" s="198">
        <f>IF(K252&gt;0,E252*(1-'Trading Model'!E262),IF(E252&lt;I251,I251*(1-'Trading Model'!$E$14),I251))</f>
        <v>14.818716724772075</v>
      </c>
      <c r="J252" s="198">
        <f t="shared" si="31"/>
        <v>0</v>
      </c>
      <c r="K252" s="198">
        <f t="shared" si="26"/>
        <v>0</v>
      </c>
      <c r="L252" s="198">
        <f>COUNTIF(J252:K252,"&lt;&gt;0")*-'Trading Model'!$E$15</f>
        <v>0</v>
      </c>
      <c r="M252" s="198">
        <f t="shared" si="24"/>
        <v>0</v>
      </c>
      <c r="N252" s="75">
        <f t="shared" si="27"/>
        <v>20</v>
      </c>
      <c r="O252" s="202">
        <f t="shared" si="28"/>
        <v>0</v>
      </c>
      <c r="P252" s="199">
        <f t="shared" si="25"/>
        <v>0</v>
      </c>
      <c r="Q252" s="203">
        <f t="shared" si="29"/>
        <v>87.700000000000699</v>
      </c>
      <c r="R252" s="201">
        <f>E252/B248-1</f>
        <v>1.3947786537295448E-2</v>
      </c>
      <c r="S252" s="201">
        <f t="shared" si="30"/>
        <v>-2.5641083916083884E-2</v>
      </c>
    </row>
    <row r="253" spans="1:19">
      <c r="A253" s="196">
        <v>40336</v>
      </c>
      <c r="B253" s="122">
        <v>16.639999</v>
      </c>
      <c r="C253" s="122">
        <v>16.91</v>
      </c>
      <c r="D253" s="122">
        <v>16.299999</v>
      </c>
      <c r="E253" s="122">
        <v>16.41</v>
      </c>
      <c r="F253" s="122">
        <v>10.805296999999999</v>
      </c>
      <c r="G253" s="197">
        <v>130200</v>
      </c>
      <c r="H253" s="198">
        <f>IF(AND(E252&gt;=H252,E253&gt;=E252),E252*(1+'Trading Model'!$E$13),IF(AND(E253&lt;E252,E252&gt;=H252),E253*(1+'Trading Model'!$E$13),H252))</f>
        <v>22.007998950000001</v>
      </c>
      <c r="I253" s="198">
        <f>IF(K253&gt;0,E253*(1-'Trading Model'!E263),IF(E253&lt;I252,I252*(1-'Trading Model'!$E$14),I252))</f>
        <v>14.818716724772075</v>
      </c>
      <c r="J253" s="198">
        <f t="shared" si="31"/>
        <v>0</v>
      </c>
      <c r="K253" s="198">
        <f t="shared" si="26"/>
        <v>0</v>
      </c>
      <c r="L253" s="198">
        <f>COUNTIF(J253:K253,"&lt;&gt;0")*-'Trading Model'!$E$15</f>
        <v>0</v>
      </c>
      <c r="M253" s="198">
        <f t="shared" si="24"/>
        <v>0</v>
      </c>
      <c r="N253" s="75">
        <f t="shared" si="27"/>
        <v>20</v>
      </c>
      <c r="O253" s="202">
        <f t="shared" si="28"/>
        <v>0</v>
      </c>
      <c r="P253" s="199">
        <f t="shared" si="25"/>
        <v>0</v>
      </c>
      <c r="Q253" s="203">
        <f t="shared" si="29"/>
        <v>87.600000000000705</v>
      </c>
      <c r="R253" s="160" t="s">
        <v>55</v>
      </c>
      <c r="S253" s="201">
        <f t="shared" si="30"/>
        <v>-1.8540611156735221E-2</v>
      </c>
    </row>
    <row r="254" spans="1:19">
      <c r="A254" s="196">
        <v>40337</v>
      </c>
      <c r="B254" s="122">
        <v>16.290001</v>
      </c>
      <c r="C254" s="122">
        <v>16.5</v>
      </c>
      <c r="D254" s="122">
        <v>16.100000000000001</v>
      </c>
      <c r="E254" s="122">
        <v>16.459999</v>
      </c>
      <c r="F254" s="122">
        <v>10.838219</v>
      </c>
      <c r="G254" s="197">
        <v>127000</v>
      </c>
      <c r="H254" s="198">
        <f>IF(AND(E253&gt;=H253,E254&gt;=E253),E253*(1+'Trading Model'!$E$13),IF(AND(E254&lt;E253,E253&gt;=H253),E254*(1+'Trading Model'!$E$13),H253))</f>
        <v>22.007998950000001</v>
      </c>
      <c r="I254" s="198">
        <f>IF(K254&gt;0,E254*(1-'Trading Model'!E264),IF(E254&lt;I253,I253*(1-'Trading Model'!$E$14),I253))</f>
        <v>14.818716724772075</v>
      </c>
      <c r="J254" s="198">
        <f t="shared" si="31"/>
        <v>0</v>
      </c>
      <c r="K254" s="198">
        <f t="shared" si="26"/>
        <v>0</v>
      </c>
      <c r="L254" s="198">
        <f>COUNTIF(J254:K254,"&lt;&gt;0")*-'Trading Model'!$E$15</f>
        <v>0</v>
      </c>
      <c r="M254" s="198">
        <f t="shared" si="24"/>
        <v>0</v>
      </c>
      <c r="N254" s="75">
        <f t="shared" si="27"/>
        <v>20</v>
      </c>
      <c r="O254" s="202">
        <f t="shared" si="28"/>
        <v>0</v>
      </c>
      <c r="P254" s="199">
        <f t="shared" si="25"/>
        <v>0</v>
      </c>
      <c r="Q254" s="203">
        <f t="shared" si="29"/>
        <v>87.600000000000705</v>
      </c>
      <c r="R254" s="203" t="s">
        <v>55</v>
      </c>
      <c r="S254" s="201">
        <f t="shared" si="30"/>
        <v>3.0468616697134632E-3</v>
      </c>
    </row>
    <row r="255" spans="1:19">
      <c r="A255" s="196">
        <v>40338</v>
      </c>
      <c r="B255" s="122">
        <v>16.43</v>
      </c>
      <c r="C255" s="122">
        <v>17.450001</v>
      </c>
      <c r="D255" s="122">
        <v>16.360001</v>
      </c>
      <c r="E255" s="122">
        <v>16.969999000000001</v>
      </c>
      <c r="F255" s="122">
        <v>11.174032</v>
      </c>
      <c r="G255" s="197">
        <v>142000</v>
      </c>
      <c r="H255" s="198">
        <f>IF(AND(E254&gt;=H254,E255&gt;=E254),E254*(1+'Trading Model'!$E$13),IF(AND(E255&lt;E254,E254&gt;=H254),E255*(1+'Trading Model'!$E$13),H254))</f>
        <v>22.007998950000001</v>
      </c>
      <c r="I255" s="198">
        <f>IF(K255&gt;0,E255*(1-'Trading Model'!E265),IF(E255&lt;I254,I254*(1-'Trading Model'!$E$14),I254))</f>
        <v>14.818716724772075</v>
      </c>
      <c r="J255" s="198">
        <f t="shared" si="31"/>
        <v>0</v>
      </c>
      <c r="K255" s="198">
        <f t="shared" si="26"/>
        <v>0</v>
      </c>
      <c r="L255" s="198">
        <f>COUNTIF(J255:K255,"&lt;&gt;0")*-'Trading Model'!$E$15</f>
        <v>0</v>
      </c>
      <c r="M255" s="198">
        <f t="shared" si="24"/>
        <v>0</v>
      </c>
      <c r="N255" s="75">
        <f t="shared" si="27"/>
        <v>20</v>
      </c>
      <c r="O255" s="202">
        <f t="shared" si="28"/>
        <v>0</v>
      </c>
      <c r="P255" s="199">
        <f t="shared" si="25"/>
        <v>0</v>
      </c>
      <c r="Q255" s="203">
        <f t="shared" si="29"/>
        <v>87.600000000000705</v>
      </c>
      <c r="R255" s="203" t="s">
        <v>55</v>
      </c>
      <c r="S255" s="201">
        <f t="shared" si="30"/>
        <v>3.0984206013621396E-2</v>
      </c>
    </row>
    <row r="256" spans="1:19">
      <c r="A256" s="196">
        <v>40339</v>
      </c>
      <c r="B256" s="122">
        <v>17.09</v>
      </c>
      <c r="C256" s="122">
        <v>17.48</v>
      </c>
      <c r="D256" s="122">
        <v>17.07</v>
      </c>
      <c r="E256" s="122">
        <v>17.34</v>
      </c>
      <c r="F256" s="122">
        <v>11.417662999999999</v>
      </c>
      <c r="G256" s="197">
        <v>101200</v>
      </c>
      <c r="H256" s="198">
        <f>IF(AND(E255&gt;=H255,E256&gt;=E255),E255*(1+'Trading Model'!$E$13),IF(AND(E256&lt;E255,E255&gt;=H255),E256*(1+'Trading Model'!$E$13),H255))</f>
        <v>22.007998950000001</v>
      </c>
      <c r="I256" s="198">
        <f>IF(K256&gt;0,E256*(1-'Trading Model'!E266),IF(E256&lt;I255,I255*(1-'Trading Model'!$E$14),I255))</f>
        <v>14.818716724772075</v>
      </c>
      <c r="J256" s="198">
        <f t="shared" si="31"/>
        <v>0</v>
      </c>
      <c r="K256" s="198">
        <f t="shared" si="26"/>
        <v>0</v>
      </c>
      <c r="L256" s="198">
        <f>COUNTIF(J256:K256,"&lt;&gt;0")*-'Trading Model'!$E$15</f>
        <v>0</v>
      </c>
      <c r="M256" s="198">
        <f t="shared" si="24"/>
        <v>0</v>
      </c>
      <c r="N256" s="75">
        <f t="shared" si="27"/>
        <v>20</v>
      </c>
      <c r="O256" s="202">
        <f t="shared" si="28"/>
        <v>0</v>
      </c>
      <c r="P256" s="199">
        <f t="shared" si="25"/>
        <v>0</v>
      </c>
      <c r="Q256" s="203">
        <f t="shared" si="29"/>
        <v>87.600000000000705</v>
      </c>
      <c r="R256" s="203" t="s">
        <v>55</v>
      </c>
      <c r="S256" s="201">
        <f t="shared" si="30"/>
        <v>2.1803242298364278E-2</v>
      </c>
    </row>
    <row r="257" spans="1:19">
      <c r="A257" s="196">
        <v>40340</v>
      </c>
      <c r="B257" s="122">
        <v>17.059999000000001</v>
      </c>
      <c r="C257" s="122">
        <v>17.66</v>
      </c>
      <c r="D257" s="122">
        <v>17</v>
      </c>
      <c r="E257" s="122">
        <v>17.57</v>
      </c>
      <c r="F257" s="122">
        <v>11.569107000000001</v>
      </c>
      <c r="G257" s="197">
        <v>145200</v>
      </c>
      <c r="H257" s="198">
        <f>IF(AND(E256&gt;=H256,E257&gt;=E256),E256*(1+'Trading Model'!$E$13),IF(AND(E257&lt;E256,E256&gt;=H256),E257*(1+'Trading Model'!$E$13),H256))</f>
        <v>22.007998950000001</v>
      </c>
      <c r="I257" s="198">
        <f>IF(K257&gt;0,E257*(1-'Trading Model'!E267),IF(E257&lt;I256,I256*(1-'Trading Model'!$E$14),I256))</f>
        <v>14.818716724772075</v>
      </c>
      <c r="J257" s="198">
        <f t="shared" si="31"/>
        <v>0</v>
      </c>
      <c r="K257" s="198">
        <f t="shared" si="26"/>
        <v>0</v>
      </c>
      <c r="L257" s="198">
        <f>COUNTIF(J257:K257,"&lt;&gt;0")*-'Trading Model'!$E$15</f>
        <v>0</v>
      </c>
      <c r="M257" s="198">
        <f t="shared" si="24"/>
        <v>0</v>
      </c>
      <c r="N257" s="75">
        <f t="shared" si="27"/>
        <v>20</v>
      </c>
      <c r="O257" s="202">
        <f t="shared" si="28"/>
        <v>0</v>
      </c>
      <c r="P257" s="199">
        <f t="shared" si="25"/>
        <v>0</v>
      </c>
      <c r="Q257" s="203">
        <f t="shared" si="29"/>
        <v>87.600000000000705</v>
      </c>
      <c r="R257" s="201">
        <f>E257/B253-1</f>
        <v>5.5889486531820243E-2</v>
      </c>
      <c r="S257" s="201">
        <f t="shared" si="30"/>
        <v>1.3264129181084217E-2</v>
      </c>
    </row>
    <row r="258" spans="1:19">
      <c r="A258" s="196">
        <v>40343</v>
      </c>
      <c r="B258" s="122">
        <v>17.940000999999999</v>
      </c>
      <c r="C258" s="122">
        <v>18.139999</v>
      </c>
      <c r="D258" s="122">
        <v>17.75</v>
      </c>
      <c r="E258" s="122">
        <v>17.780000999999999</v>
      </c>
      <c r="F258" s="122">
        <v>11.707386</v>
      </c>
      <c r="G258" s="197">
        <v>181900</v>
      </c>
      <c r="H258" s="198">
        <f>IF(AND(E257&gt;=H257,E258&gt;=E257),E257*(1+'Trading Model'!$E$13),IF(AND(E258&lt;E257,E257&gt;=H257),E258*(1+'Trading Model'!$E$13),H257))</f>
        <v>22.007998950000001</v>
      </c>
      <c r="I258" s="198">
        <f>IF(K258&gt;0,E258*(1-'Trading Model'!E268),IF(E258&lt;I257,I257*(1-'Trading Model'!$E$14),I257))</f>
        <v>14.818716724772075</v>
      </c>
      <c r="J258" s="198">
        <f t="shared" si="31"/>
        <v>0</v>
      </c>
      <c r="K258" s="198">
        <f t="shared" si="26"/>
        <v>0</v>
      </c>
      <c r="L258" s="198">
        <f>COUNTIF(J258:K258,"&lt;&gt;0")*-'Trading Model'!$E$15</f>
        <v>0</v>
      </c>
      <c r="M258" s="198">
        <f t="shared" si="24"/>
        <v>0</v>
      </c>
      <c r="N258" s="75">
        <f t="shared" si="27"/>
        <v>20</v>
      </c>
      <c r="O258" s="202">
        <f t="shared" si="28"/>
        <v>0</v>
      </c>
      <c r="P258" s="199">
        <f t="shared" si="25"/>
        <v>0</v>
      </c>
      <c r="Q258" s="203">
        <f t="shared" si="29"/>
        <v>87.600000000000705</v>
      </c>
      <c r="R258" s="160" t="s">
        <v>55</v>
      </c>
      <c r="S258" s="201">
        <f t="shared" si="30"/>
        <v>1.1952248150256084E-2</v>
      </c>
    </row>
    <row r="259" spans="1:19">
      <c r="A259" s="196">
        <v>40344</v>
      </c>
      <c r="B259" s="122">
        <v>17.77</v>
      </c>
      <c r="C259" s="122">
        <v>18.32</v>
      </c>
      <c r="D259" s="122">
        <v>17.670000000000002</v>
      </c>
      <c r="E259" s="122">
        <v>18.290001</v>
      </c>
      <c r="F259" s="122">
        <v>12.043199</v>
      </c>
      <c r="G259" s="197">
        <v>310900</v>
      </c>
      <c r="H259" s="198">
        <f>IF(AND(E258&gt;=H258,E259&gt;=E258),E258*(1+'Trading Model'!$E$13),IF(AND(E259&lt;E258,E258&gt;=H258),E259*(1+'Trading Model'!$E$13),H258))</f>
        <v>22.007998950000001</v>
      </c>
      <c r="I259" s="198">
        <f>IF(K259&gt;0,E259*(1-'Trading Model'!E269),IF(E259&lt;I258,I258*(1-'Trading Model'!$E$14),I258))</f>
        <v>14.818716724772075</v>
      </c>
      <c r="J259" s="198">
        <f t="shared" si="31"/>
        <v>0</v>
      </c>
      <c r="K259" s="198">
        <f t="shared" si="26"/>
        <v>0</v>
      </c>
      <c r="L259" s="198">
        <f>COUNTIF(J259:K259,"&lt;&gt;0")*-'Trading Model'!$E$15</f>
        <v>0</v>
      </c>
      <c r="M259" s="198">
        <f t="shared" ref="M259:M322" si="32">SUM(J259:L259)</f>
        <v>0</v>
      </c>
      <c r="N259" s="75">
        <f t="shared" si="27"/>
        <v>20</v>
      </c>
      <c r="O259" s="202">
        <f t="shared" si="28"/>
        <v>0</v>
      </c>
      <c r="P259" s="199">
        <f t="shared" ref="P259:P322" si="33">IFERROR(VLOOKUP(A259,Dividends,2,FALSE),$U$1)</f>
        <v>0</v>
      </c>
      <c r="Q259" s="203">
        <f t="shared" si="29"/>
        <v>87.600000000000705</v>
      </c>
      <c r="R259" s="203" t="s">
        <v>55</v>
      </c>
      <c r="S259" s="201">
        <f t="shared" si="30"/>
        <v>2.8683912897417896E-2</v>
      </c>
    </row>
    <row r="260" spans="1:19">
      <c r="A260" s="196">
        <v>40345</v>
      </c>
      <c r="B260" s="122">
        <v>18.049999</v>
      </c>
      <c r="C260" s="122">
        <v>18.379999000000002</v>
      </c>
      <c r="D260" s="122">
        <v>18</v>
      </c>
      <c r="E260" s="122">
        <v>18.209999</v>
      </c>
      <c r="F260" s="122">
        <v>11.99052</v>
      </c>
      <c r="G260" s="197">
        <v>153700</v>
      </c>
      <c r="H260" s="198">
        <f>IF(AND(E259&gt;=H259,E260&gt;=E259),E259*(1+'Trading Model'!$E$13),IF(AND(E260&lt;E259,E259&gt;=H259),E260*(1+'Trading Model'!$E$13),H259))</f>
        <v>22.007998950000001</v>
      </c>
      <c r="I260" s="198">
        <f>IF(K260&gt;0,E260*(1-'Trading Model'!E270),IF(E260&lt;I259,I259*(1-'Trading Model'!$E$14),I259))</f>
        <v>14.818716724772075</v>
      </c>
      <c r="J260" s="198">
        <f t="shared" si="31"/>
        <v>0</v>
      </c>
      <c r="K260" s="198">
        <f t="shared" ref="K260:K323" si="34">IF(E260&gt;=H260,E260,0)</f>
        <v>0</v>
      </c>
      <c r="L260" s="198">
        <f>COUNTIF(J260:K260,"&lt;&gt;0")*-'Trading Model'!$E$15</f>
        <v>0</v>
      </c>
      <c r="M260" s="198">
        <f t="shared" si="32"/>
        <v>0</v>
      </c>
      <c r="N260" s="75">
        <f t="shared" ref="N260:N323" si="35">IF(AND(J260&lt;0,K260&gt;0),N259,(IF(J260&lt;0,N259+1,IF(K260&gt;0,N259+1,N259))))</f>
        <v>20</v>
      </c>
      <c r="O260" s="202">
        <f t="shared" ref="O260:O323" si="36">P260</f>
        <v>0</v>
      </c>
      <c r="P260" s="199">
        <f t="shared" si="33"/>
        <v>0</v>
      </c>
      <c r="Q260" s="203">
        <f t="shared" ref="Q260:Q323" si="37">IF(E260&lt;E259,Q259-0.1,Q259)</f>
        <v>87.500000000000711</v>
      </c>
      <c r="R260" s="203" t="s">
        <v>55</v>
      </c>
      <c r="S260" s="201">
        <f t="shared" ref="S260:S323" si="38">E260/E259-1</f>
        <v>-4.3740839598641612E-3</v>
      </c>
    </row>
    <row r="261" spans="1:19">
      <c r="A261" s="196">
        <v>40346</v>
      </c>
      <c r="B261" s="122">
        <v>18.25</v>
      </c>
      <c r="C261" s="122">
        <v>18.34</v>
      </c>
      <c r="D261" s="122">
        <v>18.030000999999999</v>
      </c>
      <c r="E261" s="122">
        <v>18.16</v>
      </c>
      <c r="F261" s="122">
        <v>11.957599999999999</v>
      </c>
      <c r="G261" s="197">
        <v>107100</v>
      </c>
      <c r="H261" s="198">
        <f>IF(AND(E260&gt;=H260,E261&gt;=E260),E260*(1+'Trading Model'!$E$13),IF(AND(E261&lt;E260,E260&gt;=H260),E261*(1+'Trading Model'!$E$13),H260))</f>
        <v>22.007998950000001</v>
      </c>
      <c r="I261" s="198">
        <f>IF(K261&gt;0,E261*(1-'Trading Model'!E271),IF(E261&lt;I260,I260*(1-'Trading Model'!$E$14),I260))</f>
        <v>14.818716724772075</v>
      </c>
      <c r="J261" s="198">
        <f t="shared" ref="J261:J324" si="39">IF(E261&gt;=H261,-E261,IF(E261&lt;=I260,-E261,0))</f>
        <v>0</v>
      </c>
      <c r="K261" s="198">
        <f t="shared" si="34"/>
        <v>0</v>
      </c>
      <c r="L261" s="198">
        <f>COUNTIF(J261:K261,"&lt;&gt;0")*-'Trading Model'!$E$15</f>
        <v>0</v>
      </c>
      <c r="M261" s="198">
        <f t="shared" si="32"/>
        <v>0</v>
      </c>
      <c r="N261" s="75">
        <f t="shared" si="35"/>
        <v>20</v>
      </c>
      <c r="O261" s="202">
        <f t="shared" si="36"/>
        <v>0</v>
      </c>
      <c r="P261" s="199">
        <f t="shared" si="33"/>
        <v>0</v>
      </c>
      <c r="Q261" s="203">
        <f t="shared" si="37"/>
        <v>87.400000000000716</v>
      </c>
      <c r="R261" s="203" t="s">
        <v>55</v>
      </c>
      <c r="S261" s="201">
        <f t="shared" si="38"/>
        <v>-2.7456893325474852E-3</v>
      </c>
    </row>
    <row r="262" spans="1:19">
      <c r="A262" s="196">
        <v>40347</v>
      </c>
      <c r="B262" s="122">
        <v>18.059999000000001</v>
      </c>
      <c r="C262" s="122">
        <v>18.370000999999998</v>
      </c>
      <c r="D262" s="122">
        <v>17.93</v>
      </c>
      <c r="E262" s="122">
        <v>18.27</v>
      </c>
      <c r="F262" s="122">
        <v>12.03003</v>
      </c>
      <c r="G262" s="197">
        <v>110800</v>
      </c>
      <c r="H262" s="198">
        <f>IF(AND(E261&gt;=H261,E262&gt;=E261),E261*(1+'Trading Model'!$E$13),IF(AND(E262&lt;E261,E261&gt;=H261),E262*(1+'Trading Model'!$E$13),H261))</f>
        <v>22.007998950000001</v>
      </c>
      <c r="I262" s="198">
        <f>IF(K262&gt;0,E262*(1-'Trading Model'!E272),IF(E262&lt;I261,I261*(1-'Trading Model'!$E$14),I261))</f>
        <v>14.818716724772075</v>
      </c>
      <c r="J262" s="198">
        <f t="shared" si="39"/>
        <v>0</v>
      </c>
      <c r="K262" s="198">
        <f t="shared" si="34"/>
        <v>0</v>
      </c>
      <c r="L262" s="198">
        <f>COUNTIF(J262:K262,"&lt;&gt;0")*-'Trading Model'!$E$15</f>
        <v>0</v>
      </c>
      <c r="M262" s="198">
        <f t="shared" si="32"/>
        <v>0</v>
      </c>
      <c r="N262" s="75">
        <f t="shared" si="35"/>
        <v>20</v>
      </c>
      <c r="O262" s="202">
        <f t="shared" si="36"/>
        <v>0</v>
      </c>
      <c r="P262" s="199">
        <f t="shared" si="33"/>
        <v>0</v>
      </c>
      <c r="Q262" s="203">
        <f t="shared" si="37"/>
        <v>87.400000000000716</v>
      </c>
      <c r="R262" s="201">
        <f>E262/B258-1</f>
        <v>1.8394592062731752E-2</v>
      </c>
      <c r="S262" s="201">
        <f t="shared" si="38"/>
        <v>6.0572687224669242E-3</v>
      </c>
    </row>
    <row r="263" spans="1:19">
      <c r="A263" s="196">
        <v>40350</v>
      </c>
      <c r="B263" s="122">
        <v>18.549999</v>
      </c>
      <c r="C263" s="122">
        <v>18.639999</v>
      </c>
      <c r="D263" s="122">
        <v>17.82</v>
      </c>
      <c r="E263" s="122">
        <v>17.899999999999999</v>
      </c>
      <c r="F263" s="122">
        <v>11.786398999999999</v>
      </c>
      <c r="G263" s="197">
        <v>94400</v>
      </c>
      <c r="H263" s="198">
        <f>IF(AND(E262&gt;=H262,E263&gt;=E262),E262*(1+'Trading Model'!$E$13),IF(AND(E263&lt;E262,E262&gt;=H262),E263*(1+'Trading Model'!$E$13),H262))</f>
        <v>22.007998950000001</v>
      </c>
      <c r="I263" s="198">
        <f>IF(K263&gt;0,E263*(1-'Trading Model'!E273),IF(E263&lt;I262,I262*(1-'Trading Model'!$E$14),I262))</f>
        <v>14.818716724772075</v>
      </c>
      <c r="J263" s="198">
        <f t="shared" si="39"/>
        <v>0</v>
      </c>
      <c r="K263" s="198">
        <f t="shared" si="34"/>
        <v>0</v>
      </c>
      <c r="L263" s="198">
        <f>COUNTIF(J263:K263,"&lt;&gt;0")*-'Trading Model'!$E$15</f>
        <v>0</v>
      </c>
      <c r="M263" s="198">
        <f t="shared" si="32"/>
        <v>0</v>
      </c>
      <c r="N263" s="75">
        <f t="shared" si="35"/>
        <v>20</v>
      </c>
      <c r="O263" s="202">
        <f t="shared" si="36"/>
        <v>0</v>
      </c>
      <c r="P263" s="199">
        <f t="shared" si="33"/>
        <v>0</v>
      </c>
      <c r="Q263" s="203">
        <f t="shared" si="37"/>
        <v>87.300000000000722</v>
      </c>
      <c r="R263" s="160" t="s">
        <v>55</v>
      </c>
      <c r="S263" s="201">
        <f t="shared" si="38"/>
        <v>-2.025177887246854E-2</v>
      </c>
    </row>
    <row r="264" spans="1:19">
      <c r="A264" s="196">
        <v>40351</v>
      </c>
      <c r="B264" s="122">
        <v>18.079999999999998</v>
      </c>
      <c r="C264" s="122">
        <v>18.290001</v>
      </c>
      <c r="D264" s="122">
        <v>17.969999000000001</v>
      </c>
      <c r="E264" s="122">
        <v>18.010000000000002</v>
      </c>
      <c r="F264" s="122">
        <v>11.858831</v>
      </c>
      <c r="G264" s="197">
        <v>46600</v>
      </c>
      <c r="H264" s="198">
        <f>IF(AND(E263&gt;=H263,E264&gt;=E263),E263*(1+'Trading Model'!$E$13),IF(AND(E264&lt;E263,E263&gt;=H263),E264*(1+'Trading Model'!$E$13),H263))</f>
        <v>22.007998950000001</v>
      </c>
      <c r="I264" s="198">
        <f>IF(K264&gt;0,E264*(1-'Trading Model'!E274),IF(E264&lt;I263,I263*(1-'Trading Model'!$E$14),I263))</f>
        <v>14.818716724772075</v>
      </c>
      <c r="J264" s="198">
        <f t="shared" si="39"/>
        <v>0</v>
      </c>
      <c r="K264" s="198">
        <f t="shared" si="34"/>
        <v>0</v>
      </c>
      <c r="L264" s="198">
        <f>COUNTIF(J264:K264,"&lt;&gt;0")*-'Trading Model'!$E$15</f>
        <v>0</v>
      </c>
      <c r="M264" s="198">
        <f t="shared" si="32"/>
        <v>0</v>
      </c>
      <c r="N264" s="75">
        <f t="shared" si="35"/>
        <v>20</v>
      </c>
      <c r="O264" s="202">
        <f t="shared" si="36"/>
        <v>0</v>
      </c>
      <c r="P264" s="199">
        <f t="shared" si="33"/>
        <v>0</v>
      </c>
      <c r="Q264" s="203">
        <f t="shared" si="37"/>
        <v>87.300000000000722</v>
      </c>
      <c r="R264" s="203" t="s">
        <v>55</v>
      </c>
      <c r="S264" s="201">
        <f t="shared" si="38"/>
        <v>6.1452513966482325E-3</v>
      </c>
    </row>
    <row r="265" spans="1:19">
      <c r="A265" s="196">
        <v>40352</v>
      </c>
      <c r="B265" s="122">
        <v>17.920000000000002</v>
      </c>
      <c r="C265" s="122">
        <v>18.129999000000002</v>
      </c>
      <c r="D265" s="122">
        <v>17.68</v>
      </c>
      <c r="E265" s="122">
        <v>17.790001</v>
      </c>
      <c r="F265" s="122">
        <v>11.713969000000001</v>
      </c>
      <c r="G265" s="197">
        <v>218300</v>
      </c>
      <c r="H265" s="198">
        <f>IF(AND(E264&gt;=H264,E265&gt;=E264),E264*(1+'Trading Model'!$E$13),IF(AND(E265&lt;E264,E264&gt;=H264),E265*(1+'Trading Model'!$E$13),H264))</f>
        <v>22.007998950000001</v>
      </c>
      <c r="I265" s="198">
        <f>IF(K265&gt;0,E265*(1-'Trading Model'!E275),IF(E265&lt;I264,I264*(1-'Trading Model'!$E$14),I264))</f>
        <v>14.818716724772075</v>
      </c>
      <c r="J265" s="198">
        <f t="shared" si="39"/>
        <v>0</v>
      </c>
      <c r="K265" s="198">
        <f t="shared" si="34"/>
        <v>0</v>
      </c>
      <c r="L265" s="198">
        <f>COUNTIF(J265:K265,"&lt;&gt;0")*-'Trading Model'!$E$15</f>
        <v>0</v>
      </c>
      <c r="M265" s="198">
        <f t="shared" si="32"/>
        <v>0</v>
      </c>
      <c r="N265" s="75">
        <f t="shared" si="35"/>
        <v>20</v>
      </c>
      <c r="O265" s="202">
        <f t="shared" si="36"/>
        <v>0</v>
      </c>
      <c r="P265" s="199">
        <f t="shared" si="33"/>
        <v>0</v>
      </c>
      <c r="Q265" s="203">
        <f t="shared" si="37"/>
        <v>87.200000000000728</v>
      </c>
      <c r="R265" s="203" t="s">
        <v>55</v>
      </c>
      <c r="S265" s="201">
        <f t="shared" si="38"/>
        <v>-1.221538034425329E-2</v>
      </c>
    </row>
    <row r="266" spans="1:19">
      <c r="A266" s="196">
        <v>40353</v>
      </c>
      <c r="B266" s="122">
        <v>17.610001</v>
      </c>
      <c r="C266" s="122">
        <v>17.75</v>
      </c>
      <c r="D266" s="122">
        <v>17.43</v>
      </c>
      <c r="E266" s="122">
        <v>17.540001</v>
      </c>
      <c r="F266" s="122">
        <v>11.549356</v>
      </c>
      <c r="G266" s="197">
        <v>82600</v>
      </c>
      <c r="H266" s="198">
        <f>IF(AND(E265&gt;=H265,E266&gt;=E265),E265*(1+'Trading Model'!$E$13),IF(AND(E266&lt;E265,E265&gt;=H265),E266*(1+'Trading Model'!$E$13),H265))</f>
        <v>22.007998950000001</v>
      </c>
      <c r="I266" s="198">
        <f>IF(K266&gt;0,E266*(1-'Trading Model'!E276),IF(E266&lt;I265,I265*(1-'Trading Model'!$E$14),I265))</f>
        <v>14.818716724772075</v>
      </c>
      <c r="J266" s="198">
        <f t="shared" si="39"/>
        <v>0</v>
      </c>
      <c r="K266" s="198">
        <f t="shared" si="34"/>
        <v>0</v>
      </c>
      <c r="L266" s="198">
        <f>COUNTIF(J266:K266,"&lt;&gt;0")*-'Trading Model'!$E$15</f>
        <v>0</v>
      </c>
      <c r="M266" s="198">
        <f t="shared" si="32"/>
        <v>0</v>
      </c>
      <c r="N266" s="75">
        <f t="shared" si="35"/>
        <v>20</v>
      </c>
      <c r="O266" s="202">
        <f t="shared" si="36"/>
        <v>0</v>
      </c>
      <c r="P266" s="199">
        <f t="shared" si="33"/>
        <v>0</v>
      </c>
      <c r="Q266" s="203">
        <f t="shared" si="37"/>
        <v>87.100000000000733</v>
      </c>
      <c r="R266" s="203" t="s">
        <v>55</v>
      </c>
      <c r="S266" s="201">
        <f t="shared" si="38"/>
        <v>-1.4052837883482994E-2</v>
      </c>
    </row>
    <row r="267" spans="1:19">
      <c r="A267" s="196">
        <v>40354</v>
      </c>
      <c r="B267" s="122">
        <v>17.459999</v>
      </c>
      <c r="C267" s="122">
        <v>17.82</v>
      </c>
      <c r="D267" s="122">
        <v>17.260000000000002</v>
      </c>
      <c r="E267" s="122">
        <v>17.559999000000001</v>
      </c>
      <c r="F267" s="122">
        <v>11.562522</v>
      </c>
      <c r="G267" s="197">
        <v>84100</v>
      </c>
      <c r="H267" s="198">
        <f>IF(AND(E266&gt;=H266,E267&gt;=E266),E266*(1+'Trading Model'!$E$13),IF(AND(E267&lt;E266,E266&gt;=H266),E267*(1+'Trading Model'!$E$13),H266))</f>
        <v>22.007998950000001</v>
      </c>
      <c r="I267" s="198">
        <f>IF(K267&gt;0,E267*(1-'Trading Model'!E277),IF(E267&lt;I266,I266*(1-'Trading Model'!$E$14),I266))</f>
        <v>14.818716724772075</v>
      </c>
      <c r="J267" s="198">
        <f t="shared" si="39"/>
        <v>0</v>
      </c>
      <c r="K267" s="198">
        <f t="shared" si="34"/>
        <v>0</v>
      </c>
      <c r="L267" s="198">
        <f>COUNTIF(J267:K267,"&lt;&gt;0")*-'Trading Model'!$E$15</f>
        <v>0</v>
      </c>
      <c r="M267" s="198">
        <f t="shared" si="32"/>
        <v>0</v>
      </c>
      <c r="N267" s="75">
        <f t="shared" si="35"/>
        <v>20</v>
      </c>
      <c r="O267" s="202">
        <f t="shared" si="36"/>
        <v>0</v>
      </c>
      <c r="P267" s="199">
        <f t="shared" si="33"/>
        <v>0</v>
      </c>
      <c r="Q267" s="203">
        <f t="shared" si="37"/>
        <v>87.100000000000733</v>
      </c>
      <c r="R267" s="201">
        <f>E267/B263-1</f>
        <v>-5.3369275114246606E-2</v>
      </c>
      <c r="S267" s="201">
        <f t="shared" si="38"/>
        <v>1.1401367651004968E-3</v>
      </c>
    </row>
    <row r="268" spans="1:19">
      <c r="A268" s="196">
        <v>40357</v>
      </c>
      <c r="B268" s="122">
        <v>17.66</v>
      </c>
      <c r="C268" s="122">
        <v>17.66</v>
      </c>
      <c r="D268" s="122">
        <v>17.459999</v>
      </c>
      <c r="E268" s="122">
        <v>17.469999000000001</v>
      </c>
      <c r="F268" s="122">
        <v>11.503261999999999</v>
      </c>
      <c r="G268" s="197">
        <v>40600</v>
      </c>
      <c r="H268" s="198">
        <f>IF(AND(E267&gt;=H267,E268&gt;=E267),E267*(1+'Trading Model'!$E$13),IF(AND(E268&lt;E267,E267&gt;=H267),E268*(1+'Trading Model'!$E$13),H267))</f>
        <v>22.007998950000001</v>
      </c>
      <c r="I268" s="198">
        <f>IF(K268&gt;0,E268*(1-'Trading Model'!E278),IF(E268&lt;I267,I267*(1-'Trading Model'!$E$14),I267))</f>
        <v>14.818716724772075</v>
      </c>
      <c r="J268" s="198">
        <f t="shared" si="39"/>
        <v>0</v>
      </c>
      <c r="K268" s="198">
        <f t="shared" si="34"/>
        <v>0</v>
      </c>
      <c r="L268" s="198">
        <f>COUNTIF(J268:K268,"&lt;&gt;0")*-'Trading Model'!$E$15</f>
        <v>0</v>
      </c>
      <c r="M268" s="198">
        <f t="shared" si="32"/>
        <v>0</v>
      </c>
      <c r="N268" s="75">
        <f t="shared" si="35"/>
        <v>20</v>
      </c>
      <c r="O268" s="202">
        <f t="shared" si="36"/>
        <v>0</v>
      </c>
      <c r="P268" s="199">
        <f t="shared" si="33"/>
        <v>0</v>
      </c>
      <c r="Q268" s="203">
        <f t="shared" si="37"/>
        <v>87.000000000000739</v>
      </c>
      <c r="R268" s="160" t="s">
        <v>55</v>
      </c>
      <c r="S268" s="201">
        <f t="shared" si="38"/>
        <v>-5.1252850299137176E-3</v>
      </c>
    </row>
    <row r="269" spans="1:19">
      <c r="A269" s="196">
        <v>40358</v>
      </c>
      <c r="B269" s="122">
        <v>17.299999</v>
      </c>
      <c r="C269" s="122">
        <v>17.370000999999998</v>
      </c>
      <c r="D269" s="122">
        <v>16.399999999999999</v>
      </c>
      <c r="E269" s="122">
        <v>16.510000000000002</v>
      </c>
      <c r="F269" s="122">
        <v>10.871142000000001</v>
      </c>
      <c r="G269" s="197">
        <v>122100</v>
      </c>
      <c r="H269" s="198">
        <f>IF(AND(E268&gt;=H268,E269&gt;=E268),E268*(1+'Trading Model'!$E$13),IF(AND(E269&lt;E268,E268&gt;=H268),E269*(1+'Trading Model'!$E$13),H268))</f>
        <v>22.007998950000001</v>
      </c>
      <c r="I269" s="198">
        <f>IF(K269&gt;0,E269*(1-'Trading Model'!E279),IF(E269&lt;I268,I268*(1-'Trading Model'!$E$14),I268))</f>
        <v>14.818716724772075</v>
      </c>
      <c r="J269" s="198">
        <f t="shared" si="39"/>
        <v>0</v>
      </c>
      <c r="K269" s="198">
        <f t="shared" si="34"/>
        <v>0</v>
      </c>
      <c r="L269" s="198">
        <f>COUNTIF(J269:K269,"&lt;&gt;0")*-'Trading Model'!$E$15</f>
        <v>0</v>
      </c>
      <c r="M269" s="198">
        <f t="shared" si="32"/>
        <v>0</v>
      </c>
      <c r="N269" s="75">
        <f t="shared" si="35"/>
        <v>20</v>
      </c>
      <c r="O269" s="202">
        <f t="shared" si="36"/>
        <v>0</v>
      </c>
      <c r="P269" s="199">
        <f t="shared" si="33"/>
        <v>0</v>
      </c>
      <c r="Q269" s="203">
        <f t="shared" si="37"/>
        <v>86.900000000000745</v>
      </c>
      <c r="R269" s="203" t="s">
        <v>55</v>
      </c>
      <c r="S269" s="201">
        <f t="shared" si="38"/>
        <v>-5.4951291067618202E-2</v>
      </c>
    </row>
    <row r="270" spans="1:19">
      <c r="A270" s="196">
        <v>40359</v>
      </c>
      <c r="B270" s="122">
        <v>16.190000999999999</v>
      </c>
      <c r="C270" s="122">
        <v>16.84</v>
      </c>
      <c r="D270" s="122">
        <v>16.190000999999999</v>
      </c>
      <c r="E270" s="122">
        <v>16.43</v>
      </c>
      <c r="F270" s="122">
        <v>10.818465</v>
      </c>
      <c r="G270" s="197">
        <v>127100</v>
      </c>
      <c r="H270" s="198">
        <f>IF(AND(E269&gt;=H269,E270&gt;=E269),E269*(1+'Trading Model'!$E$13),IF(AND(E270&lt;E269,E269&gt;=H269),E270*(1+'Trading Model'!$E$13),H269))</f>
        <v>22.007998950000001</v>
      </c>
      <c r="I270" s="198">
        <f>IF(K270&gt;0,E270*(1-'Trading Model'!E280),IF(E270&lt;I269,I269*(1-'Trading Model'!$E$14),I269))</f>
        <v>14.818716724772075</v>
      </c>
      <c r="J270" s="198">
        <f t="shared" si="39"/>
        <v>0</v>
      </c>
      <c r="K270" s="198">
        <f t="shared" si="34"/>
        <v>0</v>
      </c>
      <c r="L270" s="198">
        <f>COUNTIF(J270:K270,"&lt;&gt;0")*-'Trading Model'!$E$15</f>
        <v>0</v>
      </c>
      <c r="M270" s="198">
        <f t="shared" si="32"/>
        <v>0</v>
      </c>
      <c r="N270" s="75">
        <f t="shared" si="35"/>
        <v>20</v>
      </c>
      <c r="O270" s="202">
        <f t="shared" si="36"/>
        <v>0</v>
      </c>
      <c r="P270" s="199">
        <f t="shared" si="33"/>
        <v>0</v>
      </c>
      <c r="Q270" s="203">
        <f t="shared" si="37"/>
        <v>86.80000000000075</v>
      </c>
      <c r="R270" s="203" t="s">
        <v>55</v>
      </c>
      <c r="S270" s="201">
        <f t="shared" si="38"/>
        <v>-4.8455481526348265E-3</v>
      </c>
    </row>
    <row r="271" spans="1:19">
      <c r="A271" s="196">
        <v>40360</v>
      </c>
      <c r="B271" s="122">
        <v>16.379999000000002</v>
      </c>
      <c r="C271" s="122">
        <v>16.48</v>
      </c>
      <c r="D271" s="122">
        <v>15.76</v>
      </c>
      <c r="E271" s="122">
        <v>16.34</v>
      </c>
      <c r="F271" s="122">
        <v>10.759206000000001</v>
      </c>
      <c r="G271" s="197">
        <v>154200</v>
      </c>
      <c r="H271" s="198">
        <f>IF(AND(E270&gt;=H270,E271&gt;=E270),E270*(1+'Trading Model'!$E$13),IF(AND(E271&lt;E270,E270&gt;=H270),E271*(1+'Trading Model'!$E$13),H270))</f>
        <v>22.007998950000001</v>
      </c>
      <c r="I271" s="198">
        <f>IF(K271&gt;0,E271*(1-'Trading Model'!E281),IF(E271&lt;I270,I270*(1-'Trading Model'!$E$14),I270))</f>
        <v>14.818716724772075</v>
      </c>
      <c r="J271" s="198">
        <f t="shared" si="39"/>
        <v>0</v>
      </c>
      <c r="K271" s="198">
        <f t="shared" si="34"/>
        <v>0</v>
      </c>
      <c r="L271" s="198">
        <f>COUNTIF(J271:K271,"&lt;&gt;0")*-'Trading Model'!$E$15</f>
        <v>0</v>
      </c>
      <c r="M271" s="198">
        <f t="shared" si="32"/>
        <v>0</v>
      </c>
      <c r="N271" s="75">
        <f t="shared" si="35"/>
        <v>20</v>
      </c>
      <c r="O271" s="202">
        <f t="shared" si="36"/>
        <v>0</v>
      </c>
      <c r="P271" s="199">
        <f t="shared" si="33"/>
        <v>0</v>
      </c>
      <c r="Q271" s="203">
        <f t="shared" si="37"/>
        <v>86.700000000000756</v>
      </c>
      <c r="R271" s="203" t="s">
        <v>55</v>
      </c>
      <c r="S271" s="201">
        <f t="shared" si="38"/>
        <v>-5.4777845404747616E-3</v>
      </c>
    </row>
    <row r="272" spans="1:19">
      <c r="A272" s="196">
        <v>40361</v>
      </c>
      <c r="B272" s="122">
        <v>16.43</v>
      </c>
      <c r="C272" s="122">
        <v>16.489999999999998</v>
      </c>
      <c r="D272" s="122">
        <v>16.190000999999999</v>
      </c>
      <c r="E272" s="122">
        <v>16.309999000000001</v>
      </c>
      <c r="F272" s="122">
        <v>10.739452</v>
      </c>
      <c r="G272" s="197">
        <v>103200</v>
      </c>
      <c r="H272" s="198">
        <f>IF(AND(E271&gt;=H271,E272&gt;=E271),E271*(1+'Trading Model'!$E$13),IF(AND(E272&lt;E271,E271&gt;=H271),E272*(1+'Trading Model'!$E$13),H271))</f>
        <v>22.007998950000001</v>
      </c>
      <c r="I272" s="198">
        <f>IF(K272&gt;0,E272*(1-'Trading Model'!E282),IF(E272&lt;I271,I271*(1-'Trading Model'!$E$14),I271))</f>
        <v>14.818716724772075</v>
      </c>
      <c r="J272" s="198">
        <f t="shared" si="39"/>
        <v>0</v>
      </c>
      <c r="K272" s="198">
        <f t="shared" si="34"/>
        <v>0</v>
      </c>
      <c r="L272" s="198">
        <f>COUNTIF(J272:K272,"&lt;&gt;0")*-'Trading Model'!$E$15</f>
        <v>0</v>
      </c>
      <c r="M272" s="198">
        <f t="shared" si="32"/>
        <v>0</v>
      </c>
      <c r="N272" s="75">
        <f t="shared" si="35"/>
        <v>20</v>
      </c>
      <c r="O272" s="202">
        <f t="shared" si="36"/>
        <v>0</v>
      </c>
      <c r="P272" s="199">
        <f t="shared" si="33"/>
        <v>0</v>
      </c>
      <c r="Q272" s="203">
        <f t="shared" si="37"/>
        <v>86.600000000000762</v>
      </c>
      <c r="R272" s="201">
        <f>E272/B268-1</f>
        <v>-7.6443997734994329E-2</v>
      </c>
      <c r="S272" s="201">
        <f t="shared" si="38"/>
        <v>-1.8360465116278313E-3</v>
      </c>
    </row>
    <row r="273" spans="1:19">
      <c r="A273" s="196">
        <v>40365</v>
      </c>
      <c r="B273" s="122">
        <v>16.399999999999999</v>
      </c>
      <c r="C273" s="122">
        <v>16.860001</v>
      </c>
      <c r="D273" s="122">
        <v>16.260000000000002</v>
      </c>
      <c r="E273" s="122">
        <v>16.450001</v>
      </c>
      <c r="F273" s="122">
        <v>10.831636</v>
      </c>
      <c r="G273" s="197">
        <v>153700</v>
      </c>
      <c r="H273" s="198">
        <f>IF(AND(E272&gt;=H272,E273&gt;=E272),E272*(1+'Trading Model'!$E$13),IF(AND(E273&lt;E272,E272&gt;=H272),E273*(1+'Trading Model'!$E$13),H272))</f>
        <v>22.007998950000001</v>
      </c>
      <c r="I273" s="198">
        <f>IF(K273&gt;0,E273*(1-'Trading Model'!E283),IF(E273&lt;I272,I272*(1-'Trading Model'!$E$14),I272))</f>
        <v>14.818716724772075</v>
      </c>
      <c r="J273" s="198">
        <f t="shared" si="39"/>
        <v>0</v>
      </c>
      <c r="K273" s="198">
        <f t="shared" si="34"/>
        <v>0</v>
      </c>
      <c r="L273" s="198">
        <f>COUNTIF(J273:K273,"&lt;&gt;0")*-'Trading Model'!$E$15</f>
        <v>0</v>
      </c>
      <c r="M273" s="198">
        <f t="shared" si="32"/>
        <v>0</v>
      </c>
      <c r="N273" s="75">
        <f t="shared" si="35"/>
        <v>20</v>
      </c>
      <c r="O273" s="202">
        <f t="shared" si="36"/>
        <v>0</v>
      </c>
      <c r="P273" s="199">
        <f t="shared" si="33"/>
        <v>0</v>
      </c>
      <c r="Q273" s="203">
        <f t="shared" si="37"/>
        <v>86.600000000000762</v>
      </c>
      <c r="R273" s="160" t="s">
        <v>55</v>
      </c>
      <c r="S273" s="201">
        <f t="shared" si="38"/>
        <v>8.5838141375729204E-3</v>
      </c>
    </row>
    <row r="274" spans="1:19">
      <c r="A274" s="196">
        <v>40366</v>
      </c>
      <c r="B274" s="122">
        <v>16.530000999999999</v>
      </c>
      <c r="C274" s="122">
        <v>17.049999</v>
      </c>
      <c r="D274" s="122">
        <v>16.530000999999999</v>
      </c>
      <c r="E274" s="122">
        <v>16.959999</v>
      </c>
      <c r="F274" s="122">
        <v>11.167449</v>
      </c>
      <c r="G274" s="197">
        <v>113100</v>
      </c>
      <c r="H274" s="198">
        <f>IF(AND(E273&gt;=H273,E274&gt;=E273),E273*(1+'Trading Model'!$E$13),IF(AND(E274&lt;E273,E273&gt;=H273),E274*(1+'Trading Model'!$E$13),H273))</f>
        <v>22.007998950000001</v>
      </c>
      <c r="I274" s="198">
        <f>IF(K274&gt;0,E274*(1-'Trading Model'!E284),IF(E274&lt;I273,I273*(1-'Trading Model'!$E$14),I273))</f>
        <v>14.818716724772075</v>
      </c>
      <c r="J274" s="198">
        <f t="shared" si="39"/>
        <v>0</v>
      </c>
      <c r="K274" s="198">
        <f t="shared" si="34"/>
        <v>0</v>
      </c>
      <c r="L274" s="198">
        <f>COUNTIF(J274:K274,"&lt;&gt;0")*-'Trading Model'!$E$15</f>
        <v>0</v>
      </c>
      <c r="M274" s="198">
        <f t="shared" si="32"/>
        <v>0</v>
      </c>
      <c r="N274" s="75">
        <f t="shared" si="35"/>
        <v>20</v>
      </c>
      <c r="O274" s="202">
        <f t="shared" si="36"/>
        <v>0</v>
      </c>
      <c r="P274" s="199">
        <f t="shared" si="33"/>
        <v>0</v>
      </c>
      <c r="Q274" s="203">
        <f t="shared" si="37"/>
        <v>86.600000000000762</v>
      </c>
      <c r="R274" s="203" t="s">
        <v>55</v>
      </c>
      <c r="S274" s="201">
        <f t="shared" si="38"/>
        <v>3.1002916048454843E-2</v>
      </c>
    </row>
    <row r="275" spans="1:19">
      <c r="A275" s="196">
        <v>40367</v>
      </c>
      <c r="B275" s="122">
        <v>17.18</v>
      </c>
      <c r="C275" s="122">
        <v>17.209999</v>
      </c>
      <c r="D275" s="122">
        <v>16.82</v>
      </c>
      <c r="E275" s="122">
        <v>17.170000000000002</v>
      </c>
      <c r="F275" s="122">
        <v>11.305723</v>
      </c>
      <c r="G275" s="197">
        <v>90500</v>
      </c>
      <c r="H275" s="198">
        <f>IF(AND(E274&gt;=H274,E275&gt;=E274),E274*(1+'Trading Model'!$E$13),IF(AND(E275&lt;E274,E274&gt;=H274),E275*(1+'Trading Model'!$E$13),H274))</f>
        <v>22.007998950000001</v>
      </c>
      <c r="I275" s="198">
        <f>IF(K275&gt;0,E275*(1-'Trading Model'!E285),IF(E275&lt;I274,I274*(1-'Trading Model'!$E$14),I274))</f>
        <v>14.818716724772075</v>
      </c>
      <c r="J275" s="198">
        <f t="shared" si="39"/>
        <v>0</v>
      </c>
      <c r="K275" s="198">
        <f t="shared" si="34"/>
        <v>0</v>
      </c>
      <c r="L275" s="198">
        <f>COUNTIF(J275:K275,"&lt;&gt;0")*-'Trading Model'!$E$15</f>
        <v>0</v>
      </c>
      <c r="M275" s="198">
        <f t="shared" si="32"/>
        <v>0</v>
      </c>
      <c r="N275" s="75">
        <f t="shared" si="35"/>
        <v>20</v>
      </c>
      <c r="O275" s="202">
        <f t="shared" si="36"/>
        <v>0</v>
      </c>
      <c r="P275" s="199">
        <f t="shared" si="33"/>
        <v>0</v>
      </c>
      <c r="Q275" s="203">
        <f t="shared" si="37"/>
        <v>86.600000000000762</v>
      </c>
      <c r="R275" s="203" t="s">
        <v>55</v>
      </c>
      <c r="S275" s="201">
        <f t="shared" si="38"/>
        <v>1.2382135164041186E-2</v>
      </c>
    </row>
    <row r="276" spans="1:19">
      <c r="A276" s="196">
        <v>40368</v>
      </c>
      <c r="B276" s="122">
        <v>17.219999000000001</v>
      </c>
      <c r="C276" s="122">
        <v>17.299999</v>
      </c>
      <c r="D276" s="122">
        <v>17.100000000000001</v>
      </c>
      <c r="E276" s="122">
        <v>17.190000999999999</v>
      </c>
      <c r="F276" s="122">
        <v>11.318892999999999</v>
      </c>
      <c r="G276" s="197">
        <v>104400</v>
      </c>
      <c r="H276" s="198">
        <f>IF(AND(E275&gt;=H275,E276&gt;=E275),E275*(1+'Trading Model'!$E$13),IF(AND(E276&lt;E275,E275&gt;=H275),E276*(1+'Trading Model'!$E$13),H275))</f>
        <v>22.007998950000001</v>
      </c>
      <c r="I276" s="198">
        <f>IF(K276&gt;0,E276*(1-'Trading Model'!E286),IF(E276&lt;I275,I275*(1-'Trading Model'!$E$14),I275))</f>
        <v>14.818716724772075</v>
      </c>
      <c r="J276" s="198">
        <f t="shared" si="39"/>
        <v>0</v>
      </c>
      <c r="K276" s="198">
        <f t="shared" si="34"/>
        <v>0</v>
      </c>
      <c r="L276" s="198">
        <f>COUNTIF(J276:K276,"&lt;&gt;0")*-'Trading Model'!$E$15</f>
        <v>0</v>
      </c>
      <c r="M276" s="198">
        <f t="shared" si="32"/>
        <v>0</v>
      </c>
      <c r="N276" s="75">
        <f t="shared" si="35"/>
        <v>20</v>
      </c>
      <c r="O276" s="202">
        <f t="shared" si="36"/>
        <v>0</v>
      </c>
      <c r="P276" s="199">
        <f t="shared" si="33"/>
        <v>0</v>
      </c>
      <c r="Q276" s="203">
        <f t="shared" si="37"/>
        <v>86.600000000000762</v>
      </c>
      <c r="R276" s="203" t="s">
        <v>55</v>
      </c>
      <c r="S276" s="201">
        <f t="shared" si="38"/>
        <v>1.1648806057074079E-3</v>
      </c>
    </row>
    <row r="277" spans="1:19">
      <c r="A277" s="196">
        <v>40371</v>
      </c>
      <c r="B277" s="122">
        <v>17.34</v>
      </c>
      <c r="C277" s="122">
        <v>17.34</v>
      </c>
      <c r="D277" s="122">
        <v>16.889999</v>
      </c>
      <c r="E277" s="122">
        <v>17.010000000000002</v>
      </c>
      <c r="F277" s="122">
        <v>11.200372</v>
      </c>
      <c r="G277" s="197">
        <v>152200</v>
      </c>
      <c r="H277" s="198">
        <f>IF(AND(E276&gt;=H276,E277&gt;=E276),E276*(1+'Trading Model'!$E$13),IF(AND(E277&lt;E276,E276&gt;=H276),E277*(1+'Trading Model'!$E$13),H276))</f>
        <v>22.007998950000001</v>
      </c>
      <c r="I277" s="198">
        <f>IF(K277&gt;0,E277*(1-'Trading Model'!E287),IF(E277&lt;I276,I276*(1-'Trading Model'!$E$14),I276))</f>
        <v>14.818716724772075</v>
      </c>
      <c r="J277" s="198">
        <f t="shared" si="39"/>
        <v>0</v>
      </c>
      <c r="K277" s="198">
        <f t="shared" si="34"/>
        <v>0</v>
      </c>
      <c r="L277" s="198">
        <f>COUNTIF(J277:K277,"&lt;&gt;0")*-'Trading Model'!$E$15</f>
        <v>0</v>
      </c>
      <c r="M277" s="198">
        <f t="shared" si="32"/>
        <v>0</v>
      </c>
      <c r="N277" s="75">
        <f t="shared" si="35"/>
        <v>20</v>
      </c>
      <c r="O277" s="202">
        <f t="shared" si="36"/>
        <v>0</v>
      </c>
      <c r="P277" s="199">
        <f t="shared" si="33"/>
        <v>0</v>
      </c>
      <c r="Q277" s="203">
        <f t="shared" si="37"/>
        <v>86.500000000000767</v>
      </c>
      <c r="R277" s="201">
        <f>E277/B273-1</f>
        <v>3.7195121951219656E-2</v>
      </c>
      <c r="S277" s="201">
        <f t="shared" si="38"/>
        <v>-1.0471261752689642E-2</v>
      </c>
    </row>
    <row r="278" spans="1:19">
      <c r="A278" s="196">
        <v>40372</v>
      </c>
      <c r="B278" s="122">
        <v>17.309999000000001</v>
      </c>
      <c r="C278" s="122">
        <v>17.530000999999999</v>
      </c>
      <c r="D278" s="122">
        <v>17.010000000000002</v>
      </c>
      <c r="E278" s="122">
        <v>17.5</v>
      </c>
      <c r="F278" s="122">
        <v>11.523016</v>
      </c>
      <c r="G278" s="197">
        <v>204900</v>
      </c>
      <c r="H278" s="198">
        <f>IF(AND(E277&gt;=H277,E278&gt;=E277),E277*(1+'Trading Model'!$E$13),IF(AND(E278&lt;E277,E277&gt;=H277),E278*(1+'Trading Model'!$E$13),H277))</f>
        <v>22.007998950000001</v>
      </c>
      <c r="I278" s="198">
        <f>IF(K278&gt;0,E278*(1-'Trading Model'!E288),IF(E278&lt;I277,I277*(1-'Trading Model'!$E$14),I277))</f>
        <v>14.818716724772075</v>
      </c>
      <c r="J278" s="198">
        <f t="shared" si="39"/>
        <v>0</v>
      </c>
      <c r="K278" s="198">
        <f t="shared" si="34"/>
        <v>0</v>
      </c>
      <c r="L278" s="198">
        <f>COUNTIF(J278:K278,"&lt;&gt;0")*-'Trading Model'!$E$15</f>
        <v>0</v>
      </c>
      <c r="M278" s="198">
        <f t="shared" si="32"/>
        <v>0</v>
      </c>
      <c r="N278" s="75">
        <f t="shared" si="35"/>
        <v>20</v>
      </c>
      <c r="O278" s="202">
        <f t="shared" si="36"/>
        <v>0</v>
      </c>
      <c r="P278" s="199">
        <f t="shared" si="33"/>
        <v>0</v>
      </c>
      <c r="Q278" s="203">
        <f t="shared" si="37"/>
        <v>86.500000000000767</v>
      </c>
      <c r="R278" s="160" t="s">
        <v>55</v>
      </c>
      <c r="S278" s="201">
        <f t="shared" si="38"/>
        <v>2.8806584362139898E-2</v>
      </c>
    </row>
    <row r="279" spans="1:19">
      <c r="A279" s="196">
        <v>40373</v>
      </c>
      <c r="B279" s="122">
        <v>17.450001</v>
      </c>
      <c r="C279" s="122">
        <v>17.66</v>
      </c>
      <c r="D279" s="122">
        <v>17.209999</v>
      </c>
      <c r="E279" s="122">
        <v>17.610001</v>
      </c>
      <c r="F279" s="122">
        <v>11.595447</v>
      </c>
      <c r="G279" s="197">
        <v>65200</v>
      </c>
      <c r="H279" s="198">
        <f>IF(AND(E278&gt;=H278,E279&gt;=E278),E278*(1+'Trading Model'!$E$13),IF(AND(E279&lt;E278,E278&gt;=H278),E279*(1+'Trading Model'!$E$13),H278))</f>
        <v>22.007998950000001</v>
      </c>
      <c r="I279" s="198">
        <f>IF(K279&gt;0,E279*(1-'Trading Model'!E289),IF(E279&lt;I278,I278*(1-'Trading Model'!$E$14),I278))</f>
        <v>14.818716724772075</v>
      </c>
      <c r="J279" s="198">
        <f t="shared" si="39"/>
        <v>0</v>
      </c>
      <c r="K279" s="198">
        <f t="shared" si="34"/>
        <v>0</v>
      </c>
      <c r="L279" s="198">
        <f>COUNTIF(J279:K279,"&lt;&gt;0")*-'Trading Model'!$E$15</f>
        <v>0</v>
      </c>
      <c r="M279" s="198">
        <f t="shared" si="32"/>
        <v>0</v>
      </c>
      <c r="N279" s="75">
        <f t="shared" si="35"/>
        <v>20</v>
      </c>
      <c r="O279" s="202">
        <f t="shared" si="36"/>
        <v>0</v>
      </c>
      <c r="P279" s="199">
        <f t="shared" si="33"/>
        <v>0</v>
      </c>
      <c r="Q279" s="203">
        <f t="shared" si="37"/>
        <v>86.500000000000767</v>
      </c>
      <c r="R279" s="203" t="s">
        <v>55</v>
      </c>
      <c r="S279" s="201">
        <f t="shared" si="38"/>
        <v>6.2857714285715627E-3</v>
      </c>
    </row>
    <row r="280" spans="1:19">
      <c r="A280" s="196">
        <v>40374</v>
      </c>
      <c r="B280" s="122">
        <v>17.670000000000002</v>
      </c>
      <c r="C280" s="122">
        <v>17.670000000000002</v>
      </c>
      <c r="D280" s="122">
        <v>17.209999</v>
      </c>
      <c r="E280" s="122">
        <v>17.420000000000002</v>
      </c>
      <c r="F280" s="122">
        <v>11.47034</v>
      </c>
      <c r="G280" s="197">
        <v>94200</v>
      </c>
      <c r="H280" s="198">
        <f>IF(AND(E279&gt;=H279,E280&gt;=E279),E279*(1+'Trading Model'!$E$13),IF(AND(E280&lt;E279,E279&gt;=H279),E280*(1+'Trading Model'!$E$13),H279))</f>
        <v>22.007998950000001</v>
      </c>
      <c r="I280" s="198">
        <f>IF(K280&gt;0,E280*(1-'Trading Model'!E290),IF(E280&lt;I279,I279*(1-'Trading Model'!$E$14),I279))</f>
        <v>14.818716724772075</v>
      </c>
      <c r="J280" s="198">
        <f t="shared" si="39"/>
        <v>0</v>
      </c>
      <c r="K280" s="198">
        <f t="shared" si="34"/>
        <v>0</v>
      </c>
      <c r="L280" s="198">
        <f>COUNTIF(J280:K280,"&lt;&gt;0")*-'Trading Model'!$E$15</f>
        <v>0</v>
      </c>
      <c r="M280" s="198">
        <f t="shared" si="32"/>
        <v>0</v>
      </c>
      <c r="N280" s="75">
        <f t="shared" si="35"/>
        <v>20</v>
      </c>
      <c r="O280" s="202">
        <f t="shared" si="36"/>
        <v>0</v>
      </c>
      <c r="P280" s="199">
        <f t="shared" si="33"/>
        <v>0</v>
      </c>
      <c r="Q280" s="203">
        <f t="shared" si="37"/>
        <v>86.400000000000773</v>
      </c>
      <c r="R280" s="203" t="s">
        <v>55</v>
      </c>
      <c r="S280" s="201">
        <f t="shared" si="38"/>
        <v>-1.0789380420818784E-2</v>
      </c>
    </row>
    <row r="281" spans="1:19">
      <c r="A281" s="196">
        <v>40375</v>
      </c>
      <c r="B281" s="122">
        <v>17.389999</v>
      </c>
      <c r="C281" s="122">
        <v>17.389999</v>
      </c>
      <c r="D281" s="122">
        <v>16.77</v>
      </c>
      <c r="E281" s="122">
        <v>16.809999000000001</v>
      </c>
      <c r="F281" s="122">
        <v>11.068680000000001</v>
      </c>
      <c r="G281" s="197">
        <v>126300</v>
      </c>
      <c r="H281" s="198">
        <f>IF(AND(E280&gt;=H280,E281&gt;=E280),E280*(1+'Trading Model'!$E$13),IF(AND(E281&lt;E280,E280&gt;=H280),E281*(1+'Trading Model'!$E$13),H280))</f>
        <v>22.007998950000001</v>
      </c>
      <c r="I281" s="198">
        <f>IF(K281&gt;0,E281*(1-'Trading Model'!E291),IF(E281&lt;I280,I280*(1-'Trading Model'!$E$14),I280))</f>
        <v>14.818716724772075</v>
      </c>
      <c r="J281" s="198">
        <f t="shared" si="39"/>
        <v>0</v>
      </c>
      <c r="K281" s="198">
        <f t="shared" si="34"/>
        <v>0</v>
      </c>
      <c r="L281" s="198">
        <f>COUNTIF(J281:K281,"&lt;&gt;0")*-'Trading Model'!$E$15</f>
        <v>0</v>
      </c>
      <c r="M281" s="198">
        <f t="shared" si="32"/>
        <v>0</v>
      </c>
      <c r="N281" s="75">
        <f t="shared" si="35"/>
        <v>20</v>
      </c>
      <c r="O281" s="202">
        <f t="shared" si="36"/>
        <v>0</v>
      </c>
      <c r="P281" s="199">
        <f t="shared" si="33"/>
        <v>0</v>
      </c>
      <c r="Q281" s="203">
        <f t="shared" si="37"/>
        <v>86.300000000000779</v>
      </c>
      <c r="R281" s="203" t="s">
        <v>55</v>
      </c>
      <c r="S281" s="201">
        <f t="shared" si="38"/>
        <v>-3.5017278989667111E-2</v>
      </c>
    </row>
    <row r="282" spans="1:19">
      <c r="A282" s="196">
        <v>40378</v>
      </c>
      <c r="B282" s="122">
        <v>17</v>
      </c>
      <c r="C282" s="122">
        <v>17.030000999999999</v>
      </c>
      <c r="D282" s="122">
        <v>16.700001</v>
      </c>
      <c r="E282" s="122">
        <v>16.91</v>
      </c>
      <c r="F282" s="122">
        <v>11.134524000000001</v>
      </c>
      <c r="G282" s="197">
        <v>66500</v>
      </c>
      <c r="H282" s="198">
        <f>IF(AND(E281&gt;=H281,E282&gt;=E281),E281*(1+'Trading Model'!$E$13),IF(AND(E282&lt;E281,E281&gt;=H281),E282*(1+'Trading Model'!$E$13),H281))</f>
        <v>22.007998950000001</v>
      </c>
      <c r="I282" s="198">
        <f>IF(K282&gt;0,E282*(1-'Trading Model'!E292),IF(E282&lt;I281,I281*(1-'Trading Model'!$E$14),I281))</f>
        <v>14.818716724772075</v>
      </c>
      <c r="J282" s="198">
        <f t="shared" si="39"/>
        <v>0</v>
      </c>
      <c r="K282" s="198">
        <f t="shared" si="34"/>
        <v>0</v>
      </c>
      <c r="L282" s="198">
        <f>COUNTIF(J282:K282,"&lt;&gt;0")*-'Trading Model'!$E$15</f>
        <v>0</v>
      </c>
      <c r="M282" s="198">
        <f t="shared" si="32"/>
        <v>0</v>
      </c>
      <c r="N282" s="75">
        <f t="shared" si="35"/>
        <v>20</v>
      </c>
      <c r="O282" s="202">
        <f t="shared" si="36"/>
        <v>0</v>
      </c>
      <c r="P282" s="199">
        <f t="shared" si="33"/>
        <v>0</v>
      </c>
      <c r="Q282" s="203">
        <f t="shared" si="37"/>
        <v>86.300000000000779</v>
      </c>
      <c r="R282" s="201">
        <f>E282/B278-1</f>
        <v>-2.3107973605313359E-2</v>
      </c>
      <c r="S282" s="201">
        <f t="shared" si="38"/>
        <v>5.9488998184948905E-3</v>
      </c>
    </row>
    <row r="283" spans="1:19">
      <c r="A283" s="196">
        <v>40379</v>
      </c>
      <c r="B283" s="122">
        <v>16.739999999999998</v>
      </c>
      <c r="C283" s="122">
        <v>17.32</v>
      </c>
      <c r="D283" s="122">
        <v>16.719999000000001</v>
      </c>
      <c r="E283" s="122">
        <v>17.32</v>
      </c>
      <c r="F283" s="122">
        <v>11.404491999999999</v>
      </c>
      <c r="G283" s="197">
        <v>137300</v>
      </c>
      <c r="H283" s="198">
        <f>IF(AND(E282&gt;=H282,E283&gt;=E282),E282*(1+'Trading Model'!$E$13),IF(AND(E283&lt;E282,E282&gt;=H282),E283*(1+'Trading Model'!$E$13),H282))</f>
        <v>22.007998950000001</v>
      </c>
      <c r="I283" s="198">
        <f>IF(K283&gt;0,E283*(1-'Trading Model'!E293),IF(E283&lt;I282,I282*(1-'Trading Model'!$E$14),I282))</f>
        <v>14.818716724772075</v>
      </c>
      <c r="J283" s="198">
        <f t="shared" si="39"/>
        <v>0</v>
      </c>
      <c r="K283" s="198">
        <f t="shared" si="34"/>
        <v>0</v>
      </c>
      <c r="L283" s="198">
        <f>COUNTIF(J283:K283,"&lt;&gt;0")*-'Trading Model'!$E$15</f>
        <v>0</v>
      </c>
      <c r="M283" s="198">
        <f t="shared" si="32"/>
        <v>0</v>
      </c>
      <c r="N283" s="75">
        <f t="shared" si="35"/>
        <v>20</v>
      </c>
      <c r="O283" s="202">
        <f t="shared" si="36"/>
        <v>0</v>
      </c>
      <c r="P283" s="199">
        <f t="shared" si="33"/>
        <v>0</v>
      </c>
      <c r="Q283" s="203">
        <f t="shared" si="37"/>
        <v>86.300000000000779</v>
      </c>
      <c r="R283" s="160" t="s">
        <v>55</v>
      </c>
      <c r="S283" s="201">
        <f t="shared" si="38"/>
        <v>2.4246008279124709E-2</v>
      </c>
    </row>
    <row r="284" spans="1:19">
      <c r="A284" s="196">
        <v>40380</v>
      </c>
      <c r="B284" s="122">
        <v>17.5</v>
      </c>
      <c r="C284" s="122">
        <v>17.860001</v>
      </c>
      <c r="D284" s="122">
        <v>17.459999</v>
      </c>
      <c r="E284" s="122">
        <v>17.790001</v>
      </c>
      <c r="F284" s="122">
        <v>11.713969000000001</v>
      </c>
      <c r="G284" s="197">
        <v>91500</v>
      </c>
      <c r="H284" s="198">
        <f>IF(AND(E283&gt;=H283,E284&gt;=E283),E283*(1+'Trading Model'!$E$13),IF(AND(E284&lt;E283,E283&gt;=H283),E284*(1+'Trading Model'!$E$13),H283))</f>
        <v>22.007998950000001</v>
      </c>
      <c r="I284" s="198">
        <f>IF(K284&gt;0,E284*(1-'Trading Model'!E294),IF(E284&lt;I283,I283*(1-'Trading Model'!$E$14),I283))</f>
        <v>14.818716724772075</v>
      </c>
      <c r="J284" s="198">
        <f t="shared" si="39"/>
        <v>0</v>
      </c>
      <c r="K284" s="198">
        <f t="shared" si="34"/>
        <v>0</v>
      </c>
      <c r="L284" s="198">
        <f>COUNTIF(J284:K284,"&lt;&gt;0")*-'Trading Model'!$E$15</f>
        <v>0</v>
      </c>
      <c r="M284" s="198">
        <f t="shared" si="32"/>
        <v>0</v>
      </c>
      <c r="N284" s="75">
        <f t="shared" si="35"/>
        <v>20</v>
      </c>
      <c r="O284" s="202">
        <f t="shared" si="36"/>
        <v>0</v>
      </c>
      <c r="P284" s="199">
        <f t="shared" si="33"/>
        <v>0</v>
      </c>
      <c r="Q284" s="203">
        <f t="shared" si="37"/>
        <v>86.300000000000779</v>
      </c>
      <c r="R284" s="203" t="s">
        <v>55</v>
      </c>
      <c r="S284" s="201">
        <f t="shared" si="38"/>
        <v>2.7136316397228688E-2</v>
      </c>
    </row>
    <row r="285" spans="1:19">
      <c r="A285" s="196">
        <v>40381</v>
      </c>
      <c r="B285" s="122">
        <v>18.100000000000001</v>
      </c>
      <c r="C285" s="122">
        <v>18.559999000000001</v>
      </c>
      <c r="D285" s="122">
        <v>18.02</v>
      </c>
      <c r="E285" s="122">
        <v>18.059999000000001</v>
      </c>
      <c r="F285" s="122">
        <v>11.891752</v>
      </c>
      <c r="G285" s="197">
        <v>138700</v>
      </c>
      <c r="H285" s="198">
        <f>IF(AND(E284&gt;=H284,E285&gt;=E284),E284*(1+'Trading Model'!$E$13),IF(AND(E285&lt;E284,E284&gt;=H284),E285*(1+'Trading Model'!$E$13),H284))</f>
        <v>22.007998950000001</v>
      </c>
      <c r="I285" s="198">
        <f>IF(K285&gt;0,E285*(1-'Trading Model'!E295),IF(E285&lt;I284,I284*(1-'Trading Model'!$E$14),I284))</f>
        <v>14.818716724772075</v>
      </c>
      <c r="J285" s="198">
        <f t="shared" si="39"/>
        <v>0</v>
      </c>
      <c r="K285" s="198">
        <f t="shared" si="34"/>
        <v>0</v>
      </c>
      <c r="L285" s="198">
        <f>COUNTIF(J285:K285,"&lt;&gt;0")*-'Trading Model'!$E$15</f>
        <v>0</v>
      </c>
      <c r="M285" s="198">
        <f t="shared" si="32"/>
        <v>0</v>
      </c>
      <c r="N285" s="75">
        <f t="shared" si="35"/>
        <v>20</v>
      </c>
      <c r="O285" s="202">
        <f t="shared" si="36"/>
        <v>0</v>
      </c>
      <c r="P285" s="199">
        <f t="shared" si="33"/>
        <v>0</v>
      </c>
      <c r="Q285" s="203">
        <f t="shared" si="37"/>
        <v>86.300000000000779</v>
      </c>
      <c r="R285" s="203" t="s">
        <v>55</v>
      </c>
      <c r="S285" s="201">
        <f t="shared" si="38"/>
        <v>1.5176952491458673E-2</v>
      </c>
    </row>
    <row r="286" spans="1:19">
      <c r="A286" s="196">
        <v>40382</v>
      </c>
      <c r="B286" s="122">
        <v>17.920000000000002</v>
      </c>
      <c r="C286" s="122">
        <v>18.57</v>
      </c>
      <c r="D286" s="122">
        <v>17.709999</v>
      </c>
      <c r="E286" s="122">
        <v>18.52</v>
      </c>
      <c r="F286" s="122">
        <v>12.194642</v>
      </c>
      <c r="G286" s="197">
        <v>83700</v>
      </c>
      <c r="H286" s="198">
        <f>IF(AND(E285&gt;=H285,E286&gt;=E285),E285*(1+'Trading Model'!$E$13),IF(AND(E286&lt;E285,E285&gt;=H285),E286*(1+'Trading Model'!$E$13),H285))</f>
        <v>22.007998950000001</v>
      </c>
      <c r="I286" s="198">
        <f>IF(K286&gt;0,E286*(1-'Trading Model'!E296),IF(E286&lt;I285,I285*(1-'Trading Model'!$E$14),I285))</f>
        <v>14.818716724772075</v>
      </c>
      <c r="J286" s="198">
        <f t="shared" si="39"/>
        <v>0</v>
      </c>
      <c r="K286" s="198">
        <f t="shared" si="34"/>
        <v>0</v>
      </c>
      <c r="L286" s="198">
        <f>COUNTIF(J286:K286,"&lt;&gt;0")*-'Trading Model'!$E$15</f>
        <v>0</v>
      </c>
      <c r="M286" s="198">
        <f t="shared" si="32"/>
        <v>0</v>
      </c>
      <c r="N286" s="75">
        <f t="shared" si="35"/>
        <v>20</v>
      </c>
      <c r="O286" s="202">
        <f t="shared" si="36"/>
        <v>0</v>
      </c>
      <c r="P286" s="199">
        <f t="shared" si="33"/>
        <v>0</v>
      </c>
      <c r="Q286" s="203">
        <f t="shared" si="37"/>
        <v>86.300000000000779</v>
      </c>
      <c r="R286" s="203" t="s">
        <v>55</v>
      </c>
      <c r="S286" s="201">
        <f t="shared" si="38"/>
        <v>2.5470710158953969E-2</v>
      </c>
    </row>
    <row r="287" spans="1:19">
      <c r="A287" s="196">
        <v>40385</v>
      </c>
      <c r="B287" s="122">
        <v>18.510000000000002</v>
      </c>
      <c r="C287" s="122">
        <v>18.799999</v>
      </c>
      <c r="D287" s="122">
        <v>18.100000000000001</v>
      </c>
      <c r="E287" s="122">
        <v>18.790001</v>
      </c>
      <c r="F287" s="122">
        <v>12.372429</v>
      </c>
      <c r="G287" s="197">
        <v>92800</v>
      </c>
      <c r="H287" s="198">
        <f>IF(AND(E286&gt;=H286,E287&gt;=E286),E286*(1+'Trading Model'!$E$13),IF(AND(E287&lt;E286,E286&gt;=H286),E287*(1+'Trading Model'!$E$13),H286))</f>
        <v>22.007998950000001</v>
      </c>
      <c r="I287" s="198">
        <f>IF(K287&gt;0,E287*(1-'Trading Model'!E297),IF(E287&lt;I286,I286*(1-'Trading Model'!$E$14),I286))</f>
        <v>14.818716724772075</v>
      </c>
      <c r="J287" s="198">
        <f t="shared" si="39"/>
        <v>0</v>
      </c>
      <c r="K287" s="198">
        <f t="shared" si="34"/>
        <v>0</v>
      </c>
      <c r="L287" s="198">
        <f>COUNTIF(J287:K287,"&lt;&gt;0")*-'Trading Model'!$E$15</f>
        <v>0</v>
      </c>
      <c r="M287" s="198">
        <f t="shared" si="32"/>
        <v>0</v>
      </c>
      <c r="N287" s="75">
        <f t="shared" si="35"/>
        <v>20</v>
      </c>
      <c r="O287" s="202">
        <f t="shared" si="36"/>
        <v>0</v>
      </c>
      <c r="P287" s="199">
        <f t="shared" si="33"/>
        <v>0</v>
      </c>
      <c r="Q287" s="203">
        <f t="shared" si="37"/>
        <v>86.300000000000779</v>
      </c>
      <c r="R287" s="201">
        <f>E287/B283-1</f>
        <v>0.12246123058542424</v>
      </c>
      <c r="S287" s="201">
        <f t="shared" si="38"/>
        <v>1.4578887688984965E-2</v>
      </c>
    </row>
    <row r="288" spans="1:19">
      <c r="A288" s="196">
        <v>40386</v>
      </c>
      <c r="B288" s="122">
        <v>18.950001</v>
      </c>
      <c r="C288" s="122">
        <v>19.079999999999998</v>
      </c>
      <c r="D288" s="122">
        <v>18.629999000000002</v>
      </c>
      <c r="E288" s="122">
        <v>18.77</v>
      </c>
      <c r="F288" s="122">
        <v>12.359260000000001</v>
      </c>
      <c r="G288" s="197">
        <v>50900</v>
      </c>
      <c r="H288" s="198">
        <f>IF(AND(E287&gt;=H287,E288&gt;=E287),E287*(1+'Trading Model'!$E$13),IF(AND(E288&lt;E287,E287&gt;=H287),E288*(1+'Trading Model'!$E$13),H287))</f>
        <v>22.007998950000001</v>
      </c>
      <c r="I288" s="198">
        <f>IF(K288&gt;0,E288*(1-'Trading Model'!E298),IF(E288&lt;I287,I287*(1-'Trading Model'!$E$14),I287))</f>
        <v>14.818716724772075</v>
      </c>
      <c r="J288" s="198">
        <f t="shared" si="39"/>
        <v>0</v>
      </c>
      <c r="K288" s="198">
        <f t="shared" si="34"/>
        <v>0</v>
      </c>
      <c r="L288" s="198">
        <f>COUNTIF(J288:K288,"&lt;&gt;0")*-'Trading Model'!$E$15</f>
        <v>0</v>
      </c>
      <c r="M288" s="198">
        <f t="shared" si="32"/>
        <v>0</v>
      </c>
      <c r="N288" s="75">
        <f t="shared" si="35"/>
        <v>20</v>
      </c>
      <c r="O288" s="202">
        <f t="shared" si="36"/>
        <v>0</v>
      </c>
      <c r="P288" s="199">
        <f t="shared" si="33"/>
        <v>0</v>
      </c>
      <c r="Q288" s="203">
        <f t="shared" si="37"/>
        <v>86.200000000000784</v>
      </c>
      <c r="R288" s="160" t="s">
        <v>55</v>
      </c>
      <c r="S288" s="201">
        <f t="shared" si="38"/>
        <v>-1.0644491184433891E-3</v>
      </c>
    </row>
    <row r="289" spans="1:19">
      <c r="A289" s="196">
        <v>40387</v>
      </c>
      <c r="B289" s="122">
        <v>18.700001</v>
      </c>
      <c r="C289" s="122">
        <v>18.75</v>
      </c>
      <c r="D289" s="122">
        <v>18.219999000000001</v>
      </c>
      <c r="E289" s="122">
        <v>18.379999000000002</v>
      </c>
      <c r="F289" s="122">
        <v>12.102458</v>
      </c>
      <c r="G289" s="197">
        <v>63700</v>
      </c>
      <c r="H289" s="198">
        <f>IF(AND(E288&gt;=H288,E289&gt;=E288),E288*(1+'Trading Model'!$E$13),IF(AND(E289&lt;E288,E288&gt;=H288),E289*(1+'Trading Model'!$E$13),H288))</f>
        <v>22.007998950000001</v>
      </c>
      <c r="I289" s="198">
        <f>IF(K289&gt;0,E289*(1-'Trading Model'!E299),IF(E289&lt;I288,I288*(1-'Trading Model'!$E$14),I288))</f>
        <v>14.818716724772075</v>
      </c>
      <c r="J289" s="198">
        <f t="shared" si="39"/>
        <v>0</v>
      </c>
      <c r="K289" s="198">
        <f t="shared" si="34"/>
        <v>0</v>
      </c>
      <c r="L289" s="198">
        <f>COUNTIF(J289:K289,"&lt;&gt;0")*-'Trading Model'!$E$15</f>
        <v>0</v>
      </c>
      <c r="M289" s="198">
        <f t="shared" si="32"/>
        <v>0</v>
      </c>
      <c r="N289" s="75">
        <f t="shared" si="35"/>
        <v>20</v>
      </c>
      <c r="O289" s="202">
        <f t="shared" si="36"/>
        <v>0</v>
      </c>
      <c r="P289" s="199">
        <f t="shared" si="33"/>
        <v>0</v>
      </c>
      <c r="Q289" s="203">
        <f t="shared" si="37"/>
        <v>86.10000000000079</v>
      </c>
      <c r="R289" s="203" t="s">
        <v>55</v>
      </c>
      <c r="S289" s="201">
        <f t="shared" si="38"/>
        <v>-2.0777890250399444E-2</v>
      </c>
    </row>
    <row r="290" spans="1:19">
      <c r="A290" s="196">
        <v>40388</v>
      </c>
      <c r="B290" s="122">
        <v>18.579999999999998</v>
      </c>
      <c r="C290" s="122">
        <v>18.600000000000001</v>
      </c>
      <c r="D290" s="122">
        <v>18.23</v>
      </c>
      <c r="E290" s="122">
        <v>18.360001</v>
      </c>
      <c r="F290" s="122">
        <v>12.08929</v>
      </c>
      <c r="G290" s="197">
        <v>116800</v>
      </c>
      <c r="H290" s="198">
        <f>IF(AND(E289&gt;=H289,E290&gt;=E289),E289*(1+'Trading Model'!$E$13),IF(AND(E290&lt;E289,E289&gt;=H289),E290*(1+'Trading Model'!$E$13),H289))</f>
        <v>22.007998950000001</v>
      </c>
      <c r="I290" s="198">
        <f>IF(K290&gt;0,E290*(1-'Trading Model'!E300),IF(E290&lt;I289,I289*(1-'Trading Model'!$E$14),I289))</f>
        <v>14.818716724772075</v>
      </c>
      <c r="J290" s="198">
        <f t="shared" si="39"/>
        <v>0</v>
      </c>
      <c r="K290" s="198">
        <f t="shared" si="34"/>
        <v>0</v>
      </c>
      <c r="L290" s="198">
        <f>COUNTIF(J290:K290,"&lt;&gt;0")*-'Trading Model'!$E$15</f>
        <v>0</v>
      </c>
      <c r="M290" s="198">
        <f t="shared" si="32"/>
        <v>0</v>
      </c>
      <c r="N290" s="75">
        <f t="shared" si="35"/>
        <v>20</v>
      </c>
      <c r="O290" s="202">
        <f t="shared" si="36"/>
        <v>0</v>
      </c>
      <c r="P290" s="199">
        <f t="shared" si="33"/>
        <v>0</v>
      </c>
      <c r="Q290" s="203">
        <f t="shared" si="37"/>
        <v>86.000000000000796</v>
      </c>
      <c r="R290" s="203" t="s">
        <v>55</v>
      </c>
      <c r="S290" s="201">
        <f t="shared" si="38"/>
        <v>-1.0880305270963841E-3</v>
      </c>
    </row>
    <row r="291" spans="1:19">
      <c r="A291" s="196">
        <v>40389</v>
      </c>
      <c r="B291" s="122">
        <v>18.120000999999998</v>
      </c>
      <c r="C291" s="122">
        <v>18.420000000000002</v>
      </c>
      <c r="D291" s="122">
        <v>18.079999999999998</v>
      </c>
      <c r="E291" s="122">
        <v>18.25</v>
      </c>
      <c r="F291" s="122">
        <v>12.016859999999999</v>
      </c>
      <c r="G291" s="197">
        <v>161100</v>
      </c>
      <c r="H291" s="198">
        <f>IF(AND(E290&gt;=H290,E291&gt;=E290),E290*(1+'Trading Model'!$E$13),IF(AND(E291&lt;E290,E290&gt;=H290),E291*(1+'Trading Model'!$E$13),H290))</f>
        <v>22.007998950000001</v>
      </c>
      <c r="I291" s="198">
        <f>IF(K291&gt;0,E291*(1-'Trading Model'!E301),IF(E291&lt;I290,I290*(1-'Trading Model'!$E$14),I290))</f>
        <v>14.818716724772075</v>
      </c>
      <c r="J291" s="198">
        <f t="shared" si="39"/>
        <v>0</v>
      </c>
      <c r="K291" s="198">
        <f t="shared" si="34"/>
        <v>0</v>
      </c>
      <c r="L291" s="198">
        <f>COUNTIF(J291:K291,"&lt;&gt;0")*-'Trading Model'!$E$15</f>
        <v>0</v>
      </c>
      <c r="M291" s="198">
        <f t="shared" si="32"/>
        <v>0</v>
      </c>
      <c r="N291" s="75">
        <f t="shared" si="35"/>
        <v>20</v>
      </c>
      <c r="O291" s="202">
        <f t="shared" si="36"/>
        <v>0</v>
      </c>
      <c r="P291" s="199">
        <f t="shared" si="33"/>
        <v>0</v>
      </c>
      <c r="Q291" s="203">
        <f t="shared" si="37"/>
        <v>85.900000000000801</v>
      </c>
      <c r="R291" s="203" t="s">
        <v>55</v>
      </c>
      <c r="S291" s="201">
        <f t="shared" si="38"/>
        <v>-5.9913395429553873E-3</v>
      </c>
    </row>
    <row r="292" spans="1:19">
      <c r="A292" s="196">
        <v>40392</v>
      </c>
      <c r="B292" s="122">
        <v>18.379999000000002</v>
      </c>
      <c r="C292" s="122">
        <v>18.600000000000001</v>
      </c>
      <c r="D292" s="122">
        <v>18.379999000000002</v>
      </c>
      <c r="E292" s="122">
        <v>18.52</v>
      </c>
      <c r="F292" s="122">
        <v>12.194642</v>
      </c>
      <c r="G292" s="197">
        <v>162900</v>
      </c>
      <c r="H292" s="198">
        <f>IF(AND(E291&gt;=H291,E292&gt;=E291),E291*(1+'Trading Model'!$E$13),IF(AND(E292&lt;E291,E291&gt;=H291),E292*(1+'Trading Model'!$E$13),H291))</f>
        <v>22.007998950000001</v>
      </c>
      <c r="I292" s="198">
        <f>IF(K292&gt;0,E292*(1-'Trading Model'!E302),IF(E292&lt;I291,I291*(1-'Trading Model'!$E$14),I291))</f>
        <v>14.818716724772075</v>
      </c>
      <c r="J292" s="198">
        <f t="shared" si="39"/>
        <v>0</v>
      </c>
      <c r="K292" s="198">
        <f t="shared" si="34"/>
        <v>0</v>
      </c>
      <c r="L292" s="198">
        <f>COUNTIF(J292:K292,"&lt;&gt;0")*-'Trading Model'!$E$15</f>
        <v>0</v>
      </c>
      <c r="M292" s="198">
        <f t="shared" si="32"/>
        <v>0</v>
      </c>
      <c r="N292" s="75">
        <f t="shared" si="35"/>
        <v>20</v>
      </c>
      <c r="O292" s="202">
        <f t="shared" si="36"/>
        <v>0</v>
      </c>
      <c r="P292" s="199">
        <f t="shared" si="33"/>
        <v>0</v>
      </c>
      <c r="Q292" s="203">
        <f t="shared" si="37"/>
        <v>85.900000000000801</v>
      </c>
      <c r="R292" s="201">
        <f>E292/B288-1</f>
        <v>-2.2691344449005557E-2</v>
      </c>
      <c r="S292" s="201">
        <f t="shared" si="38"/>
        <v>1.4794520547945167E-2</v>
      </c>
    </row>
    <row r="293" spans="1:19">
      <c r="A293" s="196">
        <v>40393</v>
      </c>
      <c r="B293" s="122">
        <v>18.379999000000002</v>
      </c>
      <c r="C293" s="122">
        <v>18.739999999999998</v>
      </c>
      <c r="D293" s="122">
        <v>18.290001</v>
      </c>
      <c r="E293" s="122">
        <v>18.450001</v>
      </c>
      <c r="F293" s="122">
        <v>12.148552</v>
      </c>
      <c r="G293" s="197">
        <v>231200</v>
      </c>
      <c r="H293" s="198">
        <f>IF(AND(E292&gt;=H292,E293&gt;=E292),E292*(1+'Trading Model'!$E$13),IF(AND(E293&lt;E292,E292&gt;=H292),E293*(1+'Trading Model'!$E$13),H292))</f>
        <v>22.007998950000001</v>
      </c>
      <c r="I293" s="198">
        <f>IF(K293&gt;0,E293*(1-'Trading Model'!E303),IF(E293&lt;I292,I292*(1-'Trading Model'!$E$14),I292))</f>
        <v>14.818716724772075</v>
      </c>
      <c r="J293" s="198">
        <f t="shared" si="39"/>
        <v>0</v>
      </c>
      <c r="K293" s="198">
        <f t="shared" si="34"/>
        <v>0</v>
      </c>
      <c r="L293" s="198">
        <f>COUNTIF(J293:K293,"&lt;&gt;0")*-'Trading Model'!$E$15</f>
        <v>0</v>
      </c>
      <c r="M293" s="198">
        <f t="shared" si="32"/>
        <v>0</v>
      </c>
      <c r="N293" s="75">
        <f t="shared" si="35"/>
        <v>20</v>
      </c>
      <c r="O293" s="202">
        <f t="shared" si="36"/>
        <v>0</v>
      </c>
      <c r="P293" s="199">
        <f t="shared" si="33"/>
        <v>0</v>
      </c>
      <c r="Q293" s="203">
        <f t="shared" si="37"/>
        <v>85.800000000000807</v>
      </c>
      <c r="R293" s="160" t="s">
        <v>55</v>
      </c>
      <c r="S293" s="201">
        <f t="shared" si="38"/>
        <v>-3.7796436285096879E-3</v>
      </c>
    </row>
    <row r="294" spans="1:19">
      <c r="A294" s="196">
        <v>40394</v>
      </c>
      <c r="B294" s="122">
        <v>18.389999</v>
      </c>
      <c r="C294" s="122">
        <v>18.59</v>
      </c>
      <c r="D294" s="122">
        <v>18.239999999999998</v>
      </c>
      <c r="E294" s="122">
        <v>18.530000999999999</v>
      </c>
      <c r="F294" s="122">
        <v>12.201226</v>
      </c>
      <c r="G294" s="197">
        <v>157400</v>
      </c>
      <c r="H294" s="198">
        <f>IF(AND(E293&gt;=H293,E294&gt;=E293),E293*(1+'Trading Model'!$E$13),IF(AND(E294&lt;E293,E293&gt;=H293),E294*(1+'Trading Model'!$E$13),H293))</f>
        <v>22.007998950000001</v>
      </c>
      <c r="I294" s="198">
        <f>IF(K294&gt;0,E294*(1-'Trading Model'!E304),IF(E294&lt;I293,I293*(1-'Trading Model'!$E$14),I293))</f>
        <v>14.818716724772075</v>
      </c>
      <c r="J294" s="198">
        <f t="shared" si="39"/>
        <v>0</v>
      </c>
      <c r="K294" s="198">
        <f t="shared" si="34"/>
        <v>0</v>
      </c>
      <c r="L294" s="198">
        <f>COUNTIF(J294:K294,"&lt;&gt;0")*-'Trading Model'!$E$15</f>
        <v>0</v>
      </c>
      <c r="M294" s="198">
        <f t="shared" si="32"/>
        <v>0</v>
      </c>
      <c r="N294" s="75">
        <f t="shared" si="35"/>
        <v>20</v>
      </c>
      <c r="O294" s="202">
        <f t="shared" si="36"/>
        <v>0</v>
      </c>
      <c r="P294" s="199">
        <f t="shared" si="33"/>
        <v>0</v>
      </c>
      <c r="Q294" s="203">
        <f t="shared" si="37"/>
        <v>85.800000000000807</v>
      </c>
      <c r="R294" s="203" t="s">
        <v>55</v>
      </c>
      <c r="S294" s="201">
        <f t="shared" si="38"/>
        <v>4.3360431254175769E-3</v>
      </c>
    </row>
    <row r="295" spans="1:19">
      <c r="A295" s="196">
        <v>40395</v>
      </c>
      <c r="B295" s="122">
        <v>18.52</v>
      </c>
      <c r="C295" s="122">
        <v>19.639999</v>
      </c>
      <c r="D295" s="122">
        <v>18.469999000000001</v>
      </c>
      <c r="E295" s="122">
        <v>19.559999000000001</v>
      </c>
      <c r="F295" s="122">
        <v>12.879438</v>
      </c>
      <c r="G295" s="197">
        <v>286300</v>
      </c>
      <c r="H295" s="198">
        <f>IF(AND(E294&gt;=H294,E295&gt;=E294),E294*(1+'Trading Model'!$E$13),IF(AND(E295&lt;E294,E294&gt;=H294),E295*(1+'Trading Model'!$E$13),H294))</f>
        <v>22.007998950000001</v>
      </c>
      <c r="I295" s="198">
        <f>IF(K295&gt;0,E295*(1-'Trading Model'!E305),IF(E295&lt;I294,I294*(1-'Trading Model'!$E$14),I294))</f>
        <v>14.818716724772075</v>
      </c>
      <c r="J295" s="198">
        <f t="shared" si="39"/>
        <v>0</v>
      </c>
      <c r="K295" s="198">
        <f t="shared" si="34"/>
        <v>0</v>
      </c>
      <c r="L295" s="198">
        <f>COUNTIF(J295:K295,"&lt;&gt;0")*-'Trading Model'!$E$15</f>
        <v>0</v>
      </c>
      <c r="M295" s="198">
        <f t="shared" si="32"/>
        <v>0</v>
      </c>
      <c r="N295" s="75">
        <f t="shared" si="35"/>
        <v>20</v>
      </c>
      <c r="O295" s="202">
        <f t="shared" si="36"/>
        <v>0</v>
      </c>
      <c r="P295" s="199">
        <f t="shared" si="33"/>
        <v>0</v>
      </c>
      <c r="Q295" s="203">
        <f t="shared" si="37"/>
        <v>85.800000000000807</v>
      </c>
      <c r="R295" s="203" t="s">
        <v>55</v>
      </c>
      <c r="S295" s="201">
        <f t="shared" si="38"/>
        <v>5.5585426034245877E-2</v>
      </c>
    </row>
    <row r="296" spans="1:19">
      <c r="A296" s="196">
        <v>40396</v>
      </c>
      <c r="B296" s="122">
        <v>19.57</v>
      </c>
      <c r="C296" s="122">
        <v>20.25</v>
      </c>
      <c r="D296" s="122">
        <v>19.5</v>
      </c>
      <c r="E296" s="122">
        <v>19.940000999999999</v>
      </c>
      <c r="F296" s="122">
        <v>13.129652999999999</v>
      </c>
      <c r="G296" s="197">
        <v>608500</v>
      </c>
      <c r="H296" s="198">
        <f>IF(AND(E295&gt;=H295,E296&gt;=E295),E295*(1+'Trading Model'!$E$13),IF(AND(E296&lt;E295,E295&gt;=H295),E296*(1+'Trading Model'!$E$13),H295))</f>
        <v>22.007998950000001</v>
      </c>
      <c r="I296" s="198">
        <f>IF(K296&gt;0,E296*(1-'Trading Model'!E306),IF(E296&lt;I295,I295*(1-'Trading Model'!$E$14),I295))</f>
        <v>14.818716724772075</v>
      </c>
      <c r="J296" s="198">
        <f t="shared" si="39"/>
        <v>0</v>
      </c>
      <c r="K296" s="198">
        <f t="shared" si="34"/>
        <v>0</v>
      </c>
      <c r="L296" s="198">
        <f>COUNTIF(J296:K296,"&lt;&gt;0")*-'Trading Model'!$E$15</f>
        <v>0</v>
      </c>
      <c r="M296" s="198">
        <f t="shared" si="32"/>
        <v>0</v>
      </c>
      <c r="N296" s="75">
        <f t="shared" si="35"/>
        <v>20</v>
      </c>
      <c r="O296" s="202">
        <f t="shared" si="36"/>
        <v>0</v>
      </c>
      <c r="P296" s="199">
        <f t="shared" si="33"/>
        <v>0</v>
      </c>
      <c r="Q296" s="203">
        <f t="shared" si="37"/>
        <v>85.800000000000807</v>
      </c>
      <c r="R296" s="203" t="s">
        <v>55</v>
      </c>
      <c r="S296" s="201">
        <f t="shared" si="38"/>
        <v>1.9427506105700543E-2</v>
      </c>
    </row>
    <row r="297" spans="1:19">
      <c r="A297" s="196">
        <v>40399</v>
      </c>
      <c r="B297" s="122">
        <v>20.18</v>
      </c>
      <c r="C297" s="122">
        <v>20.34</v>
      </c>
      <c r="D297" s="122">
        <v>19.959999</v>
      </c>
      <c r="E297" s="122">
        <v>20.129999000000002</v>
      </c>
      <c r="F297" s="122">
        <v>13.254761</v>
      </c>
      <c r="G297" s="197">
        <v>696000</v>
      </c>
      <c r="H297" s="198">
        <f>IF(AND(E296&gt;=H296,E297&gt;=E296),E296*(1+'Trading Model'!$E$13),IF(AND(E297&lt;E296,E296&gt;=H296),E297*(1+'Trading Model'!$E$13),H296))</f>
        <v>22.007998950000001</v>
      </c>
      <c r="I297" s="198">
        <f>IF(K297&gt;0,E297*(1-'Trading Model'!E307),IF(E297&lt;I296,I296*(1-'Trading Model'!$E$14),I296))</f>
        <v>14.818716724772075</v>
      </c>
      <c r="J297" s="198">
        <f t="shared" si="39"/>
        <v>0</v>
      </c>
      <c r="K297" s="198">
        <f t="shared" si="34"/>
        <v>0</v>
      </c>
      <c r="L297" s="198">
        <f>COUNTIF(J297:K297,"&lt;&gt;0")*-'Trading Model'!$E$15</f>
        <v>0</v>
      </c>
      <c r="M297" s="198">
        <f t="shared" si="32"/>
        <v>0</v>
      </c>
      <c r="N297" s="75">
        <f t="shared" si="35"/>
        <v>20</v>
      </c>
      <c r="O297" s="202">
        <f t="shared" si="36"/>
        <v>0</v>
      </c>
      <c r="P297" s="199">
        <f t="shared" si="33"/>
        <v>0</v>
      </c>
      <c r="Q297" s="203">
        <f t="shared" si="37"/>
        <v>85.800000000000807</v>
      </c>
      <c r="R297" s="201">
        <f>E297/B293-1</f>
        <v>9.521219234016276E-2</v>
      </c>
      <c r="S297" s="201">
        <f t="shared" si="38"/>
        <v>9.5284849785113312E-3</v>
      </c>
    </row>
    <row r="298" spans="1:19">
      <c r="A298" s="196">
        <v>40400</v>
      </c>
      <c r="B298" s="122">
        <v>20.200001</v>
      </c>
      <c r="C298" s="122">
        <v>20.200001</v>
      </c>
      <c r="D298" s="122">
        <v>19.700001</v>
      </c>
      <c r="E298" s="122">
        <v>19.950001</v>
      </c>
      <c r="F298" s="122">
        <v>13.136236999999999</v>
      </c>
      <c r="G298" s="197">
        <v>141400</v>
      </c>
      <c r="H298" s="198">
        <f>IF(AND(E297&gt;=H297,E298&gt;=E297),E297*(1+'Trading Model'!$E$13),IF(AND(E298&lt;E297,E297&gt;=H297),E298*(1+'Trading Model'!$E$13),H297))</f>
        <v>22.007998950000001</v>
      </c>
      <c r="I298" s="198">
        <f>IF(K298&gt;0,E298*(1-'Trading Model'!E308),IF(E298&lt;I297,I297*(1-'Trading Model'!$E$14),I297))</f>
        <v>14.818716724772075</v>
      </c>
      <c r="J298" s="198">
        <f t="shared" si="39"/>
        <v>0</v>
      </c>
      <c r="K298" s="198">
        <f t="shared" si="34"/>
        <v>0</v>
      </c>
      <c r="L298" s="198">
        <f>COUNTIF(J298:K298,"&lt;&gt;0")*-'Trading Model'!$E$15</f>
        <v>0</v>
      </c>
      <c r="M298" s="198">
        <f t="shared" si="32"/>
        <v>0</v>
      </c>
      <c r="N298" s="75">
        <f t="shared" si="35"/>
        <v>20</v>
      </c>
      <c r="O298" s="202">
        <f t="shared" si="36"/>
        <v>0</v>
      </c>
      <c r="P298" s="199">
        <f t="shared" si="33"/>
        <v>0</v>
      </c>
      <c r="Q298" s="203">
        <f t="shared" si="37"/>
        <v>85.700000000000813</v>
      </c>
      <c r="R298" s="160" t="s">
        <v>55</v>
      </c>
      <c r="S298" s="201">
        <f t="shared" si="38"/>
        <v>-8.9417788843407786E-3</v>
      </c>
    </row>
    <row r="299" spans="1:19">
      <c r="A299" s="196">
        <v>40401</v>
      </c>
      <c r="B299" s="122">
        <v>19.120000999999998</v>
      </c>
      <c r="C299" s="122">
        <v>19.709999</v>
      </c>
      <c r="D299" s="122">
        <v>18.799999</v>
      </c>
      <c r="E299" s="122">
        <v>19.629999000000002</v>
      </c>
      <c r="F299" s="122">
        <v>12.925530999999999</v>
      </c>
      <c r="G299" s="197">
        <v>162600</v>
      </c>
      <c r="H299" s="198">
        <f>IF(AND(E298&gt;=H298,E299&gt;=E298),E298*(1+'Trading Model'!$E$13),IF(AND(E299&lt;E298,E298&gt;=H298),E299*(1+'Trading Model'!$E$13),H298))</f>
        <v>22.007998950000001</v>
      </c>
      <c r="I299" s="198">
        <f>IF(K299&gt;0,E299*(1-'Trading Model'!E309),IF(E299&lt;I298,I298*(1-'Trading Model'!$E$14),I298))</f>
        <v>14.818716724772075</v>
      </c>
      <c r="J299" s="198">
        <f t="shared" si="39"/>
        <v>0</v>
      </c>
      <c r="K299" s="198">
        <f t="shared" si="34"/>
        <v>0</v>
      </c>
      <c r="L299" s="198">
        <f>COUNTIF(J299:K299,"&lt;&gt;0")*-'Trading Model'!$E$15</f>
        <v>0</v>
      </c>
      <c r="M299" s="198">
        <f t="shared" si="32"/>
        <v>0</v>
      </c>
      <c r="N299" s="75">
        <f t="shared" si="35"/>
        <v>20</v>
      </c>
      <c r="O299" s="202">
        <f t="shared" si="36"/>
        <v>0</v>
      </c>
      <c r="P299" s="199">
        <f t="shared" si="33"/>
        <v>0</v>
      </c>
      <c r="Q299" s="203">
        <f t="shared" si="37"/>
        <v>85.600000000000819</v>
      </c>
      <c r="R299" s="203" t="s">
        <v>55</v>
      </c>
      <c r="S299" s="201">
        <f t="shared" si="38"/>
        <v>-1.6040199697233026E-2</v>
      </c>
    </row>
    <row r="300" spans="1:19">
      <c r="A300" s="196">
        <v>40402</v>
      </c>
      <c r="B300" s="122">
        <v>19.43</v>
      </c>
      <c r="C300" s="122">
        <v>19.780000999999999</v>
      </c>
      <c r="D300" s="122">
        <v>19.43</v>
      </c>
      <c r="E300" s="122">
        <v>19.629999000000002</v>
      </c>
      <c r="F300" s="122">
        <v>12.925530999999999</v>
      </c>
      <c r="G300" s="197">
        <v>300700</v>
      </c>
      <c r="H300" s="198">
        <f>IF(AND(E299&gt;=H299,E300&gt;=E299),E299*(1+'Trading Model'!$E$13),IF(AND(E300&lt;E299,E299&gt;=H299),E300*(1+'Trading Model'!$E$13),H299))</f>
        <v>22.007998950000001</v>
      </c>
      <c r="I300" s="198">
        <f>IF(K300&gt;0,E300*(1-'Trading Model'!E310),IF(E300&lt;I299,I299*(1-'Trading Model'!$E$14),I299))</f>
        <v>14.818716724772075</v>
      </c>
      <c r="J300" s="198">
        <f t="shared" si="39"/>
        <v>0</v>
      </c>
      <c r="K300" s="198">
        <f t="shared" si="34"/>
        <v>0</v>
      </c>
      <c r="L300" s="198">
        <f>COUNTIF(J300:K300,"&lt;&gt;0")*-'Trading Model'!$E$15</f>
        <v>0</v>
      </c>
      <c r="M300" s="198">
        <f t="shared" si="32"/>
        <v>0</v>
      </c>
      <c r="N300" s="75">
        <f t="shared" si="35"/>
        <v>20</v>
      </c>
      <c r="O300" s="202">
        <f t="shared" si="36"/>
        <v>0</v>
      </c>
      <c r="P300" s="199">
        <f t="shared" si="33"/>
        <v>0</v>
      </c>
      <c r="Q300" s="203">
        <f t="shared" si="37"/>
        <v>85.600000000000819</v>
      </c>
      <c r="R300" s="203" t="s">
        <v>55</v>
      </c>
      <c r="S300" s="201">
        <f t="shared" si="38"/>
        <v>0</v>
      </c>
    </row>
    <row r="301" spans="1:19">
      <c r="A301" s="196">
        <v>40403</v>
      </c>
      <c r="B301" s="122">
        <v>19.629999000000002</v>
      </c>
      <c r="C301" s="122">
        <v>20.059999000000001</v>
      </c>
      <c r="D301" s="122">
        <v>19.530000999999999</v>
      </c>
      <c r="E301" s="122">
        <v>19.879999000000002</v>
      </c>
      <c r="F301" s="122">
        <v>13.090145</v>
      </c>
      <c r="G301" s="197">
        <v>106700</v>
      </c>
      <c r="H301" s="198">
        <f>IF(AND(E300&gt;=H300,E301&gt;=E300),E300*(1+'Trading Model'!$E$13),IF(AND(E301&lt;E300,E300&gt;=H300),E301*(1+'Trading Model'!$E$13),H300))</f>
        <v>22.007998950000001</v>
      </c>
      <c r="I301" s="198">
        <f>IF(K301&gt;0,E301*(1-'Trading Model'!E311),IF(E301&lt;I300,I300*(1-'Trading Model'!$E$14),I300))</f>
        <v>14.818716724772075</v>
      </c>
      <c r="J301" s="198">
        <f t="shared" si="39"/>
        <v>0</v>
      </c>
      <c r="K301" s="198">
        <f t="shared" si="34"/>
        <v>0</v>
      </c>
      <c r="L301" s="198">
        <f>COUNTIF(J301:K301,"&lt;&gt;0")*-'Trading Model'!$E$15</f>
        <v>0</v>
      </c>
      <c r="M301" s="198">
        <f t="shared" si="32"/>
        <v>0</v>
      </c>
      <c r="N301" s="75">
        <f t="shared" si="35"/>
        <v>20</v>
      </c>
      <c r="O301" s="202">
        <f t="shared" si="36"/>
        <v>0</v>
      </c>
      <c r="P301" s="199">
        <f t="shared" si="33"/>
        <v>0</v>
      </c>
      <c r="Q301" s="203">
        <f t="shared" si="37"/>
        <v>85.600000000000819</v>
      </c>
      <c r="R301" s="203" t="s">
        <v>55</v>
      </c>
      <c r="S301" s="201">
        <f t="shared" si="38"/>
        <v>1.2735609410881699E-2</v>
      </c>
    </row>
    <row r="302" spans="1:19">
      <c r="A302" s="196">
        <v>40406</v>
      </c>
      <c r="B302" s="122">
        <v>19.98</v>
      </c>
      <c r="C302" s="122">
        <v>20.02</v>
      </c>
      <c r="D302" s="122">
        <v>19.690000999999999</v>
      </c>
      <c r="E302" s="122">
        <v>19.879999000000002</v>
      </c>
      <c r="F302" s="122">
        <v>13.090145</v>
      </c>
      <c r="G302" s="197">
        <v>149000</v>
      </c>
      <c r="H302" s="198">
        <f>IF(AND(E301&gt;=H301,E302&gt;=E301),E301*(1+'Trading Model'!$E$13),IF(AND(E302&lt;E301,E301&gt;=H301),E302*(1+'Trading Model'!$E$13),H301))</f>
        <v>22.007998950000001</v>
      </c>
      <c r="I302" s="198">
        <f>IF(K302&gt;0,E302*(1-'Trading Model'!E312),IF(E302&lt;I301,I301*(1-'Trading Model'!$E$14),I301))</f>
        <v>14.818716724772075</v>
      </c>
      <c r="J302" s="198">
        <f t="shared" si="39"/>
        <v>0</v>
      </c>
      <c r="K302" s="198">
        <f t="shared" si="34"/>
        <v>0</v>
      </c>
      <c r="L302" s="198">
        <f>COUNTIF(J302:K302,"&lt;&gt;0")*-'Trading Model'!$E$15</f>
        <v>0</v>
      </c>
      <c r="M302" s="198">
        <f t="shared" si="32"/>
        <v>0</v>
      </c>
      <c r="N302" s="75">
        <f t="shared" si="35"/>
        <v>20</v>
      </c>
      <c r="O302" s="202">
        <f t="shared" si="36"/>
        <v>0</v>
      </c>
      <c r="P302" s="199">
        <f t="shared" si="33"/>
        <v>0</v>
      </c>
      <c r="Q302" s="203">
        <f t="shared" si="37"/>
        <v>85.600000000000819</v>
      </c>
      <c r="R302" s="201">
        <f>E302/B298-1</f>
        <v>-1.5841682384075018E-2</v>
      </c>
      <c r="S302" s="201">
        <f t="shared" si="38"/>
        <v>0</v>
      </c>
    </row>
    <row r="303" spans="1:19">
      <c r="A303" s="196">
        <v>40407</v>
      </c>
      <c r="B303" s="122">
        <v>20.120000999999998</v>
      </c>
      <c r="C303" s="122">
        <v>20.209999</v>
      </c>
      <c r="D303" s="122">
        <v>19.899999999999999</v>
      </c>
      <c r="E303" s="122">
        <v>20.129999000000002</v>
      </c>
      <c r="F303" s="122">
        <v>13.254761</v>
      </c>
      <c r="G303" s="197">
        <v>211300</v>
      </c>
      <c r="H303" s="198">
        <f>IF(AND(E302&gt;=H302,E303&gt;=E302),E302*(1+'Trading Model'!$E$13),IF(AND(E303&lt;E302,E302&gt;=H302),E303*(1+'Trading Model'!$E$13),H302))</f>
        <v>22.007998950000001</v>
      </c>
      <c r="I303" s="198">
        <f>IF(K303&gt;0,E303*(1-'Trading Model'!E313),IF(E303&lt;I302,I302*(1-'Trading Model'!$E$14),I302))</f>
        <v>14.818716724772075</v>
      </c>
      <c r="J303" s="198">
        <f t="shared" si="39"/>
        <v>0</v>
      </c>
      <c r="K303" s="198">
        <f t="shared" si="34"/>
        <v>0</v>
      </c>
      <c r="L303" s="198">
        <f>COUNTIF(J303:K303,"&lt;&gt;0")*-'Trading Model'!$E$15</f>
        <v>0</v>
      </c>
      <c r="M303" s="198">
        <f t="shared" si="32"/>
        <v>0</v>
      </c>
      <c r="N303" s="75">
        <f t="shared" si="35"/>
        <v>20</v>
      </c>
      <c r="O303" s="202">
        <f t="shared" si="36"/>
        <v>0</v>
      </c>
      <c r="P303" s="199">
        <f t="shared" si="33"/>
        <v>0</v>
      </c>
      <c r="Q303" s="203">
        <f t="shared" si="37"/>
        <v>85.600000000000819</v>
      </c>
      <c r="R303" s="160" t="s">
        <v>55</v>
      </c>
      <c r="S303" s="201">
        <f t="shared" si="38"/>
        <v>1.2575453348865784E-2</v>
      </c>
    </row>
    <row r="304" spans="1:19">
      <c r="A304" s="196">
        <v>40408</v>
      </c>
      <c r="B304" s="122">
        <v>20.149999999999999</v>
      </c>
      <c r="C304" s="122">
        <v>20.790001</v>
      </c>
      <c r="D304" s="122">
        <v>20.02</v>
      </c>
      <c r="E304" s="122">
        <v>20.65</v>
      </c>
      <c r="F304" s="122">
        <v>13.597158</v>
      </c>
      <c r="G304" s="197">
        <v>192100</v>
      </c>
      <c r="H304" s="198">
        <f>IF(AND(E303&gt;=H303,E304&gt;=E303),E303*(1+'Trading Model'!$E$13),IF(AND(E304&lt;E303,E303&gt;=H303),E304*(1+'Trading Model'!$E$13),H303))</f>
        <v>22.007998950000001</v>
      </c>
      <c r="I304" s="198">
        <f>IF(K304&gt;0,E304*(1-'Trading Model'!E314),IF(E304&lt;I303,I303*(1-'Trading Model'!$E$14),I303))</f>
        <v>14.818716724772075</v>
      </c>
      <c r="J304" s="198">
        <f t="shared" si="39"/>
        <v>0</v>
      </c>
      <c r="K304" s="198">
        <f t="shared" si="34"/>
        <v>0</v>
      </c>
      <c r="L304" s="198">
        <f>COUNTIF(J304:K304,"&lt;&gt;0")*-'Trading Model'!$E$15</f>
        <v>0</v>
      </c>
      <c r="M304" s="198">
        <f t="shared" si="32"/>
        <v>0</v>
      </c>
      <c r="N304" s="75">
        <f t="shared" si="35"/>
        <v>20</v>
      </c>
      <c r="O304" s="202">
        <f t="shared" si="36"/>
        <v>0</v>
      </c>
      <c r="P304" s="199">
        <f t="shared" si="33"/>
        <v>0</v>
      </c>
      <c r="Q304" s="203">
        <f t="shared" si="37"/>
        <v>85.600000000000819</v>
      </c>
      <c r="R304" s="203" t="s">
        <v>55</v>
      </c>
      <c r="S304" s="201">
        <f t="shared" si="38"/>
        <v>2.583214236622644E-2</v>
      </c>
    </row>
    <row r="305" spans="1:19">
      <c r="A305" s="196">
        <v>40409</v>
      </c>
      <c r="B305" s="122">
        <v>20.389999</v>
      </c>
      <c r="C305" s="122">
        <v>21.040001</v>
      </c>
      <c r="D305" s="122">
        <v>20.260000000000002</v>
      </c>
      <c r="E305" s="122">
        <v>20.76</v>
      </c>
      <c r="F305" s="122">
        <v>13.669592</v>
      </c>
      <c r="G305" s="197">
        <v>140500</v>
      </c>
      <c r="H305" s="198">
        <f>IF(AND(E304&gt;=H304,E305&gt;=E304),E304*(1+'Trading Model'!$E$13),IF(AND(E305&lt;E304,E304&gt;=H304),E305*(1+'Trading Model'!$E$13),H304))</f>
        <v>22.007998950000001</v>
      </c>
      <c r="I305" s="198">
        <f>IF(K305&gt;0,E305*(1-'Trading Model'!E315),IF(E305&lt;I304,I304*(1-'Trading Model'!$E$14),I304))</f>
        <v>14.818716724772075</v>
      </c>
      <c r="J305" s="198">
        <f t="shared" si="39"/>
        <v>0</v>
      </c>
      <c r="K305" s="198">
        <f t="shared" si="34"/>
        <v>0</v>
      </c>
      <c r="L305" s="198">
        <f>COUNTIF(J305:K305,"&lt;&gt;0")*-'Trading Model'!$E$15</f>
        <v>0</v>
      </c>
      <c r="M305" s="198">
        <f t="shared" si="32"/>
        <v>0</v>
      </c>
      <c r="N305" s="75">
        <f t="shared" si="35"/>
        <v>20</v>
      </c>
      <c r="O305" s="202">
        <f t="shared" si="36"/>
        <v>0</v>
      </c>
      <c r="P305" s="199">
        <f t="shared" si="33"/>
        <v>0</v>
      </c>
      <c r="Q305" s="203">
        <f t="shared" si="37"/>
        <v>85.600000000000819</v>
      </c>
      <c r="R305" s="203" t="s">
        <v>55</v>
      </c>
      <c r="S305" s="201">
        <f t="shared" si="38"/>
        <v>5.3268765133174245E-3</v>
      </c>
    </row>
    <row r="306" spans="1:19">
      <c r="A306" s="196">
        <v>40410</v>
      </c>
      <c r="B306" s="122">
        <v>20.74</v>
      </c>
      <c r="C306" s="122">
        <v>21</v>
      </c>
      <c r="D306" s="122">
        <v>20.58</v>
      </c>
      <c r="E306" s="122">
        <v>20.91</v>
      </c>
      <c r="F306" s="122">
        <v>13.768356000000001</v>
      </c>
      <c r="G306" s="197">
        <v>185000</v>
      </c>
      <c r="H306" s="198">
        <f>IF(AND(E305&gt;=H305,E306&gt;=E305),E305*(1+'Trading Model'!$E$13),IF(AND(E306&lt;E305,E305&gt;=H305),E306*(1+'Trading Model'!$E$13),H305))</f>
        <v>22.007998950000001</v>
      </c>
      <c r="I306" s="198">
        <f>IF(K306&gt;0,E306*(1-'Trading Model'!E316),IF(E306&lt;I305,I305*(1-'Trading Model'!$E$14),I305))</f>
        <v>14.818716724772075</v>
      </c>
      <c r="J306" s="198">
        <f t="shared" si="39"/>
        <v>0</v>
      </c>
      <c r="K306" s="198">
        <f t="shared" si="34"/>
        <v>0</v>
      </c>
      <c r="L306" s="198">
        <f>COUNTIF(J306:K306,"&lt;&gt;0")*-'Trading Model'!$E$15</f>
        <v>0</v>
      </c>
      <c r="M306" s="198">
        <f t="shared" si="32"/>
        <v>0</v>
      </c>
      <c r="N306" s="75">
        <f t="shared" si="35"/>
        <v>20</v>
      </c>
      <c r="O306" s="202">
        <f t="shared" si="36"/>
        <v>0</v>
      </c>
      <c r="P306" s="199">
        <f t="shared" si="33"/>
        <v>0</v>
      </c>
      <c r="Q306" s="203">
        <f t="shared" si="37"/>
        <v>85.600000000000819</v>
      </c>
      <c r="R306" s="203" t="s">
        <v>55</v>
      </c>
      <c r="S306" s="201">
        <f t="shared" si="38"/>
        <v>7.225433526011571E-3</v>
      </c>
    </row>
    <row r="307" spans="1:19">
      <c r="A307" s="196">
        <v>40413</v>
      </c>
      <c r="B307" s="122">
        <v>20.879999000000002</v>
      </c>
      <c r="C307" s="122">
        <v>21</v>
      </c>
      <c r="D307" s="122">
        <v>20.170000000000002</v>
      </c>
      <c r="E307" s="122">
        <v>20.170000000000002</v>
      </c>
      <c r="F307" s="122">
        <v>13.281098999999999</v>
      </c>
      <c r="G307" s="197">
        <v>120800</v>
      </c>
      <c r="H307" s="198">
        <f>IF(AND(E306&gt;=H306,E307&gt;=E306),E306*(1+'Trading Model'!$E$13),IF(AND(E307&lt;E306,E306&gt;=H306),E307*(1+'Trading Model'!$E$13),H306))</f>
        <v>22.007998950000001</v>
      </c>
      <c r="I307" s="198">
        <f>IF(K307&gt;0,E307*(1-'Trading Model'!E317),IF(E307&lt;I306,I306*(1-'Trading Model'!$E$14),I306))</f>
        <v>14.818716724772075</v>
      </c>
      <c r="J307" s="198">
        <f t="shared" si="39"/>
        <v>0</v>
      </c>
      <c r="K307" s="198">
        <f t="shared" si="34"/>
        <v>0</v>
      </c>
      <c r="L307" s="198">
        <f>COUNTIF(J307:K307,"&lt;&gt;0")*-'Trading Model'!$E$15</f>
        <v>0</v>
      </c>
      <c r="M307" s="198">
        <f t="shared" si="32"/>
        <v>0</v>
      </c>
      <c r="N307" s="75">
        <f t="shared" si="35"/>
        <v>20</v>
      </c>
      <c r="O307" s="202">
        <f t="shared" si="36"/>
        <v>0</v>
      </c>
      <c r="P307" s="199">
        <f t="shared" si="33"/>
        <v>0</v>
      </c>
      <c r="Q307" s="203">
        <f t="shared" si="37"/>
        <v>85.500000000000824</v>
      </c>
      <c r="R307" s="201">
        <f>E307/B303-1</f>
        <v>2.4850396379205719E-3</v>
      </c>
      <c r="S307" s="201">
        <f t="shared" si="38"/>
        <v>-3.5389765662362405E-2</v>
      </c>
    </row>
    <row r="308" spans="1:19">
      <c r="A308" s="196">
        <v>40414</v>
      </c>
      <c r="B308" s="122">
        <v>19.889999</v>
      </c>
      <c r="C308" s="122">
        <v>20.07</v>
      </c>
      <c r="D308" s="122">
        <v>19.02</v>
      </c>
      <c r="E308" s="122">
        <v>19.02</v>
      </c>
      <c r="F308" s="122">
        <v>12.523872000000001</v>
      </c>
      <c r="G308" s="197">
        <v>439100</v>
      </c>
      <c r="H308" s="198">
        <f>IF(AND(E307&gt;=H307,E308&gt;=E307),E307*(1+'Trading Model'!$E$13),IF(AND(E308&lt;E307,E307&gt;=H307),E308*(1+'Trading Model'!$E$13),H307))</f>
        <v>22.007998950000001</v>
      </c>
      <c r="I308" s="198">
        <f>IF(K308&gt;0,E308*(1-'Trading Model'!E318),IF(E308&lt;I307,I307*(1-'Trading Model'!$E$14),I307))</f>
        <v>14.818716724772075</v>
      </c>
      <c r="J308" s="198">
        <f t="shared" si="39"/>
        <v>0</v>
      </c>
      <c r="K308" s="198">
        <f t="shared" si="34"/>
        <v>0</v>
      </c>
      <c r="L308" s="198">
        <f>COUNTIF(J308:K308,"&lt;&gt;0")*-'Trading Model'!$E$15</f>
        <v>0</v>
      </c>
      <c r="M308" s="198">
        <f t="shared" si="32"/>
        <v>0</v>
      </c>
      <c r="N308" s="75">
        <f t="shared" si="35"/>
        <v>20</v>
      </c>
      <c r="O308" s="202">
        <f t="shared" si="36"/>
        <v>0</v>
      </c>
      <c r="P308" s="199">
        <f t="shared" si="33"/>
        <v>0</v>
      </c>
      <c r="Q308" s="203">
        <f t="shared" si="37"/>
        <v>85.40000000000083</v>
      </c>
      <c r="R308" s="160" t="s">
        <v>55</v>
      </c>
      <c r="S308" s="201">
        <f t="shared" si="38"/>
        <v>-5.7015369360436385E-2</v>
      </c>
    </row>
    <row r="309" spans="1:19">
      <c r="A309" s="196">
        <v>40415</v>
      </c>
      <c r="B309" s="122">
        <v>18.950001</v>
      </c>
      <c r="C309" s="122">
        <v>19.5</v>
      </c>
      <c r="D309" s="122">
        <v>18.850000000000001</v>
      </c>
      <c r="E309" s="122">
        <v>19.48</v>
      </c>
      <c r="F309" s="122">
        <v>12.826763</v>
      </c>
      <c r="G309" s="197">
        <v>215300</v>
      </c>
      <c r="H309" s="198">
        <f>IF(AND(E308&gt;=H308,E309&gt;=E308),E308*(1+'Trading Model'!$E$13),IF(AND(E309&lt;E308,E308&gt;=H308),E309*(1+'Trading Model'!$E$13),H308))</f>
        <v>22.007998950000001</v>
      </c>
      <c r="I309" s="198">
        <f>IF(K309&gt;0,E309*(1-'Trading Model'!E319),IF(E309&lt;I308,I308*(1-'Trading Model'!$E$14),I308))</f>
        <v>14.818716724772075</v>
      </c>
      <c r="J309" s="198">
        <f t="shared" si="39"/>
        <v>0</v>
      </c>
      <c r="K309" s="198">
        <f t="shared" si="34"/>
        <v>0</v>
      </c>
      <c r="L309" s="198">
        <f>COUNTIF(J309:K309,"&lt;&gt;0")*-'Trading Model'!$E$15</f>
        <v>0</v>
      </c>
      <c r="M309" s="198">
        <f t="shared" si="32"/>
        <v>0</v>
      </c>
      <c r="N309" s="75">
        <f t="shared" si="35"/>
        <v>20</v>
      </c>
      <c r="O309" s="202">
        <f t="shared" si="36"/>
        <v>0</v>
      </c>
      <c r="P309" s="199">
        <f t="shared" si="33"/>
        <v>0</v>
      </c>
      <c r="Q309" s="203">
        <f t="shared" si="37"/>
        <v>85.40000000000083</v>
      </c>
      <c r="R309" s="203" t="s">
        <v>55</v>
      </c>
      <c r="S309" s="201">
        <f t="shared" si="38"/>
        <v>2.4185068349106276E-2</v>
      </c>
    </row>
    <row r="310" spans="1:19">
      <c r="A310" s="196">
        <v>40416</v>
      </c>
      <c r="B310" s="122">
        <v>19.649999999999999</v>
      </c>
      <c r="C310" s="122">
        <v>19.899999999999999</v>
      </c>
      <c r="D310" s="122">
        <v>19.09</v>
      </c>
      <c r="E310" s="122">
        <v>19.16</v>
      </c>
      <c r="F310" s="122">
        <v>12.616056</v>
      </c>
      <c r="G310" s="197">
        <v>171900</v>
      </c>
      <c r="H310" s="198">
        <f>IF(AND(E309&gt;=H309,E310&gt;=E309),E309*(1+'Trading Model'!$E$13),IF(AND(E310&lt;E309,E309&gt;=H309),E310*(1+'Trading Model'!$E$13),H309))</f>
        <v>22.007998950000001</v>
      </c>
      <c r="I310" s="198">
        <f>IF(K310&gt;0,E310*(1-'Trading Model'!E320),IF(E310&lt;I309,I309*(1-'Trading Model'!$E$14),I309))</f>
        <v>14.818716724772075</v>
      </c>
      <c r="J310" s="198">
        <f t="shared" si="39"/>
        <v>0</v>
      </c>
      <c r="K310" s="198">
        <f t="shared" si="34"/>
        <v>0</v>
      </c>
      <c r="L310" s="198">
        <f>COUNTIF(J310:K310,"&lt;&gt;0")*-'Trading Model'!$E$15</f>
        <v>0</v>
      </c>
      <c r="M310" s="198">
        <f t="shared" si="32"/>
        <v>0</v>
      </c>
      <c r="N310" s="75">
        <f t="shared" si="35"/>
        <v>20</v>
      </c>
      <c r="O310" s="202">
        <f t="shared" si="36"/>
        <v>0</v>
      </c>
      <c r="P310" s="199">
        <f t="shared" si="33"/>
        <v>0</v>
      </c>
      <c r="Q310" s="203">
        <f t="shared" si="37"/>
        <v>85.300000000000836</v>
      </c>
      <c r="R310" s="203" t="s">
        <v>55</v>
      </c>
      <c r="S310" s="201">
        <f t="shared" si="38"/>
        <v>-1.6427104722792629E-2</v>
      </c>
    </row>
    <row r="311" spans="1:19">
      <c r="A311" s="196">
        <v>40417</v>
      </c>
      <c r="B311" s="122">
        <v>19.34</v>
      </c>
      <c r="C311" s="122">
        <v>19.350000000000001</v>
      </c>
      <c r="D311" s="122">
        <v>18.68</v>
      </c>
      <c r="E311" s="122">
        <v>18.860001</v>
      </c>
      <c r="F311" s="122">
        <v>12.418519</v>
      </c>
      <c r="G311" s="197">
        <v>253000</v>
      </c>
      <c r="H311" s="198">
        <f>IF(AND(E310&gt;=H310,E311&gt;=E310),E310*(1+'Trading Model'!$E$13),IF(AND(E311&lt;E310,E310&gt;=H310),E311*(1+'Trading Model'!$E$13),H310))</f>
        <v>22.007998950000001</v>
      </c>
      <c r="I311" s="198">
        <f>IF(K311&gt;0,E311*(1-'Trading Model'!E321),IF(E311&lt;I310,I310*(1-'Trading Model'!$E$14),I310))</f>
        <v>14.818716724772075</v>
      </c>
      <c r="J311" s="198">
        <f t="shared" si="39"/>
        <v>0</v>
      </c>
      <c r="K311" s="198">
        <f t="shared" si="34"/>
        <v>0</v>
      </c>
      <c r="L311" s="198">
        <f>COUNTIF(J311:K311,"&lt;&gt;0")*-'Trading Model'!$E$15</f>
        <v>0</v>
      </c>
      <c r="M311" s="198">
        <f t="shared" si="32"/>
        <v>0</v>
      </c>
      <c r="N311" s="75">
        <f t="shared" si="35"/>
        <v>20</v>
      </c>
      <c r="O311" s="202">
        <f t="shared" si="36"/>
        <v>0</v>
      </c>
      <c r="P311" s="199">
        <f t="shared" si="33"/>
        <v>0</v>
      </c>
      <c r="Q311" s="203">
        <f t="shared" si="37"/>
        <v>85.200000000000841</v>
      </c>
      <c r="R311" s="203" t="s">
        <v>55</v>
      </c>
      <c r="S311" s="201">
        <f t="shared" si="38"/>
        <v>-1.565756784968686E-2</v>
      </c>
    </row>
    <row r="312" spans="1:19">
      <c r="A312" s="196">
        <v>40420</v>
      </c>
      <c r="B312" s="122">
        <v>18.84</v>
      </c>
      <c r="C312" s="122">
        <v>19.02</v>
      </c>
      <c r="D312" s="122">
        <v>18.780000999999999</v>
      </c>
      <c r="E312" s="122">
        <v>18.870000999999998</v>
      </c>
      <c r="F312" s="122">
        <v>12.425102000000001</v>
      </c>
      <c r="G312" s="197">
        <v>147700</v>
      </c>
      <c r="H312" s="198">
        <f>IF(AND(E311&gt;=H311,E312&gt;=E311),E311*(1+'Trading Model'!$E$13),IF(AND(E312&lt;E311,E311&gt;=H311),E312*(1+'Trading Model'!$E$13),H311))</f>
        <v>22.007998950000001</v>
      </c>
      <c r="I312" s="198">
        <f>IF(K312&gt;0,E312*(1-'Trading Model'!E322),IF(E312&lt;I311,I311*(1-'Trading Model'!$E$14),I311))</f>
        <v>14.818716724772075</v>
      </c>
      <c r="J312" s="198">
        <f t="shared" si="39"/>
        <v>0</v>
      </c>
      <c r="K312" s="198">
        <f t="shared" si="34"/>
        <v>0</v>
      </c>
      <c r="L312" s="198">
        <f>COUNTIF(J312:K312,"&lt;&gt;0")*-'Trading Model'!$E$15</f>
        <v>0</v>
      </c>
      <c r="M312" s="198">
        <f t="shared" si="32"/>
        <v>0</v>
      </c>
      <c r="N312" s="75">
        <f t="shared" si="35"/>
        <v>20</v>
      </c>
      <c r="O312" s="202">
        <f t="shared" si="36"/>
        <v>0</v>
      </c>
      <c r="P312" s="199">
        <f t="shared" si="33"/>
        <v>0</v>
      </c>
      <c r="Q312" s="203">
        <f t="shared" si="37"/>
        <v>85.200000000000841</v>
      </c>
      <c r="R312" s="201">
        <f>E312/B308-1</f>
        <v>-5.1281953307287798E-2</v>
      </c>
      <c r="S312" s="201">
        <f t="shared" si="38"/>
        <v>5.3022266541757901E-4</v>
      </c>
    </row>
    <row r="313" spans="1:19">
      <c r="A313" s="196">
        <v>40421</v>
      </c>
      <c r="B313" s="122">
        <v>18.75</v>
      </c>
      <c r="C313" s="122">
        <v>19</v>
      </c>
      <c r="D313" s="122">
        <v>18.670000000000002</v>
      </c>
      <c r="E313" s="122">
        <v>18.809999000000001</v>
      </c>
      <c r="F313" s="122">
        <v>12.385595</v>
      </c>
      <c r="G313" s="197">
        <v>131300</v>
      </c>
      <c r="H313" s="198">
        <f>IF(AND(E312&gt;=H312,E313&gt;=E312),E312*(1+'Trading Model'!$E$13),IF(AND(E313&lt;E312,E312&gt;=H312),E313*(1+'Trading Model'!$E$13),H312))</f>
        <v>22.007998950000001</v>
      </c>
      <c r="I313" s="198">
        <f>IF(K313&gt;0,E313*(1-'Trading Model'!E323),IF(E313&lt;I312,I312*(1-'Trading Model'!$E$14),I312))</f>
        <v>14.818716724772075</v>
      </c>
      <c r="J313" s="198">
        <f t="shared" si="39"/>
        <v>0</v>
      </c>
      <c r="K313" s="198">
        <f t="shared" si="34"/>
        <v>0</v>
      </c>
      <c r="L313" s="198">
        <f>COUNTIF(J313:K313,"&lt;&gt;0")*-'Trading Model'!$E$15</f>
        <v>0</v>
      </c>
      <c r="M313" s="198">
        <f t="shared" si="32"/>
        <v>0</v>
      </c>
      <c r="N313" s="75">
        <f t="shared" si="35"/>
        <v>20</v>
      </c>
      <c r="O313" s="202">
        <f t="shared" si="36"/>
        <v>0</v>
      </c>
      <c r="P313" s="199">
        <f t="shared" si="33"/>
        <v>0</v>
      </c>
      <c r="Q313" s="203">
        <f t="shared" si="37"/>
        <v>85.100000000000847</v>
      </c>
      <c r="R313" s="160" t="s">
        <v>55</v>
      </c>
      <c r="S313" s="201">
        <f t="shared" si="38"/>
        <v>-3.1797560583063378E-3</v>
      </c>
    </row>
    <row r="314" spans="1:19">
      <c r="A314" s="196">
        <v>40422</v>
      </c>
      <c r="B314" s="122">
        <v>19</v>
      </c>
      <c r="C314" s="122">
        <v>19.5</v>
      </c>
      <c r="D314" s="122">
        <v>18.91</v>
      </c>
      <c r="E314" s="122">
        <v>19.27</v>
      </c>
      <c r="F314" s="122">
        <v>12.688485999999999</v>
      </c>
      <c r="G314" s="197">
        <v>139700</v>
      </c>
      <c r="H314" s="198">
        <f>IF(AND(E313&gt;=H313,E314&gt;=E313),E313*(1+'Trading Model'!$E$13),IF(AND(E314&lt;E313,E313&gt;=H313),E314*(1+'Trading Model'!$E$13),H313))</f>
        <v>22.007998950000001</v>
      </c>
      <c r="I314" s="198">
        <f>IF(K314&gt;0,E314*(1-'Trading Model'!E324),IF(E314&lt;I313,I313*(1-'Trading Model'!$E$14),I313))</f>
        <v>14.818716724772075</v>
      </c>
      <c r="J314" s="198">
        <f t="shared" si="39"/>
        <v>0</v>
      </c>
      <c r="K314" s="198">
        <f t="shared" si="34"/>
        <v>0</v>
      </c>
      <c r="L314" s="198">
        <f>COUNTIF(J314:K314,"&lt;&gt;0")*-'Trading Model'!$E$15</f>
        <v>0</v>
      </c>
      <c r="M314" s="198">
        <f t="shared" si="32"/>
        <v>0</v>
      </c>
      <c r="N314" s="75">
        <f t="shared" si="35"/>
        <v>20</v>
      </c>
      <c r="O314" s="202">
        <f t="shared" si="36"/>
        <v>0</v>
      </c>
      <c r="P314" s="199">
        <f t="shared" si="33"/>
        <v>0</v>
      </c>
      <c r="Q314" s="203">
        <f t="shared" si="37"/>
        <v>85.100000000000847</v>
      </c>
      <c r="R314" s="203" t="s">
        <v>55</v>
      </c>
      <c r="S314" s="201">
        <f t="shared" si="38"/>
        <v>2.4455131549980358E-2</v>
      </c>
    </row>
    <row r="315" spans="1:19">
      <c r="A315" s="196">
        <v>40423</v>
      </c>
      <c r="B315" s="122">
        <v>19.309999000000001</v>
      </c>
      <c r="C315" s="122">
        <v>19.459999</v>
      </c>
      <c r="D315" s="122">
        <v>19.16</v>
      </c>
      <c r="E315" s="122">
        <v>19.25</v>
      </c>
      <c r="F315" s="122">
        <v>12.675316</v>
      </c>
      <c r="G315" s="197">
        <v>131800</v>
      </c>
      <c r="H315" s="198">
        <f>IF(AND(E314&gt;=H314,E315&gt;=E314),E314*(1+'Trading Model'!$E$13),IF(AND(E315&lt;E314,E314&gt;=H314),E315*(1+'Trading Model'!$E$13),H314))</f>
        <v>22.007998950000001</v>
      </c>
      <c r="I315" s="198">
        <f>IF(K315&gt;0,E315*(1-'Trading Model'!E325),IF(E315&lt;I314,I314*(1-'Trading Model'!$E$14),I314))</f>
        <v>14.818716724772075</v>
      </c>
      <c r="J315" s="198">
        <f t="shared" si="39"/>
        <v>0</v>
      </c>
      <c r="K315" s="198">
        <f t="shared" si="34"/>
        <v>0</v>
      </c>
      <c r="L315" s="198">
        <f>COUNTIF(J315:K315,"&lt;&gt;0")*-'Trading Model'!$E$15</f>
        <v>0</v>
      </c>
      <c r="M315" s="198">
        <f t="shared" si="32"/>
        <v>0</v>
      </c>
      <c r="N315" s="75">
        <f t="shared" si="35"/>
        <v>20</v>
      </c>
      <c r="O315" s="202">
        <f t="shared" si="36"/>
        <v>0</v>
      </c>
      <c r="P315" s="199">
        <f t="shared" si="33"/>
        <v>0</v>
      </c>
      <c r="Q315" s="203">
        <f t="shared" si="37"/>
        <v>85.000000000000853</v>
      </c>
      <c r="R315" s="203" t="s">
        <v>55</v>
      </c>
      <c r="S315" s="201">
        <f t="shared" si="38"/>
        <v>-1.0378827192526474E-3</v>
      </c>
    </row>
    <row r="316" spans="1:19">
      <c r="A316" s="196">
        <v>40424</v>
      </c>
      <c r="B316" s="122">
        <v>19.5</v>
      </c>
      <c r="C316" s="122">
        <v>19.530000999999999</v>
      </c>
      <c r="D316" s="122">
        <v>19.27</v>
      </c>
      <c r="E316" s="122">
        <v>19.489999999999998</v>
      </c>
      <c r="F316" s="122">
        <v>12.833347</v>
      </c>
      <c r="G316" s="197">
        <v>104900</v>
      </c>
      <c r="H316" s="198">
        <f>IF(AND(E315&gt;=H315,E316&gt;=E315),E315*(1+'Trading Model'!$E$13),IF(AND(E316&lt;E315,E315&gt;=H315),E316*(1+'Trading Model'!$E$13),H315))</f>
        <v>22.007998950000001</v>
      </c>
      <c r="I316" s="198">
        <f>IF(K316&gt;0,E316*(1-'Trading Model'!E326),IF(E316&lt;I315,I315*(1-'Trading Model'!$E$14),I315))</f>
        <v>14.818716724772075</v>
      </c>
      <c r="J316" s="198">
        <f t="shared" si="39"/>
        <v>0</v>
      </c>
      <c r="K316" s="198">
        <f t="shared" si="34"/>
        <v>0</v>
      </c>
      <c r="L316" s="198">
        <f>COUNTIF(J316:K316,"&lt;&gt;0")*-'Trading Model'!$E$15</f>
        <v>0</v>
      </c>
      <c r="M316" s="198">
        <f t="shared" si="32"/>
        <v>0</v>
      </c>
      <c r="N316" s="75">
        <f t="shared" si="35"/>
        <v>20</v>
      </c>
      <c r="O316" s="202">
        <f t="shared" si="36"/>
        <v>0</v>
      </c>
      <c r="P316" s="199">
        <f t="shared" si="33"/>
        <v>0</v>
      </c>
      <c r="Q316" s="203">
        <f t="shared" si="37"/>
        <v>85.000000000000853</v>
      </c>
      <c r="R316" s="203" t="s">
        <v>55</v>
      </c>
      <c r="S316" s="201">
        <f t="shared" si="38"/>
        <v>1.2467532467532294E-2</v>
      </c>
    </row>
    <row r="317" spans="1:19">
      <c r="A317" s="196">
        <v>40428</v>
      </c>
      <c r="B317" s="122">
        <v>19.360001</v>
      </c>
      <c r="C317" s="122">
        <v>19.540001</v>
      </c>
      <c r="D317" s="122">
        <v>19.059999000000001</v>
      </c>
      <c r="E317" s="122">
        <v>19.09</v>
      </c>
      <c r="F317" s="122">
        <v>12.569965</v>
      </c>
      <c r="G317" s="197">
        <v>81700</v>
      </c>
      <c r="H317" s="198">
        <f>IF(AND(E316&gt;=H316,E317&gt;=E316),E316*(1+'Trading Model'!$E$13),IF(AND(E317&lt;E316,E316&gt;=H316),E317*(1+'Trading Model'!$E$13),H316))</f>
        <v>22.007998950000001</v>
      </c>
      <c r="I317" s="198">
        <f>IF(K317&gt;0,E317*(1-'Trading Model'!E327),IF(E317&lt;I316,I316*(1-'Trading Model'!$E$14),I316))</f>
        <v>14.818716724772075</v>
      </c>
      <c r="J317" s="198">
        <f t="shared" si="39"/>
        <v>0</v>
      </c>
      <c r="K317" s="198">
        <f t="shared" si="34"/>
        <v>0</v>
      </c>
      <c r="L317" s="198">
        <f>COUNTIF(J317:K317,"&lt;&gt;0")*-'Trading Model'!$E$15</f>
        <v>0</v>
      </c>
      <c r="M317" s="198">
        <f t="shared" si="32"/>
        <v>0</v>
      </c>
      <c r="N317" s="75">
        <f t="shared" si="35"/>
        <v>20</v>
      </c>
      <c r="O317" s="202">
        <f t="shared" si="36"/>
        <v>0</v>
      </c>
      <c r="P317" s="199">
        <f t="shared" si="33"/>
        <v>0</v>
      </c>
      <c r="Q317" s="203">
        <f t="shared" si="37"/>
        <v>84.900000000000858</v>
      </c>
      <c r="R317" s="201">
        <f>E317/B313-1</f>
        <v>1.8133333333333335E-2</v>
      </c>
      <c r="S317" s="201">
        <f t="shared" si="38"/>
        <v>-2.0523345305284657E-2</v>
      </c>
    </row>
    <row r="318" spans="1:19">
      <c r="A318" s="196">
        <v>40429</v>
      </c>
      <c r="B318" s="122">
        <v>19.25</v>
      </c>
      <c r="C318" s="122">
        <v>19.5</v>
      </c>
      <c r="D318" s="122">
        <v>19</v>
      </c>
      <c r="E318" s="122">
        <v>19.030000999999999</v>
      </c>
      <c r="F318" s="122">
        <v>12.530457999999999</v>
      </c>
      <c r="G318" s="197">
        <v>94500</v>
      </c>
      <c r="H318" s="198">
        <f>IF(AND(E317&gt;=H317,E318&gt;=E317),E317*(1+'Trading Model'!$E$13),IF(AND(E318&lt;E317,E317&gt;=H317),E318*(1+'Trading Model'!$E$13),H317))</f>
        <v>22.007998950000001</v>
      </c>
      <c r="I318" s="198">
        <f>IF(K318&gt;0,E318*(1-'Trading Model'!E328),IF(E318&lt;I317,I317*(1-'Trading Model'!$E$14),I317))</f>
        <v>14.818716724772075</v>
      </c>
      <c r="J318" s="198">
        <f t="shared" si="39"/>
        <v>0</v>
      </c>
      <c r="K318" s="198">
        <f t="shared" si="34"/>
        <v>0</v>
      </c>
      <c r="L318" s="198">
        <f>COUNTIF(J318:K318,"&lt;&gt;0")*-'Trading Model'!$E$15</f>
        <v>0</v>
      </c>
      <c r="M318" s="198">
        <f t="shared" si="32"/>
        <v>0</v>
      </c>
      <c r="N318" s="75">
        <f t="shared" si="35"/>
        <v>20</v>
      </c>
      <c r="O318" s="202">
        <f t="shared" si="36"/>
        <v>0</v>
      </c>
      <c r="P318" s="199">
        <f t="shared" si="33"/>
        <v>0</v>
      </c>
      <c r="Q318" s="203">
        <f t="shared" si="37"/>
        <v>84.800000000000864</v>
      </c>
      <c r="R318" s="160" t="s">
        <v>55</v>
      </c>
      <c r="S318" s="201">
        <f t="shared" si="38"/>
        <v>-3.1429544264013343E-3</v>
      </c>
    </row>
    <row r="319" spans="1:19">
      <c r="A319" s="196">
        <v>40430</v>
      </c>
      <c r="B319" s="122">
        <v>19.120000999999998</v>
      </c>
      <c r="C319" s="122">
        <v>19.5</v>
      </c>
      <c r="D319" s="122">
        <v>19.120000999999998</v>
      </c>
      <c r="E319" s="122">
        <v>19.350000000000001</v>
      </c>
      <c r="F319" s="122">
        <v>12.741161</v>
      </c>
      <c r="G319" s="197">
        <v>124600</v>
      </c>
      <c r="H319" s="198">
        <f>IF(AND(E318&gt;=H318,E319&gt;=E318),E318*(1+'Trading Model'!$E$13),IF(AND(E319&lt;E318,E318&gt;=H318),E319*(1+'Trading Model'!$E$13),H318))</f>
        <v>22.007998950000001</v>
      </c>
      <c r="I319" s="198">
        <f>IF(K319&gt;0,E319*(1-'Trading Model'!E329),IF(E319&lt;I318,I318*(1-'Trading Model'!$E$14),I318))</f>
        <v>14.818716724772075</v>
      </c>
      <c r="J319" s="198">
        <f t="shared" si="39"/>
        <v>0</v>
      </c>
      <c r="K319" s="198">
        <f t="shared" si="34"/>
        <v>0</v>
      </c>
      <c r="L319" s="198">
        <f>COUNTIF(J319:K319,"&lt;&gt;0")*-'Trading Model'!$E$15</f>
        <v>0</v>
      </c>
      <c r="M319" s="198">
        <f t="shared" si="32"/>
        <v>0</v>
      </c>
      <c r="N319" s="75">
        <f t="shared" si="35"/>
        <v>20</v>
      </c>
      <c r="O319" s="202">
        <f t="shared" si="36"/>
        <v>0</v>
      </c>
      <c r="P319" s="199">
        <f t="shared" si="33"/>
        <v>0</v>
      </c>
      <c r="Q319" s="203">
        <f t="shared" si="37"/>
        <v>84.800000000000864</v>
      </c>
      <c r="R319" s="203" t="s">
        <v>55</v>
      </c>
      <c r="S319" s="201">
        <f t="shared" si="38"/>
        <v>1.6815500955570162E-2</v>
      </c>
    </row>
    <row r="320" spans="1:19">
      <c r="A320" s="196">
        <v>40431</v>
      </c>
      <c r="B320" s="122">
        <v>19.469999000000001</v>
      </c>
      <c r="C320" s="122">
        <v>19.469999000000001</v>
      </c>
      <c r="D320" s="122">
        <v>19.260000000000002</v>
      </c>
      <c r="E320" s="122">
        <v>19.379999000000002</v>
      </c>
      <c r="F320" s="122">
        <v>12.760916</v>
      </c>
      <c r="G320" s="197">
        <v>32800</v>
      </c>
      <c r="H320" s="198">
        <f>IF(AND(E319&gt;=H319,E320&gt;=E319),E319*(1+'Trading Model'!$E$13),IF(AND(E320&lt;E319,E319&gt;=H319),E320*(1+'Trading Model'!$E$13),H319))</f>
        <v>22.007998950000001</v>
      </c>
      <c r="I320" s="198">
        <f>IF(K320&gt;0,E320*(1-'Trading Model'!E330),IF(E320&lt;I319,I319*(1-'Trading Model'!$E$14),I319))</f>
        <v>14.818716724772075</v>
      </c>
      <c r="J320" s="198">
        <f t="shared" si="39"/>
        <v>0</v>
      </c>
      <c r="K320" s="198">
        <f t="shared" si="34"/>
        <v>0</v>
      </c>
      <c r="L320" s="198">
        <f>COUNTIF(J320:K320,"&lt;&gt;0")*-'Trading Model'!$E$15</f>
        <v>0</v>
      </c>
      <c r="M320" s="198">
        <f t="shared" si="32"/>
        <v>0</v>
      </c>
      <c r="N320" s="75">
        <f t="shared" si="35"/>
        <v>20</v>
      </c>
      <c r="O320" s="202">
        <f t="shared" si="36"/>
        <v>0</v>
      </c>
      <c r="P320" s="199">
        <f t="shared" si="33"/>
        <v>0</v>
      </c>
      <c r="Q320" s="203">
        <f t="shared" si="37"/>
        <v>84.800000000000864</v>
      </c>
      <c r="R320" s="203" t="s">
        <v>55</v>
      </c>
      <c r="S320" s="201">
        <f t="shared" si="38"/>
        <v>1.550335917312573E-3</v>
      </c>
    </row>
    <row r="321" spans="1:19">
      <c r="A321" s="196">
        <v>40434</v>
      </c>
      <c r="B321" s="122">
        <v>19.540001</v>
      </c>
      <c r="C321" s="122">
        <v>19.559999000000001</v>
      </c>
      <c r="D321" s="122">
        <v>19.219999000000001</v>
      </c>
      <c r="E321" s="122">
        <v>19.399999999999999</v>
      </c>
      <c r="F321" s="122">
        <v>12.774086</v>
      </c>
      <c r="G321" s="197">
        <v>121100</v>
      </c>
      <c r="H321" s="198">
        <f>IF(AND(E320&gt;=H320,E321&gt;=E320),E320*(1+'Trading Model'!$E$13),IF(AND(E321&lt;E320,E320&gt;=H320),E321*(1+'Trading Model'!$E$13),H320))</f>
        <v>22.007998950000001</v>
      </c>
      <c r="I321" s="198">
        <f>IF(K321&gt;0,E321*(1-'Trading Model'!E331),IF(E321&lt;I320,I320*(1-'Trading Model'!$E$14),I320))</f>
        <v>14.818716724772075</v>
      </c>
      <c r="J321" s="198">
        <f t="shared" si="39"/>
        <v>0</v>
      </c>
      <c r="K321" s="198">
        <f t="shared" si="34"/>
        <v>0</v>
      </c>
      <c r="L321" s="198">
        <f>COUNTIF(J321:K321,"&lt;&gt;0")*-'Trading Model'!$E$15</f>
        <v>0</v>
      </c>
      <c r="M321" s="198">
        <f t="shared" si="32"/>
        <v>0</v>
      </c>
      <c r="N321" s="75">
        <f t="shared" si="35"/>
        <v>20</v>
      </c>
      <c r="O321" s="202">
        <f t="shared" si="36"/>
        <v>0</v>
      </c>
      <c r="P321" s="199">
        <f t="shared" si="33"/>
        <v>0</v>
      </c>
      <c r="Q321" s="203">
        <f t="shared" si="37"/>
        <v>84.800000000000864</v>
      </c>
      <c r="R321" s="203" t="s">
        <v>55</v>
      </c>
      <c r="S321" s="201">
        <f t="shared" si="38"/>
        <v>1.0320433969062126E-3</v>
      </c>
    </row>
    <row r="322" spans="1:19">
      <c r="A322" s="196">
        <v>40435</v>
      </c>
      <c r="B322" s="122">
        <v>19.41</v>
      </c>
      <c r="C322" s="122">
        <v>19.600000000000001</v>
      </c>
      <c r="D322" s="122">
        <v>19.23</v>
      </c>
      <c r="E322" s="122">
        <v>19.34</v>
      </c>
      <c r="F322" s="122">
        <v>12.734576000000001</v>
      </c>
      <c r="G322" s="197">
        <v>73600</v>
      </c>
      <c r="H322" s="198">
        <f>IF(AND(E321&gt;=H321,E322&gt;=E321),E321*(1+'Trading Model'!$E$13),IF(AND(E322&lt;E321,E321&gt;=H321),E322*(1+'Trading Model'!$E$13),H321))</f>
        <v>22.007998950000001</v>
      </c>
      <c r="I322" s="198">
        <f>IF(K322&gt;0,E322*(1-'Trading Model'!E332),IF(E322&lt;I321,I321*(1-'Trading Model'!$E$14),I321))</f>
        <v>14.818716724772075</v>
      </c>
      <c r="J322" s="198">
        <f t="shared" si="39"/>
        <v>0</v>
      </c>
      <c r="K322" s="198">
        <f t="shared" si="34"/>
        <v>0</v>
      </c>
      <c r="L322" s="198">
        <f>COUNTIF(J322:K322,"&lt;&gt;0")*-'Trading Model'!$E$15</f>
        <v>0</v>
      </c>
      <c r="M322" s="198">
        <f t="shared" si="32"/>
        <v>0</v>
      </c>
      <c r="N322" s="75">
        <f t="shared" si="35"/>
        <v>20</v>
      </c>
      <c r="O322" s="202">
        <f t="shared" si="36"/>
        <v>0</v>
      </c>
      <c r="P322" s="199">
        <f t="shared" si="33"/>
        <v>0</v>
      </c>
      <c r="Q322" s="203">
        <f t="shared" si="37"/>
        <v>84.70000000000087</v>
      </c>
      <c r="R322" s="201">
        <f>E322/B318-1</f>
        <v>4.6753246753246103E-3</v>
      </c>
      <c r="S322" s="201">
        <f t="shared" si="38"/>
        <v>-3.0927835051546282E-3</v>
      </c>
    </row>
    <row r="323" spans="1:19">
      <c r="A323" s="196">
        <v>40436</v>
      </c>
      <c r="B323" s="122">
        <v>19.209999</v>
      </c>
      <c r="C323" s="122">
        <v>19.299999</v>
      </c>
      <c r="D323" s="122">
        <v>18.850000000000001</v>
      </c>
      <c r="E323" s="122">
        <v>19.110001</v>
      </c>
      <c r="F323" s="122">
        <v>12.583133</v>
      </c>
      <c r="G323" s="197">
        <v>106400</v>
      </c>
      <c r="H323" s="198">
        <f>IF(AND(E322&gt;=H322,E323&gt;=E322),E322*(1+'Trading Model'!$E$13),IF(AND(E323&lt;E322,E322&gt;=H322),E323*(1+'Trading Model'!$E$13),H322))</f>
        <v>22.007998950000001</v>
      </c>
      <c r="I323" s="198">
        <f>IF(K323&gt;0,E323*(1-'Trading Model'!E333),IF(E323&lt;I322,I322*(1-'Trading Model'!$E$14),I322))</f>
        <v>14.818716724772075</v>
      </c>
      <c r="J323" s="198">
        <f t="shared" si="39"/>
        <v>0</v>
      </c>
      <c r="K323" s="198">
        <f t="shared" si="34"/>
        <v>0</v>
      </c>
      <c r="L323" s="198">
        <f>COUNTIF(J323:K323,"&lt;&gt;0")*-'Trading Model'!$E$15</f>
        <v>0</v>
      </c>
      <c r="M323" s="198">
        <f t="shared" ref="M323:M386" si="40">SUM(J323:L323)</f>
        <v>0</v>
      </c>
      <c r="N323" s="75">
        <f t="shared" si="35"/>
        <v>20</v>
      </c>
      <c r="O323" s="202">
        <f t="shared" si="36"/>
        <v>0</v>
      </c>
      <c r="P323" s="199">
        <f t="shared" ref="P323:P386" si="41">IFERROR(VLOOKUP(A323,Dividends,2,FALSE),$U$1)</f>
        <v>0</v>
      </c>
      <c r="Q323" s="203">
        <f t="shared" si="37"/>
        <v>84.600000000000875</v>
      </c>
      <c r="R323" s="160" t="s">
        <v>55</v>
      </c>
      <c r="S323" s="201">
        <f t="shared" si="38"/>
        <v>-1.189239917269902E-2</v>
      </c>
    </row>
    <row r="324" spans="1:19">
      <c r="A324" s="196">
        <v>40437</v>
      </c>
      <c r="B324" s="122">
        <v>19.02</v>
      </c>
      <c r="C324" s="122">
        <v>19.120000999999998</v>
      </c>
      <c r="D324" s="122">
        <v>18.799999</v>
      </c>
      <c r="E324" s="122">
        <v>19.059999000000001</v>
      </c>
      <c r="F324" s="122">
        <v>12.550209000000001</v>
      </c>
      <c r="G324" s="197">
        <v>110300</v>
      </c>
      <c r="H324" s="198">
        <f>IF(AND(E323&gt;=H323,E324&gt;=E323),E323*(1+'Trading Model'!$E$13),IF(AND(E324&lt;E323,E323&gt;=H323),E324*(1+'Trading Model'!$E$13),H323))</f>
        <v>22.007998950000001</v>
      </c>
      <c r="I324" s="198">
        <f>IF(K324&gt;0,E324*(1-'Trading Model'!E334),IF(E324&lt;I323,I323*(1-'Trading Model'!$E$14),I323))</f>
        <v>14.818716724772075</v>
      </c>
      <c r="J324" s="198">
        <f t="shared" si="39"/>
        <v>0</v>
      </c>
      <c r="K324" s="198">
        <f t="shared" ref="K324:K387" si="42">IF(E324&gt;=H324,E324,0)</f>
        <v>0</v>
      </c>
      <c r="L324" s="198">
        <f>COUNTIF(J324:K324,"&lt;&gt;0")*-'Trading Model'!$E$15</f>
        <v>0</v>
      </c>
      <c r="M324" s="198">
        <f t="shared" si="40"/>
        <v>0</v>
      </c>
      <c r="N324" s="75">
        <f t="shared" ref="N324:N387" si="43">IF(AND(J324&lt;0,K324&gt;0),N323,(IF(J324&lt;0,N323+1,IF(K324&gt;0,N323+1,N323))))</f>
        <v>20</v>
      </c>
      <c r="O324" s="202">
        <f t="shared" ref="O324:O387" si="44">P324</f>
        <v>0</v>
      </c>
      <c r="P324" s="199">
        <f t="shared" si="41"/>
        <v>0</v>
      </c>
      <c r="Q324" s="203">
        <f t="shared" ref="Q324:Q387" si="45">IF(E324&lt;E323,Q323-0.1,Q323)</f>
        <v>84.500000000000881</v>
      </c>
      <c r="R324" s="203" t="s">
        <v>55</v>
      </c>
      <c r="S324" s="201">
        <f t="shared" ref="S324:S387" si="46">E324/E323-1</f>
        <v>-2.6165357081875396E-3</v>
      </c>
    </row>
    <row r="325" spans="1:19">
      <c r="A325" s="196">
        <v>40438</v>
      </c>
      <c r="B325" s="122">
        <v>19.100000000000001</v>
      </c>
      <c r="C325" s="122">
        <v>19.549999</v>
      </c>
      <c r="D325" s="122">
        <v>19.100000000000001</v>
      </c>
      <c r="E325" s="122">
        <v>19.5</v>
      </c>
      <c r="F325" s="122">
        <v>12.839930000000001</v>
      </c>
      <c r="G325" s="197">
        <v>157000</v>
      </c>
      <c r="H325" s="198">
        <f>IF(AND(E324&gt;=H324,E325&gt;=E324),E324*(1+'Trading Model'!$E$13),IF(AND(E325&lt;E324,E324&gt;=H324),E325*(1+'Trading Model'!$E$13),H324))</f>
        <v>22.007998950000001</v>
      </c>
      <c r="I325" s="198">
        <f>IF(K325&gt;0,E325*(1-'Trading Model'!E335),IF(E325&lt;I324,I324*(1-'Trading Model'!$E$14),I324))</f>
        <v>14.818716724772075</v>
      </c>
      <c r="J325" s="198">
        <f t="shared" ref="J325:J388" si="47">IF(E325&gt;=H325,-E325,IF(E325&lt;=I324,-E325,0))</f>
        <v>0</v>
      </c>
      <c r="K325" s="198">
        <f t="shared" si="42"/>
        <v>0</v>
      </c>
      <c r="L325" s="198">
        <f>COUNTIF(J325:K325,"&lt;&gt;0")*-'Trading Model'!$E$15</f>
        <v>0</v>
      </c>
      <c r="M325" s="198">
        <f t="shared" si="40"/>
        <v>0</v>
      </c>
      <c r="N325" s="75">
        <f t="shared" si="43"/>
        <v>20</v>
      </c>
      <c r="O325" s="202">
        <f t="shared" si="44"/>
        <v>0</v>
      </c>
      <c r="P325" s="199">
        <f t="shared" si="41"/>
        <v>0</v>
      </c>
      <c r="Q325" s="203">
        <f t="shared" si="45"/>
        <v>84.500000000000881</v>
      </c>
      <c r="R325" s="203" t="s">
        <v>55</v>
      </c>
      <c r="S325" s="201">
        <f t="shared" si="46"/>
        <v>2.30850484304852E-2</v>
      </c>
    </row>
    <row r="326" spans="1:19">
      <c r="A326" s="196">
        <v>40441</v>
      </c>
      <c r="B326" s="122">
        <v>19.600000000000001</v>
      </c>
      <c r="C326" s="122">
        <v>20.09</v>
      </c>
      <c r="D326" s="122">
        <v>19.459999</v>
      </c>
      <c r="E326" s="122">
        <v>20.02</v>
      </c>
      <c r="F326" s="122">
        <v>13.182328999999999</v>
      </c>
      <c r="G326" s="197">
        <v>211400</v>
      </c>
      <c r="H326" s="198">
        <f>IF(AND(E325&gt;=H325,E326&gt;=E325),E325*(1+'Trading Model'!$E$13),IF(AND(E326&lt;E325,E325&gt;=H325),E326*(1+'Trading Model'!$E$13),H325))</f>
        <v>22.007998950000001</v>
      </c>
      <c r="I326" s="198">
        <f>IF(K326&gt;0,E326*(1-'Trading Model'!E336),IF(E326&lt;I325,I325*(1-'Trading Model'!$E$14),I325))</f>
        <v>14.818716724772075</v>
      </c>
      <c r="J326" s="198">
        <f t="shared" si="47"/>
        <v>0</v>
      </c>
      <c r="K326" s="198">
        <f t="shared" si="42"/>
        <v>0</v>
      </c>
      <c r="L326" s="198">
        <f>COUNTIF(J326:K326,"&lt;&gt;0")*-'Trading Model'!$E$15</f>
        <v>0</v>
      </c>
      <c r="M326" s="198">
        <f t="shared" si="40"/>
        <v>0</v>
      </c>
      <c r="N326" s="75">
        <f t="shared" si="43"/>
        <v>20</v>
      </c>
      <c r="O326" s="202">
        <f t="shared" si="44"/>
        <v>0</v>
      </c>
      <c r="P326" s="199">
        <f t="shared" si="41"/>
        <v>0</v>
      </c>
      <c r="Q326" s="203">
        <f t="shared" si="45"/>
        <v>84.500000000000881</v>
      </c>
      <c r="R326" s="203" t="s">
        <v>55</v>
      </c>
      <c r="S326" s="201">
        <f t="shared" si="46"/>
        <v>2.6666666666666616E-2</v>
      </c>
    </row>
    <row r="327" spans="1:19">
      <c r="A327" s="196">
        <v>40442</v>
      </c>
      <c r="B327" s="122">
        <v>20.299999</v>
      </c>
      <c r="C327" s="122">
        <v>20.57</v>
      </c>
      <c r="D327" s="122">
        <v>19.799999</v>
      </c>
      <c r="E327" s="122">
        <v>20.129999000000002</v>
      </c>
      <c r="F327" s="122">
        <v>13.254761</v>
      </c>
      <c r="G327" s="197">
        <v>118200</v>
      </c>
      <c r="H327" s="198">
        <f>IF(AND(E326&gt;=H326,E327&gt;=E326),E326*(1+'Trading Model'!$E$13),IF(AND(E327&lt;E326,E326&gt;=H326),E327*(1+'Trading Model'!$E$13),H326))</f>
        <v>22.007998950000001</v>
      </c>
      <c r="I327" s="198">
        <f>IF(K327&gt;0,E327*(1-'Trading Model'!E337),IF(E327&lt;I326,I326*(1-'Trading Model'!$E$14),I326))</f>
        <v>14.818716724772075</v>
      </c>
      <c r="J327" s="198">
        <f t="shared" si="47"/>
        <v>0</v>
      </c>
      <c r="K327" s="198">
        <f t="shared" si="42"/>
        <v>0</v>
      </c>
      <c r="L327" s="198">
        <f>COUNTIF(J327:K327,"&lt;&gt;0")*-'Trading Model'!$E$15</f>
        <v>0</v>
      </c>
      <c r="M327" s="198">
        <f t="shared" si="40"/>
        <v>0</v>
      </c>
      <c r="N327" s="75">
        <f t="shared" si="43"/>
        <v>20</v>
      </c>
      <c r="O327" s="202">
        <f t="shared" si="44"/>
        <v>0</v>
      </c>
      <c r="P327" s="199">
        <f t="shared" si="41"/>
        <v>0</v>
      </c>
      <c r="Q327" s="203">
        <f t="shared" si="45"/>
        <v>84.500000000000881</v>
      </c>
      <c r="R327" s="201">
        <f>E327/B323-1</f>
        <v>4.7891725553968145E-2</v>
      </c>
      <c r="S327" s="201">
        <f t="shared" si="46"/>
        <v>5.4944555444556009E-3</v>
      </c>
    </row>
    <row r="328" spans="1:19">
      <c r="A328" s="196">
        <v>40443</v>
      </c>
      <c r="B328" s="122">
        <v>20.110001</v>
      </c>
      <c r="C328" s="122">
        <v>20.18</v>
      </c>
      <c r="D328" s="122">
        <v>19.739999999999998</v>
      </c>
      <c r="E328" s="122">
        <v>19.98</v>
      </c>
      <c r="F328" s="122">
        <v>13.155991</v>
      </c>
      <c r="G328" s="197">
        <v>93800</v>
      </c>
      <c r="H328" s="198">
        <f>IF(AND(E327&gt;=H327,E328&gt;=E327),E327*(1+'Trading Model'!$E$13),IF(AND(E328&lt;E327,E327&gt;=H327),E328*(1+'Trading Model'!$E$13),H327))</f>
        <v>22.007998950000001</v>
      </c>
      <c r="I328" s="198">
        <f>IF(K328&gt;0,E328*(1-'Trading Model'!E338),IF(E328&lt;I327,I327*(1-'Trading Model'!$E$14),I327))</f>
        <v>14.818716724772075</v>
      </c>
      <c r="J328" s="198">
        <f t="shared" si="47"/>
        <v>0</v>
      </c>
      <c r="K328" s="198">
        <f t="shared" si="42"/>
        <v>0</v>
      </c>
      <c r="L328" s="198">
        <f>COUNTIF(J328:K328,"&lt;&gt;0")*-'Trading Model'!$E$15</f>
        <v>0</v>
      </c>
      <c r="M328" s="198">
        <f t="shared" si="40"/>
        <v>0</v>
      </c>
      <c r="N328" s="75">
        <f t="shared" si="43"/>
        <v>20</v>
      </c>
      <c r="O328" s="202">
        <f t="shared" si="44"/>
        <v>0</v>
      </c>
      <c r="P328" s="199">
        <f t="shared" si="41"/>
        <v>0</v>
      </c>
      <c r="Q328" s="203">
        <f t="shared" si="45"/>
        <v>84.400000000000887</v>
      </c>
      <c r="R328" s="160" t="s">
        <v>55</v>
      </c>
      <c r="S328" s="201">
        <f t="shared" si="46"/>
        <v>-7.4515155216848816E-3</v>
      </c>
    </row>
    <row r="329" spans="1:19">
      <c r="A329" s="196">
        <v>40444</v>
      </c>
      <c r="B329" s="122">
        <v>19.68</v>
      </c>
      <c r="C329" s="122">
        <v>20.450001</v>
      </c>
      <c r="D329" s="122">
        <v>19.670000000000002</v>
      </c>
      <c r="E329" s="122">
        <v>20.190000999999999</v>
      </c>
      <c r="F329" s="122">
        <v>13.294269</v>
      </c>
      <c r="G329" s="197">
        <v>165100</v>
      </c>
      <c r="H329" s="198">
        <f>IF(AND(E328&gt;=H328,E329&gt;=E328),E328*(1+'Trading Model'!$E$13),IF(AND(E329&lt;E328,E328&gt;=H328),E329*(1+'Trading Model'!$E$13),H328))</f>
        <v>22.007998950000001</v>
      </c>
      <c r="I329" s="198">
        <f>IF(K329&gt;0,E329*(1-'Trading Model'!E339),IF(E329&lt;I328,I328*(1-'Trading Model'!$E$14),I328))</f>
        <v>14.818716724772075</v>
      </c>
      <c r="J329" s="198">
        <f t="shared" si="47"/>
        <v>0</v>
      </c>
      <c r="K329" s="198">
        <f t="shared" si="42"/>
        <v>0</v>
      </c>
      <c r="L329" s="198">
        <f>COUNTIF(J329:K329,"&lt;&gt;0")*-'Trading Model'!$E$15</f>
        <v>0</v>
      </c>
      <c r="M329" s="198">
        <f t="shared" si="40"/>
        <v>0</v>
      </c>
      <c r="N329" s="75">
        <f t="shared" si="43"/>
        <v>20</v>
      </c>
      <c r="O329" s="202">
        <f t="shared" si="44"/>
        <v>0</v>
      </c>
      <c r="P329" s="199">
        <f t="shared" si="41"/>
        <v>0</v>
      </c>
      <c r="Q329" s="203">
        <f t="shared" si="45"/>
        <v>84.400000000000887</v>
      </c>
      <c r="R329" s="203" t="s">
        <v>55</v>
      </c>
      <c r="S329" s="201">
        <f t="shared" si="46"/>
        <v>1.0510560560560434E-2</v>
      </c>
    </row>
    <row r="330" spans="1:19">
      <c r="A330" s="196">
        <v>40445</v>
      </c>
      <c r="B330" s="122">
        <v>20.389999</v>
      </c>
      <c r="C330" s="122">
        <v>20.67</v>
      </c>
      <c r="D330" s="122">
        <v>20.260000000000002</v>
      </c>
      <c r="E330" s="122">
        <v>20.530000999999999</v>
      </c>
      <c r="F330" s="122">
        <v>13.518143</v>
      </c>
      <c r="G330" s="197">
        <v>86000</v>
      </c>
      <c r="H330" s="198">
        <f>IF(AND(E329&gt;=H329,E330&gt;=E329),E329*(1+'Trading Model'!$E$13),IF(AND(E330&lt;E329,E329&gt;=H329),E330*(1+'Trading Model'!$E$13),H329))</f>
        <v>22.007998950000001</v>
      </c>
      <c r="I330" s="198">
        <f>IF(K330&gt;0,E330*(1-'Trading Model'!E340),IF(E330&lt;I329,I329*(1-'Trading Model'!$E$14),I329))</f>
        <v>14.818716724772075</v>
      </c>
      <c r="J330" s="198">
        <f t="shared" si="47"/>
        <v>0</v>
      </c>
      <c r="K330" s="198">
        <f t="shared" si="42"/>
        <v>0</v>
      </c>
      <c r="L330" s="198">
        <f>COUNTIF(J330:K330,"&lt;&gt;0")*-'Trading Model'!$E$15</f>
        <v>0</v>
      </c>
      <c r="M330" s="198">
        <f t="shared" si="40"/>
        <v>0</v>
      </c>
      <c r="N330" s="75">
        <f t="shared" si="43"/>
        <v>20</v>
      </c>
      <c r="O330" s="202">
        <f t="shared" si="44"/>
        <v>0</v>
      </c>
      <c r="P330" s="199">
        <f t="shared" si="41"/>
        <v>0</v>
      </c>
      <c r="Q330" s="203">
        <f t="shared" si="45"/>
        <v>84.400000000000887</v>
      </c>
      <c r="R330" s="203" t="s">
        <v>55</v>
      </c>
      <c r="S330" s="201">
        <f t="shared" si="46"/>
        <v>1.6840018977710702E-2</v>
      </c>
    </row>
    <row r="331" spans="1:19">
      <c r="A331" s="196">
        <v>40448</v>
      </c>
      <c r="B331" s="122">
        <v>20.5</v>
      </c>
      <c r="C331" s="122">
        <v>20.799999</v>
      </c>
      <c r="D331" s="122">
        <v>20.389999</v>
      </c>
      <c r="E331" s="122">
        <v>20.67</v>
      </c>
      <c r="F331" s="122">
        <v>13.610328000000001</v>
      </c>
      <c r="G331" s="197">
        <v>75600</v>
      </c>
      <c r="H331" s="198">
        <f>IF(AND(E330&gt;=H330,E331&gt;=E330),E330*(1+'Trading Model'!$E$13),IF(AND(E331&lt;E330,E330&gt;=H330),E331*(1+'Trading Model'!$E$13),H330))</f>
        <v>22.007998950000001</v>
      </c>
      <c r="I331" s="198">
        <f>IF(K331&gt;0,E331*(1-'Trading Model'!E341),IF(E331&lt;I330,I330*(1-'Trading Model'!$E$14),I330))</f>
        <v>14.818716724772075</v>
      </c>
      <c r="J331" s="198">
        <f t="shared" si="47"/>
        <v>0</v>
      </c>
      <c r="K331" s="198">
        <f t="shared" si="42"/>
        <v>0</v>
      </c>
      <c r="L331" s="198">
        <f>COUNTIF(J331:K331,"&lt;&gt;0")*-'Trading Model'!$E$15</f>
        <v>0</v>
      </c>
      <c r="M331" s="198">
        <f t="shared" si="40"/>
        <v>0</v>
      </c>
      <c r="N331" s="75">
        <f t="shared" si="43"/>
        <v>20</v>
      </c>
      <c r="O331" s="202">
        <f t="shared" si="44"/>
        <v>0</v>
      </c>
      <c r="P331" s="199">
        <f t="shared" si="41"/>
        <v>0</v>
      </c>
      <c r="Q331" s="203">
        <f t="shared" si="45"/>
        <v>84.400000000000887</v>
      </c>
      <c r="R331" s="203" t="s">
        <v>55</v>
      </c>
      <c r="S331" s="201">
        <f t="shared" si="46"/>
        <v>6.8192398042261626E-3</v>
      </c>
    </row>
    <row r="332" spans="1:19">
      <c r="A332" s="196">
        <v>40449</v>
      </c>
      <c r="B332" s="122">
        <v>20.82</v>
      </c>
      <c r="C332" s="122">
        <v>22.16</v>
      </c>
      <c r="D332" s="122">
        <v>20.66</v>
      </c>
      <c r="E332" s="122">
        <v>22.09</v>
      </c>
      <c r="F332" s="122">
        <v>14.545339</v>
      </c>
      <c r="G332" s="197">
        <v>474400</v>
      </c>
      <c r="H332" s="198">
        <f>IF(AND(E331&gt;=H331,E332&gt;=E331),E331*(1+'Trading Model'!$E$13),IF(AND(E332&lt;E331,E331&gt;=H331),E332*(1+'Trading Model'!$E$13),H331))</f>
        <v>22.007998950000001</v>
      </c>
      <c r="I332" s="198">
        <f>IF(K332&gt;0,E332*(1-'Trading Model'!E342),IF(E332&lt;I331,I331*(1-'Trading Model'!$E$14),I331))</f>
        <v>22.09</v>
      </c>
      <c r="J332" s="198">
        <f t="shared" si="47"/>
        <v>-22.09</v>
      </c>
      <c r="K332" s="198">
        <f t="shared" si="42"/>
        <v>22.09</v>
      </c>
      <c r="L332" s="198">
        <f>COUNTIF(J332:K332,"&lt;&gt;0")*-'Trading Model'!$E$15</f>
        <v>-0.2</v>
      </c>
      <c r="M332" s="198">
        <f t="shared" si="40"/>
        <v>-0.2</v>
      </c>
      <c r="N332" s="75">
        <f t="shared" si="43"/>
        <v>20</v>
      </c>
      <c r="O332" s="202">
        <f t="shared" si="44"/>
        <v>0</v>
      </c>
      <c r="P332" s="199">
        <f t="shared" si="41"/>
        <v>0</v>
      </c>
      <c r="Q332" s="203">
        <f t="shared" si="45"/>
        <v>84.400000000000887</v>
      </c>
      <c r="R332" s="201">
        <f>E332/B328-1</f>
        <v>9.8458423746473178E-2</v>
      </c>
      <c r="S332" s="201">
        <f t="shared" si="46"/>
        <v>6.8698597000483641E-2</v>
      </c>
    </row>
    <row r="333" spans="1:19">
      <c r="A333" s="196">
        <v>40450</v>
      </c>
      <c r="B333" s="122">
        <v>22.24</v>
      </c>
      <c r="C333" s="122">
        <v>22.610001</v>
      </c>
      <c r="D333" s="122">
        <v>21.709999</v>
      </c>
      <c r="E333" s="122">
        <v>22.01</v>
      </c>
      <c r="F333" s="122">
        <v>14.492663</v>
      </c>
      <c r="G333" s="197">
        <v>278700</v>
      </c>
      <c r="H333" s="198">
        <f>IF(AND(E332&gt;=H332,E333&gt;=E332),E332*(1+'Trading Model'!$E$13),IF(AND(E333&lt;E332,E332&gt;=H332),E333*(1+'Trading Model'!$E$13),H332))</f>
        <v>23.110500000000002</v>
      </c>
      <c r="I333" s="198">
        <f>IF(K333&gt;0,E333*(1-'Trading Model'!E343),IF(E333&lt;I332,I332*(1-'Trading Model'!$E$14),I332))</f>
        <v>20.985499999999998</v>
      </c>
      <c r="J333" s="198">
        <f t="shared" si="47"/>
        <v>-22.01</v>
      </c>
      <c r="K333" s="198">
        <f t="shared" si="42"/>
        <v>0</v>
      </c>
      <c r="L333" s="198">
        <f>COUNTIF(J333:K333,"&lt;&gt;0")*-'Trading Model'!$E$15</f>
        <v>-0.1</v>
      </c>
      <c r="M333" s="198">
        <f t="shared" si="40"/>
        <v>-22.110000000000003</v>
      </c>
      <c r="N333" s="75">
        <f t="shared" si="43"/>
        <v>21</v>
      </c>
      <c r="O333" s="202">
        <f t="shared" si="44"/>
        <v>0</v>
      </c>
      <c r="P333" s="199">
        <f t="shared" si="41"/>
        <v>0</v>
      </c>
      <c r="Q333" s="203">
        <f t="shared" si="45"/>
        <v>84.300000000000892</v>
      </c>
      <c r="R333" s="160" t="s">
        <v>55</v>
      </c>
      <c r="S333" s="201">
        <f t="shared" si="46"/>
        <v>-3.6215482118604481E-3</v>
      </c>
    </row>
    <row r="334" spans="1:19">
      <c r="A334" s="196">
        <v>40451</v>
      </c>
      <c r="B334" s="122">
        <v>22.01</v>
      </c>
      <c r="C334" s="122">
        <v>22.450001</v>
      </c>
      <c r="D334" s="122">
        <v>21.16</v>
      </c>
      <c r="E334" s="122">
        <v>21.18</v>
      </c>
      <c r="F334" s="122">
        <v>13.946141000000001</v>
      </c>
      <c r="G334" s="197">
        <v>194900</v>
      </c>
      <c r="H334" s="198">
        <f>IF(AND(E333&gt;=H333,E334&gt;=E333),E333*(1+'Trading Model'!$E$13),IF(AND(E334&lt;E333,E333&gt;=H333),E334*(1+'Trading Model'!$E$13),H333))</f>
        <v>23.110500000000002</v>
      </c>
      <c r="I334" s="198">
        <f>IF(K334&gt;0,E334*(1-'Trading Model'!E344),IF(E334&lt;I333,I333*(1-'Trading Model'!$E$14),I333))</f>
        <v>20.985499999999998</v>
      </c>
      <c r="J334" s="198">
        <f t="shared" si="47"/>
        <v>0</v>
      </c>
      <c r="K334" s="198">
        <f t="shared" si="42"/>
        <v>0</v>
      </c>
      <c r="L334" s="198">
        <f>COUNTIF(J334:K334,"&lt;&gt;0")*-'Trading Model'!$E$15</f>
        <v>0</v>
      </c>
      <c r="M334" s="198">
        <f t="shared" si="40"/>
        <v>0</v>
      </c>
      <c r="N334" s="75">
        <f t="shared" si="43"/>
        <v>21</v>
      </c>
      <c r="O334" s="202">
        <f t="shared" si="44"/>
        <v>0</v>
      </c>
      <c r="P334" s="199">
        <f t="shared" si="41"/>
        <v>0</v>
      </c>
      <c r="Q334" s="203">
        <f t="shared" si="45"/>
        <v>84.200000000000898</v>
      </c>
      <c r="R334" s="203" t="s">
        <v>55</v>
      </c>
      <c r="S334" s="201">
        <f t="shared" si="46"/>
        <v>-3.7710131758291743E-2</v>
      </c>
    </row>
    <row r="335" spans="1:19">
      <c r="A335" s="196">
        <v>40452</v>
      </c>
      <c r="B335" s="122">
        <v>21.43</v>
      </c>
      <c r="C335" s="122">
        <v>21.59</v>
      </c>
      <c r="D335" s="122">
        <v>21.16</v>
      </c>
      <c r="E335" s="122">
        <v>21.58</v>
      </c>
      <c r="F335" s="122">
        <v>14.209524</v>
      </c>
      <c r="G335" s="197">
        <v>169300</v>
      </c>
      <c r="H335" s="198">
        <f>IF(AND(E334&gt;=H334,E335&gt;=E334),E334*(1+'Trading Model'!$E$13),IF(AND(E335&lt;E334,E334&gt;=H334),E335*(1+'Trading Model'!$E$13),H334))</f>
        <v>23.110500000000002</v>
      </c>
      <c r="I335" s="198">
        <f>IF(K335&gt;0,E335*(1-'Trading Model'!E345),IF(E335&lt;I334,I334*(1-'Trading Model'!$E$14),I334))</f>
        <v>20.985499999999998</v>
      </c>
      <c r="J335" s="198">
        <f t="shared" si="47"/>
        <v>0</v>
      </c>
      <c r="K335" s="198">
        <f t="shared" si="42"/>
        <v>0</v>
      </c>
      <c r="L335" s="198">
        <f>COUNTIF(J335:K335,"&lt;&gt;0")*-'Trading Model'!$E$15</f>
        <v>0</v>
      </c>
      <c r="M335" s="198">
        <f t="shared" si="40"/>
        <v>0</v>
      </c>
      <c r="N335" s="75">
        <f t="shared" si="43"/>
        <v>21</v>
      </c>
      <c r="O335" s="202">
        <f t="shared" si="44"/>
        <v>0</v>
      </c>
      <c r="P335" s="199">
        <f t="shared" si="41"/>
        <v>0</v>
      </c>
      <c r="Q335" s="203">
        <f t="shared" si="45"/>
        <v>84.200000000000898</v>
      </c>
      <c r="R335" s="203" t="s">
        <v>55</v>
      </c>
      <c r="S335" s="201">
        <f t="shared" si="46"/>
        <v>1.8885741265344702E-2</v>
      </c>
    </row>
    <row r="336" spans="1:19">
      <c r="A336" s="196">
        <v>40455</v>
      </c>
      <c r="B336" s="122">
        <v>21.700001</v>
      </c>
      <c r="C336" s="122">
        <v>22.1</v>
      </c>
      <c r="D336" s="122">
        <v>21.549999</v>
      </c>
      <c r="E336" s="122">
        <v>21.73</v>
      </c>
      <c r="F336" s="122">
        <v>14.308292</v>
      </c>
      <c r="G336" s="197">
        <v>173900</v>
      </c>
      <c r="H336" s="198">
        <f>IF(AND(E335&gt;=H335,E336&gt;=E335),E335*(1+'Trading Model'!$E$13),IF(AND(E336&lt;E335,E335&gt;=H335),E336*(1+'Trading Model'!$E$13),H335))</f>
        <v>23.110500000000002</v>
      </c>
      <c r="I336" s="198">
        <f>IF(K336&gt;0,E336*(1-'Trading Model'!E346),IF(E336&lt;I335,I335*(1-'Trading Model'!$E$14),I335))</f>
        <v>20.985499999999998</v>
      </c>
      <c r="J336" s="198">
        <f t="shared" si="47"/>
        <v>0</v>
      </c>
      <c r="K336" s="198">
        <f t="shared" si="42"/>
        <v>0</v>
      </c>
      <c r="L336" s="198">
        <f>COUNTIF(J336:K336,"&lt;&gt;0")*-'Trading Model'!$E$15</f>
        <v>0</v>
      </c>
      <c r="M336" s="198">
        <f t="shared" si="40"/>
        <v>0</v>
      </c>
      <c r="N336" s="75">
        <f t="shared" si="43"/>
        <v>21</v>
      </c>
      <c r="O336" s="202">
        <f t="shared" si="44"/>
        <v>0</v>
      </c>
      <c r="P336" s="199">
        <f t="shared" si="41"/>
        <v>0</v>
      </c>
      <c r="Q336" s="203">
        <f t="shared" si="45"/>
        <v>84.200000000000898</v>
      </c>
      <c r="R336" s="203" t="s">
        <v>55</v>
      </c>
      <c r="S336" s="201">
        <f t="shared" si="46"/>
        <v>6.9508804448563666E-3</v>
      </c>
    </row>
    <row r="337" spans="1:19">
      <c r="A337" s="196">
        <v>40456</v>
      </c>
      <c r="B337" s="122">
        <v>22.040001</v>
      </c>
      <c r="C337" s="122">
        <v>22.26</v>
      </c>
      <c r="D337" s="122">
        <v>21.940000999999999</v>
      </c>
      <c r="E337" s="122">
        <v>22.09</v>
      </c>
      <c r="F337" s="122">
        <v>14.545339</v>
      </c>
      <c r="G337" s="197">
        <v>131600</v>
      </c>
      <c r="H337" s="198">
        <f>IF(AND(E336&gt;=H336,E337&gt;=E336),E336*(1+'Trading Model'!$E$13),IF(AND(E337&lt;E336,E336&gt;=H336),E337*(1+'Trading Model'!$E$13),H336))</f>
        <v>23.110500000000002</v>
      </c>
      <c r="I337" s="198">
        <f>IF(K337&gt;0,E337*(1-'Trading Model'!E347),IF(E337&lt;I336,I336*(1-'Trading Model'!$E$14),I336))</f>
        <v>20.985499999999998</v>
      </c>
      <c r="J337" s="198">
        <f t="shared" si="47"/>
        <v>0</v>
      </c>
      <c r="K337" s="198">
        <f t="shared" si="42"/>
        <v>0</v>
      </c>
      <c r="L337" s="198">
        <f>COUNTIF(J337:K337,"&lt;&gt;0")*-'Trading Model'!$E$15</f>
        <v>0</v>
      </c>
      <c r="M337" s="198">
        <f t="shared" si="40"/>
        <v>0</v>
      </c>
      <c r="N337" s="75">
        <f t="shared" si="43"/>
        <v>21</v>
      </c>
      <c r="O337" s="202">
        <f t="shared" si="44"/>
        <v>0</v>
      </c>
      <c r="P337" s="199">
        <f t="shared" si="41"/>
        <v>0</v>
      </c>
      <c r="Q337" s="203">
        <f t="shared" si="45"/>
        <v>84.200000000000898</v>
      </c>
      <c r="R337" s="201">
        <f>E337/B333-1</f>
        <v>-6.7446043165466651E-3</v>
      </c>
      <c r="S337" s="201">
        <f t="shared" si="46"/>
        <v>1.656695812241149E-2</v>
      </c>
    </row>
    <row r="338" spans="1:19">
      <c r="A338" s="196">
        <v>40457</v>
      </c>
      <c r="B338" s="122">
        <v>22.16</v>
      </c>
      <c r="C338" s="122">
        <v>22.27</v>
      </c>
      <c r="D338" s="122">
        <v>21.709999</v>
      </c>
      <c r="E338" s="122">
        <v>21.83</v>
      </c>
      <c r="F338" s="122">
        <v>14.374140000000001</v>
      </c>
      <c r="G338" s="197">
        <v>78400</v>
      </c>
      <c r="H338" s="198">
        <f>IF(AND(E337&gt;=H337,E338&gt;=E337),E337*(1+'Trading Model'!$E$13),IF(AND(E338&lt;E337,E337&gt;=H337),E338*(1+'Trading Model'!$E$13),H337))</f>
        <v>23.110500000000002</v>
      </c>
      <c r="I338" s="198">
        <f>IF(K338&gt;0,E338*(1-'Trading Model'!E348),IF(E338&lt;I337,I337*(1-'Trading Model'!$E$14),I337))</f>
        <v>20.985499999999998</v>
      </c>
      <c r="J338" s="198">
        <f t="shared" si="47"/>
        <v>0</v>
      </c>
      <c r="K338" s="198">
        <f t="shared" si="42"/>
        <v>0</v>
      </c>
      <c r="L338" s="198">
        <f>COUNTIF(J338:K338,"&lt;&gt;0")*-'Trading Model'!$E$15</f>
        <v>0</v>
      </c>
      <c r="M338" s="198">
        <f t="shared" si="40"/>
        <v>0</v>
      </c>
      <c r="N338" s="75">
        <f t="shared" si="43"/>
        <v>21</v>
      </c>
      <c r="O338" s="202">
        <f t="shared" si="44"/>
        <v>0</v>
      </c>
      <c r="P338" s="199">
        <f t="shared" si="41"/>
        <v>0</v>
      </c>
      <c r="Q338" s="203">
        <f t="shared" si="45"/>
        <v>84.100000000000904</v>
      </c>
      <c r="R338" s="160" t="s">
        <v>55</v>
      </c>
      <c r="S338" s="201">
        <f t="shared" si="46"/>
        <v>-1.1770031688546956E-2</v>
      </c>
    </row>
    <row r="339" spans="1:19">
      <c r="A339" s="196">
        <v>40458</v>
      </c>
      <c r="B339" s="122">
        <v>21.93</v>
      </c>
      <c r="C339" s="122">
        <v>21.99</v>
      </c>
      <c r="D339" s="122">
        <v>21.540001</v>
      </c>
      <c r="E339" s="122">
        <v>21.610001</v>
      </c>
      <c r="F339" s="122">
        <v>14.229277</v>
      </c>
      <c r="G339" s="197">
        <v>80900</v>
      </c>
      <c r="H339" s="198">
        <f>IF(AND(E338&gt;=H338,E339&gt;=E338),E338*(1+'Trading Model'!$E$13),IF(AND(E339&lt;E338,E338&gt;=H338),E339*(1+'Trading Model'!$E$13),H338))</f>
        <v>23.110500000000002</v>
      </c>
      <c r="I339" s="198">
        <f>IF(K339&gt;0,E339*(1-'Trading Model'!E349),IF(E339&lt;I338,I338*(1-'Trading Model'!$E$14),I338))</f>
        <v>20.985499999999998</v>
      </c>
      <c r="J339" s="198">
        <f t="shared" si="47"/>
        <v>0</v>
      </c>
      <c r="K339" s="198">
        <f t="shared" si="42"/>
        <v>0</v>
      </c>
      <c r="L339" s="198">
        <f>COUNTIF(J339:K339,"&lt;&gt;0")*-'Trading Model'!$E$15</f>
        <v>0</v>
      </c>
      <c r="M339" s="198">
        <f t="shared" si="40"/>
        <v>0</v>
      </c>
      <c r="N339" s="75">
        <f t="shared" si="43"/>
        <v>21</v>
      </c>
      <c r="O339" s="202">
        <f t="shared" si="44"/>
        <v>0</v>
      </c>
      <c r="P339" s="199">
        <f t="shared" si="41"/>
        <v>0</v>
      </c>
      <c r="Q339" s="203">
        <f t="shared" si="45"/>
        <v>84.000000000000909</v>
      </c>
      <c r="R339" s="203" t="s">
        <v>55</v>
      </c>
      <c r="S339" s="201">
        <f t="shared" si="46"/>
        <v>-1.0077828676133715E-2</v>
      </c>
    </row>
    <row r="340" spans="1:19">
      <c r="A340" s="196">
        <v>40459</v>
      </c>
      <c r="B340" s="122">
        <v>21.74</v>
      </c>
      <c r="C340" s="122">
        <v>21.950001</v>
      </c>
      <c r="D340" s="122">
        <v>21.35</v>
      </c>
      <c r="E340" s="122">
        <v>21.82</v>
      </c>
      <c r="F340" s="122">
        <v>14.367556</v>
      </c>
      <c r="G340" s="197">
        <v>117100</v>
      </c>
      <c r="H340" s="198">
        <f>IF(AND(E339&gt;=H339,E340&gt;=E339),E339*(1+'Trading Model'!$E$13),IF(AND(E340&lt;E339,E339&gt;=H339),E340*(1+'Trading Model'!$E$13),H339))</f>
        <v>23.110500000000002</v>
      </c>
      <c r="I340" s="198">
        <f>IF(K340&gt;0,E340*(1-'Trading Model'!E350),IF(E340&lt;I339,I339*(1-'Trading Model'!$E$14),I339))</f>
        <v>20.985499999999998</v>
      </c>
      <c r="J340" s="198">
        <f t="shared" si="47"/>
        <v>0</v>
      </c>
      <c r="K340" s="198">
        <f t="shared" si="42"/>
        <v>0</v>
      </c>
      <c r="L340" s="198">
        <f>COUNTIF(J340:K340,"&lt;&gt;0")*-'Trading Model'!$E$15</f>
        <v>0</v>
      </c>
      <c r="M340" s="198">
        <f t="shared" si="40"/>
        <v>0</v>
      </c>
      <c r="N340" s="75">
        <f t="shared" si="43"/>
        <v>21</v>
      </c>
      <c r="O340" s="202">
        <f t="shared" si="44"/>
        <v>0</v>
      </c>
      <c r="P340" s="199">
        <f t="shared" si="41"/>
        <v>0</v>
      </c>
      <c r="Q340" s="203">
        <f t="shared" si="45"/>
        <v>84.000000000000909</v>
      </c>
      <c r="R340" s="203" t="s">
        <v>55</v>
      </c>
      <c r="S340" s="201">
        <f t="shared" si="46"/>
        <v>9.7176765517039687E-3</v>
      </c>
    </row>
    <row r="341" spans="1:19">
      <c r="A341" s="196">
        <v>40462</v>
      </c>
      <c r="B341" s="122">
        <v>21.76</v>
      </c>
      <c r="C341" s="122">
        <v>21.98</v>
      </c>
      <c r="D341" s="122">
        <v>21.73</v>
      </c>
      <c r="E341" s="122">
        <v>21.860001</v>
      </c>
      <c r="F341" s="122">
        <v>14.393894</v>
      </c>
      <c r="G341" s="197">
        <v>50000</v>
      </c>
      <c r="H341" s="198">
        <f>IF(AND(E340&gt;=H340,E341&gt;=E340),E340*(1+'Trading Model'!$E$13),IF(AND(E341&lt;E340,E340&gt;=H340),E341*(1+'Trading Model'!$E$13),H340))</f>
        <v>23.110500000000002</v>
      </c>
      <c r="I341" s="198">
        <f>IF(K341&gt;0,E341*(1-'Trading Model'!E351),IF(E341&lt;I340,I340*(1-'Trading Model'!$E$14),I340))</f>
        <v>20.985499999999998</v>
      </c>
      <c r="J341" s="198">
        <f t="shared" si="47"/>
        <v>0</v>
      </c>
      <c r="K341" s="198">
        <f t="shared" si="42"/>
        <v>0</v>
      </c>
      <c r="L341" s="198">
        <f>COUNTIF(J341:K341,"&lt;&gt;0")*-'Trading Model'!$E$15</f>
        <v>0</v>
      </c>
      <c r="M341" s="198">
        <f t="shared" si="40"/>
        <v>0</v>
      </c>
      <c r="N341" s="75">
        <f t="shared" si="43"/>
        <v>21</v>
      </c>
      <c r="O341" s="202">
        <f t="shared" si="44"/>
        <v>0</v>
      </c>
      <c r="P341" s="199">
        <f t="shared" si="41"/>
        <v>0</v>
      </c>
      <c r="Q341" s="203">
        <f t="shared" si="45"/>
        <v>84.000000000000909</v>
      </c>
      <c r="R341" s="203" t="s">
        <v>55</v>
      </c>
      <c r="S341" s="201">
        <f t="shared" si="46"/>
        <v>1.8332263978002583E-3</v>
      </c>
    </row>
    <row r="342" spans="1:19">
      <c r="A342" s="196">
        <v>40463</v>
      </c>
      <c r="B342" s="122">
        <v>21.85</v>
      </c>
      <c r="C342" s="122">
        <v>21.9</v>
      </c>
      <c r="D342" s="122">
        <v>21.450001</v>
      </c>
      <c r="E342" s="122">
        <v>21.75</v>
      </c>
      <c r="F342" s="122">
        <v>14.321462</v>
      </c>
      <c r="G342" s="197">
        <v>66900</v>
      </c>
      <c r="H342" s="198">
        <f>IF(AND(E341&gt;=H341,E342&gt;=E341),E341*(1+'Trading Model'!$E$13),IF(AND(E342&lt;E341,E341&gt;=H341),E342*(1+'Trading Model'!$E$13),H341))</f>
        <v>23.110500000000002</v>
      </c>
      <c r="I342" s="198">
        <f>IF(K342&gt;0,E342*(1-'Trading Model'!E352),IF(E342&lt;I341,I341*(1-'Trading Model'!$E$14),I341))</f>
        <v>20.985499999999998</v>
      </c>
      <c r="J342" s="198">
        <f t="shared" si="47"/>
        <v>0</v>
      </c>
      <c r="K342" s="198">
        <f t="shared" si="42"/>
        <v>0</v>
      </c>
      <c r="L342" s="198">
        <f>COUNTIF(J342:K342,"&lt;&gt;0")*-'Trading Model'!$E$15</f>
        <v>0</v>
      </c>
      <c r="M342" s="198">
        <f t="shared" si="40"/>
        <v>0</v>
      </c>
      <c r="N342" s="75">
        <f t="shared" si="43"/>
        <v>21</v>
      </c>
      <c r="O342" s="202">
        <f t="shared" si="44"/>
        <v>0</v>
      </c>
      <c r="P342" s="199">
        <f t="shared" si="41"/>
        <v>0</v>
      </c>
      <c r="Q342" s="203">
        <f t="shared" si="45"/>
        <v>83.900000000000915</v>
      </c>
      <c r="R342" s="201">
        <f>E342/B338-1</f>
        <v>-1.8501805054151665E-2</v>
      </c>
      <c r="S342" s="201">
        <f t="shared" si="46"/>
        <v>-5.0320674733729254E-3</v>
      </c>
    </row>
    <row r="343" spans="1:19">
      <c r="A343" s="196">
        <v>40464</v>
      </c>
      <c r="B343" s="122">
        <v>22.02</v>
      </c>
      <c r="C343" s="122">
        <v>22.34</v>
      </c>
      <c r="D343" s="122">
        <v>21.52</v>
      </c>
      <c r="E343" s="122">
        <v>22.139999</v>
      </c>
      <c r="F343" s="122">
        <v>14.578260999999999</v>
      </c>
      <c r="G343" s="197">
        <v>222000</v>
      </c>
      <c r="H343" s="198">
        <f>IF(AND(E342&gt;=H342,E343&gt;=E342),E342*(1+'Trading Model'!$E$13),IF(AND(E343&lt;E342,E342&gt;=H342),E343*(1+'Trading Model'!$E$13),H342))</f>
        <v>23.110500000000002</v>
      </c>
      <c r="I343" s="198">
        <f>IF(K343&gt;0,E343*(1-'Trading Model'!E353),IF(E343&lt;I342,I342*(1-'Trading Model'!$E$14),I342))</f>
        <v>20.985499999999998</v>
      </c>
      <c r="J343" s="198">
        <f t="shared" si="47"/>
        <v>0</v>
      </c>
      <c r="K343" s="198">
        <f t="shared" si="42"/>
        <v>0</v>
      </c>
      <c r="L343" s="198">
        <f>COUNTIF(J343:K343,"&lt;&gt;0")*-'Trading Model'!$E$15</f>
        <v>0</v>
      </c>
      <c r="M343" s="198">
        <f t="shared" si="40"/>
        <v>0</v>
      </c>
      <c r="N343" s="75">
        <f t="shared" si="43"/>
        <v>21</v>
      </c>
      <c r="O343" s="202">
        <f t="shared" si="44"/>
        <v>0</v>
      </c>
      <c r="P343" s="199">
        <f t="shared" si="41"/>
        <v>0</v>
      </c>
      <c r="Q343" s="203">
        <f t="shared" si="45"/>
        <v>83.900000000000915</v>
      </c>
      <c r="R343" s="160" t="s">
        <v>55</v>
      </c>
      <c r="S343" s="201">
        <f t="shared" si="46"/>
        <v>1.7930988505747036E-2</v>
      </c>
    </row>
    <row r="344" spans="1:19">
      <c r="A344" s="196">
        <v>40465</v>
      </c>
      <c r="B344" s="122">
        <v>22.27</v>
      </c>
      <c r="C344" s="122">
        <v>23.17</v>
      </c>
      <c r="D344" s="122">
        <v>22.27</v>
      </c>
      <c r="E344" s="122">
        <v>22.51</v>
      </c>
      <c r="F344" s="122">
        <v>14.821891000000001</v>
      </c>
      <c r="G344" s="197">
        <v>457600</v>
      </c>
      <c r="H344" s="198">
        <f>IF(AND(E343&gt;=H343,E344&gt;=E343),E343*(1+'Trading Model'!$E$13),IF(AND(E344&lt;E343,E343&gt;=H343),E344*(1+'Trading Model'!$E$13),H343))</f>
        <v>23.110500000000002</v>
      </c>
      <c r="I344" s="198">
        <f>IF(K344&gt;0,E344*(1-'Trading Model'!E354),IF(E344&lt;I343,I343*(1-'Trading Model'!$E$14),I343))</f>
        <v>20.985499999999998</v>
      </c>
      <c r="J344" s="198">
        <f t="shared" si="47"/>
        <v>0</v>
      </c>
      <c r="K344" s="198">
        <f t="shared" si="42"/>
        <v>0</v>
      </c>
      <c r="L344" s="198">
        <f>COUNTIF(J344:K344,"&lt;&gt;0")*-'Trading Model'!$E$15</f>
        <v>0</v>
      </c>
      <c r="M344" s="198">
        <f t="shared" si="40"/>
        <v>0</v>
      </c>
      <c r="N344" s="75">
        <f t="shared" si="43"/>
        <v>21</v>
      </c>
      <c r="O344" s="202">
        <f t="shared" si="44"/>
        <v>0</v>
      </c>
      <c r="P344" s="199">
        <f t="shared" si="41"/>
        <v>0</v>
      </c>
      <c r="Q344" s="203">
        <f t="shared" si="45"/>
        <v>83.900000000000915</v>
      </c>
      <c r="R344" s="203" t="s">
        <v>55</v>
      </c>
      <c r="S344" s="201">
        <f t="shared" si="46"/>
        <v>1.6711879706950317E-2</v>
      </c>
    </row>
    <row r="345" spans="1:19">
      <c r="A345" s="196">
        <v>40466</v>
      </c>
      <c r="B345" s="122">
        <v>22.92</v>
      </c>
      <c r="C345" s="122">
        <v>22.92</v>
      </c>
      <c r="D345" s="122">
        <v>22.4</v>
      </c>
      <c r="E345" s="122">
        <v>22.719999000000001</v>
      </c>
      <c r="F345" s="122">
        <v>14.960167</v>
      </c>
      <c r="G345" s="197">
        <v>298800</v>
      </c>
      <c r="H345" s="198">
        <f>IF(AND(E344&gt;=H344,E345&gt;=E344),E344*(1+'Trading Model'!$E$13),IF(AND(E345&lt;E344,E344&gt;=H344),E345*(1+'Trading Model'!$E$13),H344))</f>
        <v>23.110500000000002</v>
      </c>
      <c r="I345" s="198">
        <f>IF(K345&gt;0,E345*(1-'Trading Model'!E355),IF(E345&lt;I344,I344*(1-'Trading Model'!$E$14),I344))</f>
        <v>20.985499999999998</v>
      </c>
      <c r="J345" s="198">
        <f t="shared" si="47"/>
        <v>0</v>
      </c>
      <c r="K345" s="198">
        <f t="shared" si="42"/>
        <v>0</v>
      </c>
      <c r="L345" s="198">
        <f>COUNTIF(J345:K345,"&lt;&gt;0")*-'Trading Model'!$E$15</f>
        <v>0</v>
      </c>
      <c r="M345" s="198">
        <f t="shared" si="40"/>
        <v>0</v>
      </c>
      <c r="N345" s="75">
        <f t="shared" si="43"/>
        <v>21</v>
      </c>
      <c r="O345" s="202">
        <f t="shared" si="44"/>
        <v>0</v>
      </c>
      <c r="P345" s="199">
        <f t="shared" si="41"/>
        <v>0</v>
      </c>
      <c r="Q345" s="203">
        <f t="shared" si="45"/>
        <v>83.900000000000915</v>
      </c>
      <c r="R345" s="203" t="s">
        <v>55</v>
      </c>
      <c r="S345" s="201">
        <f t="shared" si="46"/>
        <v>9.3291426032873215E-3</v>
      </c>
    </row>
    <row r="346" spans="1:19">
      <c r="A346" s="196">
        <v>40469</v>
      </c>
      <c r="B346" s="122">
        <v>22.9</v>
      </c>
      <c r="C346" s="122">
        <v>22.950001</v>
      </c>
      <c r="D346" s="122">
        <v>22.469999000000001</v>
      </c>
      <c r="E346" s="122">
        <v>22.559999000000001</v>
      </c>
      <c r="F346" s="122">
        <v>14.854815</v>
      </c>
      <c r="G346" s="197">
        <v>82900</v>
      </c>
      <c r="H346" s="198">
        <f>IF(AND(E345&gt;=H345,E346&gt;=E345),E345*(1+'Trading Model'!$E$13),IF(AND(E346&lt;E345,E345&gt;=H345),E346*(1+'Trading Model'!$E$13),H345))</f>
        <v>23.110500000000002</v>
      </c>
      <c r="I346" s="198">
        <f>IF(K346&gt;0,E346*(1-'Trading Model'!E356),IF(E346&lt;I345,I345*(1-'Trading Model'!$E$14),I345))</f>
        <v>20.985499999999998</v>
      </c>
      <c r="J346" s="198">
        <f t="shared" si="47"/>
        <v>0</v>
      </c>
      <c r="K346" s="198">
        <f t="shared" si="42"/>
        <v>0</v>
      </c>
      <c r="L346" s="198">
        <f>COUNTIF(J346:K346,"&lt;&gt;0")*-'Trading Model'!$E$15</f>
        <v>0</v>
      </c>
      <c r="M346" s="198">
        <f t="shared" si="40"/>
        <v>0</v>
      </c>
      <c r="N346" s="75">
        <f t="shared" si="43"/>
        <v>21</v>
      </c>
      <c r="O346" s="202">
        <f t="shared" si="44"/>
        <v>0</v>
      </c>
      <c r="P346" s="199">
        <f t="shared" si="41"/>
        <v>0</v>
      </c>
      <c r="Q346" s="203">
        <f t="shared" si="45"/>
        <v>83.800000000000921</v>
      </c>
      <c r="R346" s="203" t="s">
        <v>55</v>
      </c>
      <c r="S346" s="201">
        <f t="shared" si="46"/>
        <v>-7.0422538310851435E-3</v>
      </c>
    </row>
    <row r="347" spans="1:19">
      <c r="A347" s="196">
        <v>40470</v>
      </c>
      <c r="B347" s="122">
        <v>22.27</v>
      </c>
      <c r="C347" s="122">
        <v>22.469999000000001</v>
      </c>
      <c r="D347" s="122">
        <v>21.82</v>
      </c>
      <c r="E347" s="122">
        <v>22.030000999999999</v>
      </c>
      <c r="F347" s="122">
        <v>14.505831000000001</v>
      </c>
      <c r="G347" s="197">
        <v>108200</v>
      </c>
      <c r="H347" s="198">
        <f>IF(AND(E346&gt;=H346,E347&gt;=E346),E346*(1+'Trading Model'!$E$13),IF(AND(E347&lt;E346,E346&gt;=H346),E347*(1+'Trading Model'!$E$13),H346))</f>
        <v>23.110500000000002</v>
      </c>
      <c r="I347" s="198">
        <f>IF(K347&gt;0,E347*(1-'Trading Model'!E357),IF(E347&lt;I346,I346*(1-'Trading Model'!$E$14),I346))</f>
        <v>20.985499999999998</v>
      </c>
      <c r="J347" s="198">
        <f t="shared" si="47"/>
        <v>0</v>
      </c>
      <c r="K347" s="198">
        <f t="shared" si="42"/>
        <v>0</v>
      </c>
      <c r="L347" s="198">
        <f>COUNTIF(J347:K347,"&lt;&gt;0")*-'Trading Model'!$E$15</f>
        <v>0</v>
      </c>
      <c r="M347" s="198">
        <f t="shared" si="40"/>
        <v>0</v>
      </c>
      <c r="N347" s="75">
        <f t="shared" si="43"/>
        <v>21</v>
      </c>
      <c r="O347" s="202">
        <f t="shared" si="44"/>
        <v>0</v>
      </c>
      <c r="P347" s="199">
        <f t="shared" si="41"/>
        <v>0</v>
      </c>
      <c r="Q347" s="203">
        <f t="shared" si="45"/>
        <v>83.700000000000927</v>
      </c>
      <c r="R347" s="201">
        <f>E347/B343-1</f>
        <v>4.5417801998182128E-4</v>
      </c>
      <c r="S347" s="201">
        <f t="shared" si="46"/>
        <v>-2.3492820190284647E-2</v>
      </c>
    </row>
    <row r="348" spans="1:19">
      <c r="A348" s="196">
        <v>40471</v>
      </c>
      <c r="B348" s="122">
        <v>22.25</v>
      </c>
      <c r="C348" s="122">
        <v>22.5</v>
      </c>
      <c r="D348" s="122">
        <v>22.209999</v>
      </c>
      <c r="E348" s="122">
        <v>22.440000999999999</v>
      </c>
      <c r="F348" s="122">
        <v>14.775798999999999</v>
      </c>
      <c r="G348" s="197">
        <v>109500</v>
      </c>
      <c r="H348" s="198">
        <f>IF(AND(E347&gt;=H347,E348&gt;=E347),E347*(1+'Trading Model'!$E$13),IF(AND(E348&lt;E347,E347&gt;=H347),E348*(1+'Trading Model'!$E$13),H347))</f>
        <v>23.110500000000002</v>
      </c>
      <c r="I348" s="198">
        <f>IF(K348&gt;0,E348*(1-'Trading Model'!E358),IF(E348&lt;I347,I347*(1-'Trading Model'!$E$14),I347))</f>
        <v>20.985499999999998</v>
      </c>
      <c r="J348" s="198">
        <f t="shared" si="47"/>
        <v>0</v>
      </c>
      <c r="K348" s="198">
        <f t="shared" si="42"/>
        <v>0</v>
      </c>
      <c r="L348" s="198">
        <f>COUNTIF(J348:K348,"&lt;&gt;0")*-'Trading Model'!$E$15</f>
        <v>0</v>
      </c>
      <c r="M348" s="198">
        <f t="shared" si="40"/>
        <v>0</v>
      </c>
      <c r="N348" s="75">
        <f t="shared" si="43"/>
        <v>21</v>
      </c>
      <c r="O348" s="202">
        <f t="shared" si="44"/>
        <v>0</v>
      </c>
      <c r="P348" s="199">
        <f t="shared" si="41"/>
        <v>0</v>
      </c>
      <c r="Q348" s="203">
        <f t="shared" si="45"/>
        <v>83.700000000000927</v>
      </c>
      <c r="R348" s="160" t="s">
        <v>55</v>
      </c>
      <c r="S348" s="201">
        <f t="shared" si="46"/>
        <v>1.861098417562479E-2</v>
      </c>
    </row>
    <row r="349" spans="1:19">
      <c r="A349" s="196">
        <v>40472</v>
      </c>
      <c r="B349" s="122">
        <v>22.629999000000002</v>
      </c>
      <c r="C349" s="122">
        <v>22.85</v>
      </c>
      <c r="D349" s="122">
        <v>22.389999</v>
      </c>
      <c r="E349" s="122">
        <v>22.58</v>
      </c>
      <c r="F349" s="122">
        <v>14.867984</v>
      </c>
      <c r="G349" s="197">
        <v>159800</v>
      </c>
      <c r="H349" s="198">
        <f>IF(AND(E348&gt;=H348,E349&gt;=E348),E348*(1+'Trading Model'!$E$13),IF(AND(E349&lt;E348,E348&gt;=H348),E349*(1+'Trading Model'!$E$13),H348))</f>
        <v>23.110500000000002</v>
      </c>
      <c r="I349" s="198">
        <f>IF(K349&gt;0,E349*(1-'Trading Model'!E359),IF(E349&lt;I348,I348*(1-'Trading Model'!$E$14),I348))</f>
        <v>20.985499999999998</v>
      </c>
      <c r="J349" s="198">
        <f t="shared" si="47"/>
        <v>0</v>
      </c>
      <c r="K349" s="198">
        <f t="shared" si="42"/>
        <v>0</v>
      </c>
      <c r="L349" s="198">
        <f>COUNTIF(J349:K349,"&lt;&gt;0")*-'Trading Model'!$E$15</f>
        <v>0</v>
      </c>
      <c r="M349" s="198">
        <f t="shared" si="40"/>
        <v>0</v>
      </c>
      <c r="N349" s="75">
        <f t="shared" si="43"/>
        <v>21</v>
      </c>
      <c r="O349" s="202">
        <f t="shared" si="44"/>
        <v>0</v>
      </c>
      <c r="P349" s="199">
        <f t="shared" si="41"/>
        <v>0</v>
      </c>
      <c r="Q349" s="203">
        <f t="shared" si="45"/>
        <v>83.700000000000927</v>
      </c>
      <c r="R349" s="203" t="s">
        <v>55</v>
      </c>
      <c r="S349" s="201">
        <f t="shared" si="46"/>
        <v>6.2388143387337447E-3</v>
      </c>
    </row>
    <row r="350" spans="1:19">
      <c r="A350" s="196">
        <v>40473</v>
      </c>
      <c r="B350" s="122">
        <v>22.75</v>
      </c>
      <c r="C350" s="122">
        <v>23.030000999999999</v>
      </c>
      <c r="D350" s="122">
        <v>22.65</v>
      </c>
      <c r="E350" s="122">
        <v>22.950001</v>
      </c>
      <c r="F350" s="122">
        <v>15.111613999999999</v>
      </c>
      <c r="G350" s="197">
        <v>62300</v>
      </c>
      <c r="H350" s="198">
        <f>IF(AND(E349&gt;=H349,E350&gt;=E349),E349*(1+'Trading Model'!$E$13),IF(AND(E350&lt;E349,E349&gt;=H349),E350*(1+'Trading Model'!$E$13),H349))</f>
        <v>23.110500000000002</v>
      </c>
      <c r="I350" s="198">
        <f>IF(K350&gt;0,E350*(1-'Trading Model'!E360),IF(E350&lt;I349,I349*(1-'Trading Model'!$E$14),I349))</f>
        <v>20.985499999999998</v>
      </c>
      <c r="J350" s="198">
        <f t="shared" si="47"/>
        <v>0</v>
      </c>
      <c r="K350" s="198">
        <f t="shared" si="42"/>
        <v>0</v>
      </c>
      <c r="L350" s="198">
        <f>COUNTIF(J350:K350,"&lt;&gt;0")*-'Trading Model'!$E$15</f>
        <v>0</v>
      </c>
      <c r="M350" s="198">
        <f t="shared" si="40"/>
        <v>0</v>
      </c>
      <c r="N350" s="75">
        <f t="shared" si="43"/>
        <v>21</v>
      </c>
      <c r="O350" s="202">
        <f t="shared" si="44"/>
        <v>0</v>
      </c>
      <c r="P350" s="199">
        <f t="shared" si="41"/>
        <v>0</v>
      </c>
      <c r="Q350" s="203">
        <f t="shared" si="45"/>
        <v>83.700000000000927</v>
      </c>
      <c r="R350" s="203" t="s">
        <v>55</v>
      </c>
      <c r="S350" s="201">
        <f t="shared" si="46"/>
        <v>1.6386226749335764E-2</v>
      </c>
    </row>
    <row r="351" spans="1:19">
      <c r="A351" s="196">
        <v>40476</v>
      </c>
      <c r="B351" s="122">
        <v>23.35</v>
      </c>
      <c r="C351" s="122">
        <v>23.440000999999999</v>
      </c>
      <c r="D351" s="122">
        <v>22.959999</v>
      </c>
      <c r="E351" s="122">
        <v>23.059999000000001</v>
      </c>
      <c r="F351" s="122">
        <v>15.184043000000001</v>
      </c>
      <c r="G351" s="197">
        <v>135100</v>
      </c>
      <c r="H351" s="198">
        <f>IF(AND(E350&gt;=H350,E351&gt;=E350),E350*(1+'Trading Model'!$E$13),IF(AND(E351&lt;E350,E350&gt;=H350),E351*(1+'Trading Model'!$E$13),H350))</f>
        <v>23.110500000000002</v>
      </c>
      <c r="I351" s="198">
        <f>IF(K351&gt;0,E351*(1-'Trading Model'!E361),IF(E351&lt;I350,I350*(1-'Trading Model'!$E$14),I350))</f>
        <v>20.985499999999998</v>
      </c>
      <c r="J351" s="198">
        <f t="shared" si="47"/>
        <v>0</v>
      </c>
      <c r="K351" s="198">
        <f t="shared" si="42"/>
        <v>0</v>
      </c>
      <c r="L351" s="198">
        <f>COUNTIF(J351:K351,"&lt;&gt;0")*-'Trading Model'!$E$15</f>
        <v>0</v>
      </c>
      <c r="M351" s="198">
        <f t="shared" si="40"/>
        <v>0</v>
      </c>
      <c r="N351" s="75">
        <f t="shared" si="43"/>
        <v>21</v>
      </c>
      <c r="O351" s="202">
        <f t="shared" si="44"/>
        <v>0</v>
      </c>
      <c r="P351" s="199">
        <f t="shared" si="41"/>
        <v>0</v>
      </c>
      <c r="Q351" s="203">
        <f t="shared" si="45"/>
        <v>83.700000000000927</v>
      </c>
      <c r="R351" s="203" t="s">
        <v>55</v>
      </c>
      <c r="S351" s="201">
        <f t="shared" si="46"/>
        <v>4.7929409676279455E-3</v>
      </c>
    </row>
    <row r="352" spans="1:19">
      <c r="A352" s="196">
        <v>40477</v>
      </c>
      <c r="B352" s="122">
        <v>22.809999000000001</v>
      </c>
      <c r="C352" s="122">
        <v>23.040001</v>
      </c>
      <c r="D352" s="122">
        <v>22.58</v>
      </c>
      <c r="E352" s="122">
        <v>22.780000999999999</v>
      </c>
      <c r="F352" s="122">
        <v>14.999675</v>
      </c>
      <c r="G352" s="197">
        <v>105500</v>
      </c>
      <c r="H352" s="198">
        <f>IF(AND(E351&gt;=H351,E352&gt;=E351),E351*(1+'Trading Model'!$E$13),IF(AND(E352&lt;E351,E351&gt;=H351),E352*(1+'Trading Model'!$E$13),H351))</f>
        <v>23.110500000000002</v>
      </c>
      <c r="I352" s="198">
        <f>IF(K352&gt;0,E352*(1-'Trading Model'!E362),IF(E352&lt;I351,I351*(1-'Trading Model'!$E$14),I351))</f>
        <v>20.985499999999998</v>
      </c>
      <c r="J352" s="198">
        <f t="shared" si="47"/>
        <v>0</v>
      </c>
      <c r="K352" s="198">
        <f t="shared" si="42"/>
        <v>0</v>
      </c>
      <c r="L352" s="198">
        <f>COUNTIF(J352:K352,"&lt;&gt;0")*-'Trading Model'!$E$15</f>
        <v>0</v>
      </c>
      <c r="M352" s="198">
        <f t="shared" si="40"/>
        <v>0</v>
      </c>
      <c r="N352" s="75">
        <f t="shared" si="43"/>
        <v>21</v>
      </c>
      <c r="O352" s="202">
        <f t="shared" si="44"/>
        <v>0</v>
      </c>
      <c r="P352" s="199">
        <f t="shared" si="41"/>
        <v>0</v>
      </c>
      <c r="Q352" s="203">
        <f t="shared" si="45"/>
        <v>83.600000000000932</v>
      </c>
      <c r="R352" s="201">
        <f>E352/B348-1</f>
        <v>2.3820269662921278E-2</v>
      </c>
      <c r="S352" s="201">
        <f t="shared" si="46"/>
        <v>-1.2142151437213977E-2</v>
      </c>
    </row>
    <row r="353" spans="1:19">
      <c r="A353" s="196">
        <v>40478</v>
      </c>
      <c r="B353" s="122">
        <v>22.58</v>
      </c>
      <c r="C353" s="122">
        <v>27.15</v>
      </c>
      <c r="D353" s="122">
        <v>22.58</v>
      </c>
      <c r="E353" s="122">
        <v>24.450001</v>
      </c>
      <c r="F353" s="122">
        <v>16.099299999999999</v>
      </c>
      <c r="G353" s="197">
        <v>3480600</v>
      </c>
      <c r="H353" s="198">
        <f>IF(AND(E352&gt;=H352,E353&gt;=E352),E352*(1+'Trading Model'!$E$13),IF(AND(E353&lt;E352,E352&gt;=H352),E353*(1+'Trading Model'!$E$13),H352))</f>
        <v>23.110500000000002</v>
      </c>
      <c r="I353" s="198">
        <f>IF(K353&gt;0,E353*(1-'Trading Model'!E363),IF(E353&lt;I352,I352*(1-'Trading Model'!$E$14),I352))</f>
        <v>24.450001</v>
      </c>
      <c r="J353" s="198">
        <f t="shared" si="47"/>
        <v>-24.450001</v>
      </c>
      <c r="K353" s="198">
        <f t="shared" si="42"/>
        <v>24.450001</v>
      </c>
      <c r="L353" s="198">
        <f>COUNTIF(J353:K353,"&lt;&gt;0")*-'Trading Model'!$E$15</f>
        <v>-0.2</v>
      </c>
      <c r="M353" s="198">
        <f t="shared" si="40"/>
        <v>-0.2</v>
      </c>
      <c r="N353" s="75">
        <f t="shared" si="43"/>
        <v>21</v>
      </c>
      <c r="O353" s="202">
        <f t="shared" si="44"/>
        <v>0</v>
      </c>
      <c r="P353" s="199">
        <f t="shared" si="41"/>
        <v>0</v>
      </c>
      <c r="Q353" s="203">
        <f t="shared" si="45"/>
        <v>83.600000000000932</v>
      </c>
      <c r="R353" s="160" t="s">
        <v>55</v>
      </c>
      <c r="S353" s="201">
        <f t="shared" si="46"/>
        <v>7.3309917765148613E-2</v>
      </c>
    </row>
    <row r="354" spans="1:19">
      <c r="A354" s="196">
        <v>40479</v>
      </c>
      <c r="B354" s="122">
        <v>24.84</v>
      </c>
      <c r="C354" s="122">
        <v>25.440000999999999</v>
      </c>
      <c r="D354" s="122">
        <v>23.33</v>
      </c>
      <c r="E354" s="122">
        <v>23.49</v>
      </c>
      <c r="F354" s="122">
        <v>15.467180000000001</v>
      </c>
      <c r="G354" s="197">
        <v>608700</v>
      </c>
      <c r="H354" s="198">
        <f>IF(AND(E353&gt;=H353,E354&gt;=E353),E353*(1+'Trading Model'!$E$13),IF(AND(E354&lt;E353,E353&gt;=H353),E354*(1+'Trading Model'!$E$13),H353))</f>
        <v>24.6645</v>
      </c>
      <c r="I354" s="198">
        <f>IF(K354&gt;0,E354*(1-'Trading Model'!E364),IF(E354&lt;I353,I353*(1-'Trading Model'!$E$14),I353))</f>
        <v>23.22750095</v>
      </c>
      <c r="J354" s="198">
        <f t="shared" si="47"/>
        <v>-23.49</v>
      </c>
      <c r="K354" s="198">
        <f t="shared" si="42"/>
        <v>0</v>
      </c>
      <c r="L354" s="198">
        <f>COUNTIF(J354:K354,"&lt;&gt;0")*-'Trading Model'!$E$15</f>
        <v>-0.1</v>
      </c>
      <c r="M354" s="198">
        <f t="shared" si="40"/>
        <v>-23.59</v>
      </c>
      <c r="N354" s="75">
        <f t="shared" si="43"/>
        <v>22</v>
      </c>
      <c r="O354" s="202">
        <f t="shared" si="44"/>
        <v>0</v>
      </c>
      <c r="P354" s="199">
        <f t="shared" si="41"/>
        <v>0</v>
      </c>
      <c r="Q354" s="203">
        <f t="shared" si="45"/>
        <v>83.500000000000938</v>
      </c>
      <c r="R354" s="203" t="s">
        <v>55</v>
      </c>
      <c r="S354" s="201">
        <f t="shared" si="46"/>
        <v>-3.9263842974894048E-2</v>
      </c>
    </row>
    <row r="355" spans="1:19">
      <c r="A355" s="196">
        <v>40480</v>
      </c>
      <c r="B355" s="122">
        <v>23.4</v>
      </c>
      <c r="C355" s="122">
        <v>23.99</v>
      </c>
      <c r="D355" s="122">
        <v>23.129999000000002</v>
      </c>
      <c r="E355" s="122">
        <v>23.84</v>
      </c>
      <c r="F355" s="122">
        <v>15.697639000000001</v>
      </c>
      <c r="G355" s="197">
        <v>206000</v>
      </c>
      <c r="H355" s="198">
        <f>IF(AND(E354&gt;=H354,E355&gt;=E354),E354*(1+'Trading Model'!$E$13),IF(AND(E355&lt;E354,E354&gt;=H354),E355*(1+'Trading Model'!$E$13),H354))</f>
        <v>24.6645</v>
      </c>
      <c r="I355" s="198">
        <f>IF(K355&gt;0,E355*(1-'Trading Model'!E365),IF(E355&lt;I354,I354*(1-'Trading Model'!$E$14),I354))</f>
        <v>23.22750095</v>
      </c>
      <c r="J355" s="198">
        <f t="shared" si="47"/>
        <v>0</v>
      </c>
      <c r="K355" s="198">
        <f t="shared" si="42"/>
        <v>0</v>
      </c>
      <c r="L355" s="198">
        <f>COUNTIF(J355:K355,"&lt;&gt;0")*-'Trading Model'!$E$15</f>
        <v>0</v>
      </c>
      <c r="M355" s="198">
        <f t="shared" si="40"/>
        <v>0</v>
      </c>
      <c r="N355" s="75">
        <f t="shared" si="43"/>
        <v>22</v>
      </c>
      <c r="O355" s="202">
        <f t="shared" si="44"/>
        <v>0</v>
      </c>
      <c r="P355" s="199">
        <f t="shared" si="41"/>
        <v>0</v>
      </c>
      <c r="Q355" s="203">
        <f t="shared" si="45"/>
        <v>83.500000000000938</v>
      </c>
      <c r="R355" s="203" t="s">
        <v>55</v>
      </c>
      <c r="S355" s="201">
        <f t="shared" si="46"/>
        <v>1.4899957428693211E-2</v>
      </c>
    </row>
    <row r="356" spans="1:19">
      <c r="A356" s="196">
        <v>40483</v>
      </c>
      <c r="B356" s="122">
        <v>23.950001</v>
      </c>
      <c r="C356" s="122">
        <v>24.32</v>
      </c>
      <c r="D356" s="122">
        <v>23.67</v>
      </c>
      <c r="E356" s="122">
        <v>23.76</v>
      </c>
      <c r="F356" s="122">
        <v>15.644962</v>
      </c>
      <c r="G356" s="197">
        <v>239300</v>
      </c>
      <c r="H356" s="198">
        <f>IF(AND(E355&gt;=H355,E356&gt;=E355),E355*(1+'Trading Model'!$E$13),IF(AND(E356&lt;E355,E355&gt;=H355),E356*(1+'Trading Model'!$E$13),H355))</f>
        <v>24.6645</v>
      </c>
      <c r="I356" s="198">
        <f>IF(K356&gt;0,E356*(1-'Trading Model'!E366),IF(E356&lt;I355,I355*(1-'Trading Model'!$E$14),I355))</f>
        <v>23.22750095</v>
      </c>
      <c r="J356" s="198">
        <f t="shared" si="47"/>
        <v>0</v>
      </c>
      <c r="K356" s="198">
        <f t="shared" si="42"/>
        <v>0</v>
      </c>
      <c r="L356" s="198">
        <f>COUNTIF(J356:K356,"&lt;&gt;0")*-'Trading Model'!$E$15</f>
        <v>0</v>
      </c>
      <c r="M356" s="198">
        <f t="shared" si="40"/>
        <v>0</v>
      </c>
      <c r="N356" s="75">
        <f t="shared" si="43"/>
        <v>22</v>
      </c>
      <c r="O356" s="202">
        <f t="shared" si="44"/>
        <v>0</v>
      </c>
      <c r="P356" s="199">
        <f t="shared" si="41"/>
        <v>0</v>
      </c>
      <c r="Q356" s="203">
        <f t="shared" si="45"/>
        <v>83.400000000000944</v>
      </c>
      <c r="R356" s="203" t="s">
        <v>55</v>
      </c>
      <c r="S356" s="201">
        <f t="shared" si="46"/>
        <v>-3.3557046979865168E-3</v>
      </c>
    </row>
    <row r="357" spans="1:19">
      <c r="A357" s="196">
        <v>40484</v>
      </c>
      <c r="B357" s="122">
        <v>23.74</v>
      </c>
      <c r="C357" s="122">
        <v>24.6</v>
      </c>
      <c r="D357" s="122">
        <v>23.74</v>
      </c>
      <c r="E357" s="122">
        <v>24.33</v>
      </c>
      <c r="F357" s="122">
        <v>16.020285000000001</v>
      </c>
      <c r="G357" s="197">
        <v>190400</v>
      </c>
      <c r="H357" s="198">
        <f>IF(AND(E356&gt;=H356,E357&gt;=E356),E356*(1+'Trading Model'!$E$13),IF(AND(E357&lt;E356,E356&gt;=H356),E357*(1+'Trading Model'!$E$13),H356))</f>
        <v>24.6645</v>
      </c>
      <c r="I357" s="198">
        <f>IF(K357&gt;0,E357*(1-'Trading Model'!E367),IF(E357&lt;I356,I356*(1-'Trading Model'!$E$14),I356))</f>
        <v>23.22750095</v>
      </c>
      <c r="J357" s="198">
        <f t="shared" si="47"/>
        <v>0</v>
      </c>
      <c r="K357" s="198">
        <f t="shared" si="42"/>
        <v>0</v>
      </c>
      <c r="L357" s="198">
        <f>COUNTIF(J357:K357,"&lt;&gt;0")*-'Trading Model'!$E$15</f>
        <v>0</v>
      </c>
      <c r="M357" s="198">
        <f t="shared" si="40"/>
        <v>0</v>
      </c>
      <c r="N357" s="75">
        <f t="shared" si="43"/>
        <v>22</v>
      </c>
      <c r="O357" s="202">
        <f t="shared" si="44"/>
        <v>0</v>
      </c>
      <c r="P357" s="199">
        <f t="shared" si="41"/>
        <v>0</v>
      </c>
      <c r="Q357" s="203">
        <f t="shared" si="45"/>
        <v>83.400000000000944</v>
      </c>
      <c r="R357" s="201">
        <f>E357/B353-1</f>
        <v>7.7502214348981413E-2</v>
      </c>
      <c r="S357" s="201">
        <f t="shared" si="46"/>
        <v>2.3989898989898784E-2</v>
      </c>
    </row>
    <row r="358" spans="1:19">
      <c r="A358" s="196">
        <v>40485</v>
      </c>
      <c r="B358" s="122">
        <v>24.27</v>
      </c>
      <c r="C358" s="122">
        <v>25.34</v>
      </c>
      <c r="D358" s="122">
        <v>24.17</v>
      </c>
      <c r="E358" s="122">
        <v>25.059999000000001</v>
      </c>
      <c r="F358" s="122">
        <v>16.500959000000002</v>
      </c>
      <c r="G358" s="197">
        <v>177000</v>
      </c>
      <c r="H358" s="198">
        <f>IF(AND(E357&gt;=H357,E358&gt;=E357),E357*(1+'Trading Model'!$E$13),IF(AND(E358&lt;E357,E357&gt;=H357),E358*(1+'Trading Model'!$E$13),H357))</f>
        <v>24.6645</v>
      </c>
      <c r="I358" s="198">
        <f>IF(K358&gt;0,E358*(1-'Trading Model'!E368),IF(E358&lt;I357,I357*(1-'Trading Model'!$E$14),I357))</f>
        <v>25.059999000000001</v>
      </c>
      <c r="J358" s="198">
        <f t="shared" si="47"/>
        <v>-25.059999000000001</v>
      </c>
      <c r="K358" s="198">
        <f t="shared" si="42"/>
        <v>25.059999000000001</v>
      </c>
      <c r="L358" s="198">
        <f>COUNTIF(J358:K358,"&lt;&gt;0")*-'Trading Model'!$E$15</f>
        <v>-0.2</v>
      </c>
      <c r="M358" s="198">
        <f t="shared" si="40"/>
        <v>-0.2</v>
      </c>
      <c r="N358" s="75">
        <f t="shared" si="43"/>
        <v>22</v>
      </c>
      <c r="O358" s="202">
        <f t="shared" si="44"/>
        <v>0</v>
      </c>
      <c r="P358" s="199">
        <f t="shared" si="41"/>
        <v>0</v>
      </c>
      <c r="Q358" s="203">
        <f t="shared" si="45"/>
        <v>83.400000000000944</v>
      </c>
      <c r="R358" s="160" t="s">
        <v>55</v>
      </c>
      <c r="S358" s="201">
        <f t="shared" si="46"/>
        <v>3.0004069050554971E-2</v>
      </c>
    </row>
    <row r="359" spans="1:19">
      <c r="A359" s="196">
        <v>40486</v>
      </c>
      <c r="B359" s="122">
        <v>25.27</v>
      </c>
      <c r="C359" s="122">
        <v>26.01</v>
      </c>
      <c r="D359" s="122">
        <v>25.200001</v>
      </c>
      <c r="E359" s="122">
        <v>25.6</v>
      </c>
      <c r="F359" s="122">
        <v>16.856521999999998</v>
      </c>
      <c r="G359" s="197">
        <v>408000</v>
      </c>
      <c r="H359" s="198">
        <f>IF(AND(E358&gt;=H358,E359&gt;=E358),E358*(1+'Trading Model'!$E$13),IF(AND(E359&lt;E358,E358&gt;=H358),E359*(1+'Trading Model'!$E$13),H358))</f>
        <v>26.312998950000001</v>
      </c>
      <c r="I359" s="198">
        <f>IF(K359&gt;0,E359*(1-'Trading Model'!E369),IF(E359&lt;I358,I358*(1-'Trading Model'!$E$14),I358))</f>
        <v>25.059999000000001</v>
      </c>
      <c r="J359" s="198">
        <f t="shared" si="47"/>
        <v>0</v>
      </c>
      <c r="K359" s="198">
        <f t="shared" si="42"/>
        <v>0</v>
      </c>
      <c r="L359" s="198">
        <f>COUNTIF(J359:K359,"&lt;&gt;0")*-'Trading Model'!$E$15</f>
        <v>0</v>
      </c>
      <c r="M359" s="198">
        <f t="shared" si="40"/>
        <v>0</v>
      </c>
      <c r="N359" s="75">
        <f t="shared" si="43"/>
        <v>22</v>
      </c>
      <c r="O359" s="202">
        <f t="shared" si="44"/>
        <v>0</v>
      </c>
      <c r="P359" s="199">
        <f t="shared" si="41"/>
        <v>0</v>
      </c>
      <c r="Q359" s="203">
        <f t="shared" si="45"/>
        <v>83.400000000000944</v>
      </c>
      <c r="R359" s="203" t="s">
        <v>55</v>
      </c>
      <c r="S359" s="201">
        <f t="shared" si="46"/>
        <v>2.1548324882215697E-2</v>
      </c>
    </row>
    <row r="360" spans="1:19">
      <c r="A360" s="196">
        <v>40487</v>
      </c>
      <c r="B360" s="122">
        <v>25.549999</v>
      </c>
      <c r="C360" s="122">
        <v>25.76</v>
      </c>
      <c r="D360" s="122">
        <v>25.18</v>
      </c>
      <c r="E360" s="122">
        <v>25.440000999999999</v>
      </c>
      <c r="F360" s="122">
        <v>16.751176999999998</v>
      </c>
      <c r="G360" s="197">
        <v>194000</v>
      </c>
      <c r="H360" s="198">
        <f>IF(AND(E359&gt;=H359,E360&gt;=E359),E359*(1+'Trading Model'!$E$13),IF(AND(E360&lt;E359,E359&gt;=H359),E360*(1+'Trading Model'!$E$13),H359))</f>
        <v>26.312998950000001</v>
      </c>
      <c r="I360" s="198">
        <f>IF(K360&gt;0,E360*(1-'Trading Model'!E370),IF(E360&lt;I359,I359*(1-'Trading Model'!$E$14),I359))</f>
        <v>25.059999000000001</v>
      </c>
      <c r="J360" s="198">
        <f t="shared" si="47"/>
        <v>0</v>
      </c>
      <c r="K360" s="198">
        <f t="shared" si="42"/>
        <v>0</v>
      </c>
      <c r="L360" s="198">
        <f>COUNTIF(J360:K360,"&lt;&gt;0")*-'Trading Model'!$E$15</f>
        <v>0</v>
      </c>
      <c r="M360" s="198">
        <f t="shared" si="40"/>
        <v>0</v>
      </c>
      <c r="N360" s="75">
        <f t="shared" si="43"/>
        <v>22</v>
      </c>
      <c r="O360" s="202">
        <f t="shared" si="44"/>
        <v>0</v>
      </c>
      <c r="P360" s="199">
        <f t="shared" si="41"/>
        <v>0</v>
      </c>
      <c r="Q360" s="203">
        <f t="shared" si="45"/>
        <v>83.300000000000949</v>
      </c>
      <c r="R360" s="203" t="s">
        <v>55</v>
      </c>
      <c r="S360" s="201">
        <f t="shared" si="46"/>
        <v>-6.2499609375000764E-3</v>
      </c>
    </row>
    <row r="361" spans="1:19">
      <c r="A361" s="196">
        <v>40490</v>
      </c>
      <c r="B361" s="122">
        <v>25.6</v>
      </c>
      <c r="C361" s="122">
        <v>25.6</v>
      </c>
      <c r="D361" s="122">
        <v>24.49</v>
      </c>
      <c r="E361" s="122">
        <v>24.5</v>
      </c>
      <c r="F361" s="122">
        <v>16.132223</v>
      </c>
      <c r="G361" s="197">
        <v>312600</v>
      </c>
      <c r="H361" s="198">
        <f>IF(AND(E360&gt;=H360,E361&gt;=E360),E360*(1+'Trading Model'!$E$13),IF(AND(E361&lt;E360,E360&gt;=H360),E361*(1+'Trading Model'!$E$13),H360))</f>
        <v>26.312998950000001</v>
      </c>
      <c r="I361" s="198">
        <f>IF(K361&gt;0,E361*(1-'Trading Model'!E371),IF(E361&lt;I360,I360*(1-'Trading Model'!$E$14),I360))</f>
        <v>23.806999050000002</v>
      </c>
      <c r="J361" s="198">
        <f t="shared" si="47"/>
        <v>-24.5</v>
      </c>
      <c r="K361" s="198">
        <f t="shared" si="42"/>
        <v>0</v>
      </c>
      <c r="L361" s="198">
        <f>COUNTIF(J361:K361,"&lt;&gt;0")*-'Trading Model'!$E$15</f>
        <v>-0.1</v>
      </c>
      <c r="M361" s="198">
        <f t="shared" si="40"/>
        <v>-24.6</v>
      </c>
      <c r="N361" s="75">
        <f t="shared" si="43"/>
        <v>23</v>
      </c>
      <c r="O361" s="202">
        <f t="shared" si="44"/>
        <v>0</v>
      </c>
      <c r="P361" s="199">
        <f t="shared" si="41"/>
        <v>0</v>
      </c>
      <c r="Q361" s="203">
        <f t="shared" si="45"/>
        <v>83.200000000000955</v>
      </c>
      <c r="R361" s="203" t="s">
        <v>55</v>
      </c>
      <c r="S361" s="201">
        <f t="shared" si="46"/>
        <v>-3.6949723390340972E-2</v>
      </c>
    </row>
    <row r="362" spans="1:19">
      <c r="A362" s="196">
        <v>40491</v>
      </c>
      <c r="B362" s="122">
        <v>24.76</v>
      </c>
      <c r="C362" s="122">
        <v>24.809999000000001</v>
      </c>
      <c r="D362" s="122">
        <v>23.879999000000002</v>
      </c>
      <c r="E362" s="122">
        <v>24.08</v>
      </c>
      <c r="F362" s="122">
        <v>15.855672999999999</v>
      </c>
      <c r="G362" s="197">
        <v>408400</v>
      </c>
      <c r="H362" s="198">
        <f>IF(AND(E361&gt;=H361,E362&gt;=E361),E361*(1+'Trading Model'!$E$13),IF(AND(E362&lt;E361,E361&gt;=H361),E362*(1+'Trading Model'!$E$13),H361))</f>
        <v>26.312998950000001</v>
      </c>
      <c r="I362" s="198">
        <f>IF(K362&gt;0,E362*(1-'Trading Model'!E372),IF(E362&lt;I361,I361*(1-'Trading Model'!$E$14),I361))</f>
        <v>23.806999050000002</v>
      </c>
      <c r="J362" s="198">
        <f t="shared" si="47"/>
        <v>0</v>
      </c>
      <c r="K362" s="198">
        <f t="shared" si="42"/>
        <v>0</v>
      </c>
      <c r="L362" s="198">
        <f>COUNTIF(J362:K362,"&lt;&gt;0")*-'Trading Model'!$E$15</f>
        <v>0</v>
      </c>
      <c r="M362" s="198">
        <f t="shared" si="40"/>
        <v>0</v>
      </c>
      <c r="N362" s="75">
        <f t="shared" si="43"/>
        <v>23</v>
      </c>
      <c r="O362" s="202">
        <f t="shared" si="44"/>
        <v>0</v>
      </c>
      <c r="P362" s="199">
        <f t="shared" si="41"/>
        <v>0</v>
      </c>
      <c r="Q362" s="203">
        <f t="shared" si="45"/>
        <v>83.100000000000961</v>
      </c>
      <c r="R362" s="201">
        <f>E362/B358-1</f>
        <v>-7.8285949732179727E-3</v>
      </c>
      <c r="S362" s="201">
        <f t="shared" si="46"/>
        <v>-1.7142857142857237E-2</v>
      </c>
    </row>
    <row r="363" spans="1:19">
      <c r="A363" s="196">
        <v>40492</v>
      </c>
      <c r="B363" s="122">
        <v>24.049999</v>
      </c>
      <c r="C363" s="122">
        <v>25.219999000000001</v>
      </c>
      <c r="D363" s="122">
        <v>24.01</v>
      </c>
      <c r="E363" s="122">
        <v>25.200001</v>
      </c>
      <c r="F363" s="122">
        <v>16.593145</v>
      </c>
      <c r="G363" s="197">
        <v>216800</v>
      </c>
      <c r="H363" s="198">
        <f>IF(AND(E362&gt;=H362,E363&gt;=E362),E362*(1+'Trading Model'!$E$13),IF(AND(E363&lt;E362,E362&gt;=H362),E363*(1+'Trading Model'!$E$13),H362))</f>
        <v>26.312998950000001</v>
      </c>
      <c r="I363" s="198">
        <f>IF(K363&gt;0,E363*(1-'Trading Model'!E373),IF(E363&lt;I362,I362*(1-'Trading Model'!$E$14),I362))</f>
        <v>23.806999050000002</v>
      </c>
      <c r="J363" s="198">
        <f t="shared" si="47"/>
        <v>0</v>
      </c>
      <c r="K363" s="198">
        <f t="shared" si="42"/>
        <v>0</v>
      </c>
      <c r="L363" s="198">
        <f>COUNTIF(J363:K363,"&lt;&gt;0")*-'Trading Model'!$E$15</f>
        <v>0</v>
      </c>
      <c r="M363" s="198">
        <f t="shared" si="40"/>
        <v>0</v>
      </c>
      <c r="N363" s="75">
        <f t="shared" si="43"/>
        <v>23</v>
      </c>
      <c r="O363" s="202">
        <f t="shared" si="44"/>
        <v>0</v>
      </c>
      <c r="P363" s="199">
        <f t="shared" si="41"/>
        <v>0</v>
      </c>
      <c r="Q363" s="203">
        <f t="shared" si="45"/>
        <v>83.100000000000961</v>
      </c>
      <c r="R363" s="160" t="s">
        <v>55</v>
      </c>
      <c r="S363" s="201">
        <f t="shared" si="46"/>
        <v>4.6511669435216119E-2</v>
      </c>
    </row>
    <row r="364" spans="1:19">
      <c r="A364" s="196">
        <v>40493</v>
      </c>
      <c r="B364" s="122">
        <v>25.23</v>
      </c>
      <c r="C364" s="122">
        <v>25.459999</v>
      </c>
      <c r="D364" s="122">
        <v>24.73</v>
      </c>
      <c r="E364" s="122">
        <v>24.92</v>
      </c>
      <c r="F364" s="122">
        <v>16.408777000000001</v>
      </c>
      <c r="G364" s="197">
        <v>137900</v>
      </c>
      <c r="H364" s="198">
        <f>IF(AND(E363&gt;=H363,E364&gt;=E363),E363*(1+'Trading Model'!$E$13),IF(AND(E364&lt;E363,E363&gt;=H363),E364*(1+'Trading Model'!$E$13),H363))</f>
        <v>26.312998950000001</v>
      </c>
      <c r="I364" s="198">
        <f>IF(K364&gt;0,E364*(1-'Trading Model'!E374),IF(E364&lt;I363,I363*(1-'Trading Model'!$E$14),I363))</f>
        <v>23.806999050000002</v>
      </c>
      <c r="J364" s="198">
        <f t="shared" si="47"/>
        <v>0</v>
      </c>
      <c r="K364" s="198">
        <f t="shared" si="42"/>
        <v>0</v>
      </c>
      <c r="L364" s="198">
        <f>COUNTIF(J364:K364,"&lt;&gt;0")*-'Trading Model'!$E$15</f>
        <v>0</v>
      </c>
      <c r="M364" s="198">
        <f t="shared" si="40"/>
        <v>0</v>
      </c>
      <c r="N364" s="75">
        <f t="shared" si="43"/>
        <v>23</v>
      </c>
      <c r="O364" s="202">
        <f t="shared" si="44"/>
        <v>0</v>
      </c>
      <c r="P364" s="199">
        <f t="shared" si="41"/>
        <v>0</v>
      </c>
      <c r="Q364" s="203">
        <f t="shared" si="45"/>
        <v>83.000000000000966</v>
      </c>
      <c r="R364" s="203" t="s">
        <v>55</v>
      </c>
      <c r="S364" s="201">
        <f t="shared" si="46"/>
        <v>-1.1111150352732024E-2</v>
      </c>
    </row>
    <row r="365" spans="1:19">
      <c r="A365" s="196">
        <v>40494</v>
      </c>
      <c r="B365" s="122">
        <v>24.950001</v>
      </c>
      <c r="C365" s="122">
        <v>25.120000999999998</v>
      </c>
      <c r="D365" s="122">
        <v>24.17</v>
      </c>
      <c r="E365" s="122">
        <v>24.280000999999999</v>
      </c>
      <c r="F365" s="122">
        <v>15.987361</v>
      </c>
      <c r="G365" s="197">
        <v>110600</v>
      </c>
      <c r="H365" s="198">
        <f>IF(AND(E364&gt;=H364,E365&gt;=E364),E364*(1+'Trading Model'!$E$13),IF(AND(E365&lt;E364,E364&gt;=H364),E365*(1+'Trading Model'!$E$13),H364))</f>
        <v>26.312998950000001</v>
      </c>
      <c r="I365" s="198">
        <f>IF(K365&gt;0,E365*(1-'Trading Model'!E375),IF(E365&lt;I364,I364*(1-'Trading Model'!$E$14),I364))</f>
        <v>23.806999050000002</v>
      </c>
      <c r="J365" s="198">
        <f t="shared" si="47"/>
        <v>0</v>
      </c>
      <c r="K365" s="198">
        <f t="shared" si="42"/>
        <v>0</v>
      </c>
      <c r="L365" s="198">
        <f>COUNTIF(J365:K365,"&lt;&gt;0")*-'Trading Model'!$E$15</f>
        <v>0</v>
      </c>
      <c r="M365" s="198">
        <f t="shared" si="40"/>
        <v>0</v>
      </c>
      <c r="N365" s="75">
        <f t="shared" si="43"/>
        <v>23</v>
      </c>
      <c r="O365" s="202">
        <f t="shared" si="44"/>
        <v>0</v>
      </c>
      <c r="P365" s="199">
        <f t="shared" si="41"/>
        <v>0</v>
      </c>
      <c r="Q365" s="203">
        <f t="shared" si="45"/>
        <v>82.900000000000972</v>
      </c>
      <c r="R365" s="203" t="s">
        <v>55</v>
      </c>
      <c r="S365" s="201">
        <f t="shared" si="46"/>
        <v>-2.5682142857142987E-2</v>
      </c>
    </row>
    <row r="366" spans="1:19">
      <c r="A366" s="196">
        <v>40497</v>
      </c>
      <c r="B366" s="122">
        <v>24.540001</v>
      </c>
      <c r="C366" s="122">
        <v>24.540001</v>
      </c>
      <c r="D366" s="122">
        <v>24.030000999999999</v>
      </c>
      <c r="E366" s="122">
        <v>24.09</v>
      </c>
      <c r="F366" s="122">
        <v>15.862253000000001</v>
      </c>
      <c r="G366" s="197">
        <v>127600</v>
      </c>
      <c r="H366" s="198">
        <f>IF(AND(E365&gt;=H365,E366&gt;=E365),E365*(1+'Trading Model'!$E$13),IF(AND(E366&lt;E365,E365&gt;=H365),E366*(1+'Trading Model'!$E$13),H365))</f>
        <v>26.312998950000001</v>
      </c>
      <c r="I366" s="198">
        <f>IF(K366&gt;0,E366*(1-'Trading Model'!E376),IF(E366&lt;I365,I365*(1-'Trading Model'!$E$14),I365))</f>
        <v>23.806999050000002</v>
      </c>
      <c r="J366" s="198">
        <f t="shared" si="47"/>
        <v>0</v>
      </c>
      <c r="K366" s="198">
        <f t="shared" si="42"/>
        <v>0</v>
      </c>
      <c r="L366" s="198">
        <f>COUNTIF(J366:K366,"&lt;&gt;0")*-'Trading Model'!$E$15</f>
        <v>0</v>
      </c>
      <c r="M366" s="198">
        <f t="shared" si="40"/>
        <v>0</v>
      </c>
      <c r="N366" s="75">
        <f t="shared" si="43"/>
        <v>23</v>
      </c>
      <c r="O366" s="202">
        <f t="shared" si="44"/>
        <v>0</v>
      </c>
      <c r="P366" s="199">
        <f t="shared" si="41"/>
        <v>0</v>
      </c>
      <c r="Q366" s="203">
        <f t="shared" si="45"/>
        <v>82.800000000000978</v>
      </c>
      <c r="R366" s="203" t="s">
        <v>55</v>
      </c>
      <c r="S366" s="201">
        <f t="shared" si="46"/>
        <v>-7.8254115393158186E-3</v>
      </c>
    </row>
    <row r="367" spans="1:19">
      <c r="A367" s="196">
        <v>40498</v>
      </c>
      <c r="B367" s="122">
        <v>24.15</v>
      </c>
      <c r="C367" s="122">
        <v>24.440000999999999</v>
      </c>
      <c r="D367" s="122">
        <v>23.26</v>
      </c>
      <c r="E367" s="122">
        <v>23.75</v>
      </c>
      <c r="F367" s="122">
        <v>15.638377999999999</v>
      </c>
      <c r="G367" s="197">
        <v>196500</v>
      </c>
      <c r="H367" s="198">
        <f>IF(AND(E366&gt;=H366,E367&gt;=E366),E366*(1+'Trading Model'!$E$13),IF(AND(E367&lt;E366,E366&gt;=H366),E367*(1+'Trading Model'!$E$13),H366))</f>
        <v>26.312998950000001</v>
      </c>
      <c r="I367" s="198">
        <f>IF(K367&gt;0,E367*(1-'Trading Model'!E377),IF(E367&lt;I366,I366*(1-'Trading Model'!$E$14),I366))</f>
        <v>22.616649097500002</v>
      </c>
      <c r="J367" s="198">
        <f t="shared" si="47"/>
        <v>-23.75</v>
      </c>
      <c r="K367" s="198">
        <f t="shared" si="42"/>
        <v>0</v>
      </c>
      <c r="L367" s="198">
        <f>COUNTIF(J367:K367,"&lt;&gt;0")*-'Trading Model'!$E$15</f>
        <v>-0.1</v>
      </c>
      <c r="M367" s="198">
        <f t="shared" si="40"/>
        <v>-23.85</v>
      </c>
      <c r="N367" s="75">
        <f t="shared" si="43"/>
        <v>24</v>
      </c>
      <c r="O367" s="202">
        <f t="shared" si="44"/>
        <v>0</v>
      </c>
      <c r="P367" s="199">
        <f t="shared" si="41"/>
        <v>0</v>
      </c>
      <c r="Q367" s="203">
        <f t="shared" si="45"/>
        <v>82.700000000000983</v>
      </c>
      <c r="R367" s="201">
        <f>E367/B363-1</f>
        <v>-1.2473971412639173E-2</v>
      </c>
      <c r="S367" s="201">
        <f t="shared" si="46"/>
        <v>-1.4113740141137421E-2</v>
      </c>
    </row>
    <row r="368" spans="1:19">
      <c r="A368" s="196">
        <v>40499</v>
      </c>
      <c r="B368" s="122">
        <v>23.870000999999998</v>
      </c>
      <c r="C368" s="122">
        <v>24.059999000000001</v>
      </c>
      <c r="D368" s="122">
        <v>23.700001</v>
      </c>
      <c r="E368" s="122">
        <v>23.73</v>
      </c>
      <c r="F368" s="122">
        <v>15.625208000000001</v>
      </c>
      <c r="G368" s="197">
        <v>89700</v>
      </c>
      <c r="H368" s="198">
        <f>IF(AND(E367&gt;=H367,E368&gt;=E367),E367*(1+'Trading Model'!$E$13),IF(AND(E368&lt;E367,E367&gt;=H367),E368*(1+'Trading Model'!$E$13),H367))</f>
        <v>26.312998950000001</v>
      </c>
      <c r="I368" s="198">
        <f>IF(K368&gt;0,E368*(1-'Trading Model'!E378),IF(E368&lt;I367,I367*(1-'Trading Model'!$E$14),I367))</f>
        <v>22.616649097500002</v>
      </c>
      <c r="J368" s="198">
        <f t="shared" si="47"/>
        <v>0</v>
      </c>
      <c r="K368" s="198">
        <f t="shared" si="42"/>
        <v>0</v>
      </c>
      <c r="L368" s="198">
        <f>COUNTIF(J368:K368,"&lt;&gt;0")*-'Trading Model'!$E$15</f>
        <v>0</v>
      </c>
      <c r="M368" s="198">
        <f t="shared" si="40"/>
        <v>0</v>
      </c>
      <c r="N368" s="75">
        <f t="shared" si="43"/>
        <v>24</v>
      </c>
      <c r="O368" s="202">
        <f t="shared" si="44"/>
        <v>0</v>
      </c>
      <c r="P368" s="199">
        <f t="shared" si="41"/>
        <v>0</v>
      </c>
      <c r="Q368" s="203">
        <f t="shared" si="45"/>
        <v>82.600000000000989</v>
      </c>
      <c r="R368" s="160" t="s">
        <v>55</v>
      </c>
      <c r="S368" s="201">
        <f t="shared" si="46"/>
        <v>-8.4210526315786627E-4</v>
      </c>
    </row>
    <row r="369" spans="1:19">
      <c r="A369" s="196">
        <v>40500</v>
      </c>
      <c r="B369" s="122">
        <v>24.18</v>
      </c>
      <c r="C369" s="122">
        <v>24.65</v>
      </c>
      <c r="D369" s="122">
        <v>23.860001</v>
      </c>
      <c r="E369" s="122">
        <v>24.379999000000002</v>
      </c>
      <c r="F369" s="122">
        <v>16.053207</v>
      </c>
      <c r="G369" s="197">
        <v>133000</v>
      </c>
      <c r="H369" s="198">
        <f>IF(AND(E368&gt;=H368,E369&gt;=E368),E368*(1+'Trading Model'!$E$13),IF(AND(E369&lt;E368,E368&gt;=H368),E369*(1+'Trading Model'!$E$13),H368))</f>
        <v>26.312998950000001</v>
      </c>
      <c r="I369" s="198">
        <f>IF(K369&gt;0,E369*(1-'Trading Model'!E379),IF(E369&lt;I368,I368*(1-'Trading Model'!$E$14),I368))</f>
        <v>22.616649097500002</v>
      </c>
      <c r="J369" s="198">
        <f t="shared" si="47"/>
        <v>0</v>
      </c>
      <c r="K369" s="198">
        <f t="shared" si="42"/>
        <v>0</v>
      </c>
      <c r="L369" s="198">
        <f>COUNTIF(J369:K369,"&lt;&gt;0")*-'Trading Model'!$E$15</f>
        <v>0</v>
      </c>
      <c r="M369" s="198">
        <f t="shared" si="40"/>
        <v>0</v>
      </c>
      <c r="N369" s="75">
        <f t="shared" si="43"/>
        <v>24</v>
      </c>
      <c r="O369" s="202">
        <f t="shared" si="44"/>
        <v>0</v>
      </c>
      <c r="P369" s="199">
        <f t="shared" si="41"/>
        <v>0</v>
      </c>
      <c r="Q369" s="203">
        <f t="shared" si="45"/>
        <v>82.600000000000989</v>
      </c>
      <c r="R369" s="203" t="s">
        <v>55</v>
      </c>
      <c r="S369" s="201">
        <f t="shared" si="46"/>
        <v>2.7391445427728645E-2</v>
      </c>
    </row>
    <row r="370" spans="1:19">
      <c r="A370" s="196">
        <v>40501</v>
      </c>
      <c r="B370" s="122">
        <v>24.51</v>
      </c>
      <c r="C370" s="122">
        <v>24.73</v>
      </c>
      <c r="D370" s="122">
        <v>24.18</v>
      </c>
      <c r="E370" s="122">
        <v>24.549999</v>
      </c>
      <c r="F370" s="122">
        <v>16.165144000000002</v>
      </c>
      <c r="G370" s="197">
        <v>76100</v>
      </c>
      <c r="H370" s="198">
        <f>IF(AND(E369&gt;=H369,E370&gt;=E369),E369*(1+'Trading Model'!$E$13),IF(AND(E370&lt;E369,E369&gt;=H369),E370*(1+'Trading Model'!$E$13),H369))</f>
        <v>26.312998950000001</v>
      </c>
      <c r="I370" s="198">
        <f>IF(K370&gt;0,E370*(1-'Trading Model'!E380),IF(E370&lt;I369,I369*(1-'Trading Model'!$E$14),I369))</f>
        <v>22.616649097500002</v>
      </c>
      <c r="J370" s="198">
        <f t="shared" si="47"/>
        <v>0</v>
      </c>
      <c r="K370" s="198">
        <f t="shared" si="42"/>
        <v>0</v>
      </c>
      <c r="L370" s="198">
        <f>COUNTIF(J370:K370,"&lt;&gt;0")*-'Trading Model'!$E$15</f>
        <v>0</v>
      </c>
      <c r="M370" s="198">
        <f t="shared" si="40"/>
        <v>0</v>
      </c>
      <c r="N370" s="75">
        <f t="shared" si="43"/>
        <v>24</v>
      </c>
      <c r="O370" s="202">
        <f t="shared" si="44"/>
        <v>0</v>
      </c>
      <c r="P370" s="199">
        <f t="shared" si="41"/>
        <v>0</v>
      </c>
      <c r="Q370" s="203">
        <f t="shared" si="45"/>
        <v>82.600000000000989</v>
      </c>
      <c r="R370" s="203" t="s">
        <v>55</v>
      </c>
      <c r="S370" s="201">
        <f t="shared" si="46"/>
        <v>6.9729289160347374E-3</v>
      </c>
    </row>
    <row r="371" spans="1:19">
      <c r="A371" s="196">
        <v>40504</v>
      </c>
      <c r="B371" s="122">
        <v>24.620000999999998</v>
      </c>
      <c r="C371" s="122">
        <v>25.200001</v>
      </c>
      <c r="D371" s="122">
        <v>24.6</v>
      </c>
      <c r="E371" s="122">
        <v>25.049999</v>
      </c>
      <c r="F371" s="122">
        <v>16.494373</v>
      </c>
      <c r="G371" s="197">
        <v>678600</v>
      </c>
      <c r="H371" s="198">
        <f>IF(AND(E370&gt;=H370,E371&gt;=E370),E370*(1+'Trading Model'!$E$13),IF(AND(E371&lt;E370,E370&gt;=H370),E371*(1+'Trading Model'!$E$13),H370))</f>
        <v>26.312998950000001</v>
      </c>
      <c r="I371" s="198">
        <f>IF(K371&gt;0,E371*(1-'Trading Model'!E381),IF(E371&lt;I370,I370*(1-'Trading Model'!$E$14),I370))</f>
        <v>22.616649097500002</v>
      </c>
      <c r="J371" s="198">
        <f t="shared" si="47"/>
        <v>0</v>
      </c>
      <c r="K371" s="198">
        <f t="shared" si="42"/>
        <v>0</v>
      </c>
      <c r="L371" s="198">
        <f>COUNTIF(J371:K371,"&lt;&gt;0")*-'Trading Model'!$E$15</f>
        <v>0</v>
      </c>
      <c r="M371" s="198">
        <f t="shared" si="40"/>
        <v>0</v>
      </c>
      <c r="N371" s="75">
        <f t="shared" si="43"/>
        <v>24</v>
      </c>
      <c r="O371" s="202">
        <f t="shared" si="44"/>
        <v>0</v>
      </c>
      <c r="P371" s="199">
        <f t="shared" si="41"/>
        <v>0</v>
      </c>
      <c r="Q371" s="203">
        <f t="shared" si="45"/>
        <v>82.600000000000989</v>
      </c>
      <c r="R371" s="203" t="s">
        <v>55</v>
      </c>
      <c r="S371" s="201">
        <f t="shared" si="46"/>
        <v>2.0366599607600788E-2</v>
      </c>
    </row>
    <row r="372" spans="1:19">
      <c r="A372" s="196">
        <v>40505</v>
      </c>
      <c r="B372" s="122">
        <v>24.700001</v>
      </c>
      <c r="C372" s="122">
        <v>24.91</v>
      </c>
      <c r="D372" s="122">
        <v>23.75</v>
      </c>
      <c r="E372" s="122">
        <v>24.049999</v>
      </c>
      <c r="F372" s="122">
        <v>15.835915999999999</v>
      </c>
      <c r="G372" s="197">
        <v>226700</v>
      </c>
      <c r="H372" s="198">
        <f>IF(AND(E371&gt;=H371,E372&gt;=E371),E371*(1+'Trading Model'!$E$13),IF(AND(E372&lt;E371,E371&gt;=H371),E372*(1+'Trading Model'!$E$13),H371))</f>
        <v>26.312998950000001</v>
      </c>
      <c r="I372" s="198">
        <f>IF(K372&gt;0,E372*(1-'Trading Model'!E382),IF(E372&lt;I371,I371*(1-'Trading Model'!$E$14),I371))</f>
        <v>22.616649097500002</v>
      </c>
      <c r="J372" s="198">
        <f t="shared" si="47"/>
        <v>0</v>
      </c>
      <c r="K372" s="198">
        <f t="shared" si="42"/>
        <v>0</v>
      </c>
      <c r="L372" s="198">
        <f>COUNTIF(J372:K372,"&lt;&gt;0")*-'Trading Model'!$E$15</f>
        <v>0</v>
      </c>
      <c r="M372" s="198">
        <f t="shared" si="40"/>
        <v>0</v>
      </c>
      <c r="N372" s="75">
        <f t="shared" si="43"/>
        <v>24</v>
      </c>
      <c r="O372" s="202">
        <f t="shared" si="44"/>
        <v>0</v>
      </c>
      <c r="P372" s="199">
        <f t="shared" si="41"/>
        <v>0</v>
      </c>
      <c r="Q372" s="203">
        <f t="shared" si="45"/>
        <v>82.500000000000995</v>
      </c>
      <c r="R372" s="201">
        <f>E372/B368-1</f>
        <v>7.5407621474334885E-3</v>
      </c>
      <c r="S372" s="201">
        <f t="shared" si="46"/>
        <v>-3.9920161274257904E-2</v>
      </c>
    </row>
    <row r="373" spans="1:19">
      <c r="A373" s="196">
        <v>40506</v>
      </c>
      <c r="B373" s="122">
        <v>24.120000999999998</v>
      </c>
      <c r="C373" s="122">
        <v>24.639999</v>
      </c>
      <c r="D373" s="122">
        <v>24.059999000000001</v>
      </c>
      <c r="E373" s="122">
        <v>24.52</v>
      </c>
      <c r="F373" s="122">
        <v>16.145391</v>
      </c>
      <c r="G373" s="197">
        <v>202500</v>
      </c>
      <c r="H373" s="198">
        <f>IF(AND(E372&gt;=H372,E373&gt;=E372),E372*(1+'Trading Model'!$E$13),IF(AND(E373&lt;E372,E372&gt;=H372),E373*(1+'Trading Model'!$E$13),H372))</f>
        <v>26.312998950000001</v>
      </c>
      <c r="I373" s="198">
        <f>IF(K373&gt;0,E373*(1-'Trading Model'!E383),IF(E373&lt;I372,I372*(1-'Trading Model'!$E$14),I372))</f>
        <v>22.616649097500002</v>
      </c>
      <c r="J373" s="198">
        <f t="shared" si="47"/>
        <v>0</v>
      </c>
      <c r="K373" s="198">
        <f t="shared" si="42"/>
        <v>0</v>
      </c>
      <c r="L373" s="198">
        <f>COUNTIF(J373:K373,"&lt;&gt;0")*-'Trading Model'!$E$15</f>
        <v>0</v>
      </c>
      <c r="M373" s="198">
        <f t="shared" si="40"/>
        <v>0</v>
      </c>
      <c r="N373" s="75">
        <f t="shared" si="43"/>
        <v>24</v>
      </c>
      <c r="O373" s="202">
        <f t="shared" si="44"/>
        <v>0</v>
      </c>
      <c r="P373" s="199">
        <f t="shared" si="41"/>
        <v>0</v>
      </c>
      <c r="Q373" s="203">
        <f t="shared" si="45"/>
        <v>82.500000000000995</v>
      </c>
      <c r="R373" s="160" t="s">
        <v>55</v>
      </c>
      <c r="S373" s="201">
        <f t="shared" si="46"/>
        <v>1.9542661935245897E-2</v>
      </c>
    </row>
    <row r="374" spans="1:19">
      <c r="A374" s="196">
        <v>40508</v>
      </c>
      <c r="B374" s="122">
        <v>24.540001</v>
      </c>
      <c r="C374" s="122">
        <v>24.790001</v>
      </c>
      <c r="D374" s="122">
        <v>24.34</v>
      </c>
      <c r="E374" s="122">
        <v>24.700001</v>
      </c>
      <c r="F374" s="122">
        <v>16.263915999999998</v>
      </c>
      <c r="G374" s="197">
        <v>76000</v>
      </c>
      <c r="H374" s="198">
        <f>IF(AND(E373&gt;=H373,E374&gt;=E373),E373*(1+'Trading Model'!$E$13),IF(AND(E374&lt;E373,E373&gt;=H373),E374*(1+'Trading Model'!$E$13),H373))</f>
        <v>26.312998950000001</v>
      </c>
      <c r="I374" s="198">
        <f>IF(K374&gt;0,E374*(1-'Trading Model'!E384),IF(E374&lt;I373,I373*(1-'Trading Model'!$E$14),I373))</f>
        <v>22.616649097500002</v>
      </c>
      <c r="J374" s="198">
        <f t="shared" si="47"/>
        <v>0</v>
      </c>
      <c r="K374" s="198">
        <f t="shared" si="42"/>
        <v>0</v>
      </c>
      <c r="L374" s="198">
        <f>COUNTIF(J374:K374,"&lt;&gt;0")*-'Trading Model'!$E$15</f>
        <v>0</v>
      </c>
      <c r="M374" s="198">
        <f t="shared" si="40"/>
        <v>0</v>
      </c>
      <c r="N374" s="75">
        <f t="shared" si="43"/>
        <v>24</v>
      </c>
      <c r="O374" s="202">
        <f t="shared" si="44"/>
        <v>0</v>
      </c>
      <c r="P374" s="199">
        <f t="shared" si="41"/>
        <v>0</v>
      </c>
      <c r="Q374" s="203">
        <f t="shared" si="45"/>
        <v>82.500000000000995</v>
      </c>
      <c r="R374" s="203" t="s">
        <v>55</v>
      </c>
      <c r="S374" s="201">
        <f t="shared" si="46"/>
        <v>7.3409869494289737E-3</v>
      </c>
    </row>
    <row r="375" spans="1:19">
      <c r="A375" s="196">
        <v>40511</v>
      </c>
      <c r="B375" s="122">
        <v>24.52</v>
      </c>
      <c r="C375" s="122">
        <v>24.52</v>
      </c>
      <c r="D375" s="122">
        <v>24.02</v>
      </c>
      <c r="E375" s="122">
        <v>24.32</v>
      </c>
      <c r="F375" s="122">
        <v>16.0137</v>
      </c>
      <c r="G375" s="197">
        <v>180700</v>
      </c>
      <c r="H375" s="198">
        <f>IF(AND(E374&gt;=H374,E375&gt;=E374),E374*(1+'Trading Model'!$E$13),IF(AND(E375&lt;E374,E374&gt;=H374),E375*(1+'Trading Model'!$E$13),H374))</f>
        <v>26.312998950000001</v>
      </c>
      <c r="I375" s="198">
        <f>IF(K375&gt;0,E375*(1-'Trading Model'!E385),IF(E375&lt;I374,I374*(1-'Trading Model'!$E$14),I374))</f>
        <v>22.616649097500002</v>
      </c>
      <c r="J375" s="198">
        <f t="shared" si="47"/>
        <v>0</v>
      </c>
      <c r="K375" s="198">
        <f t="shared" si="42"/>
        <v>0</v>
      </c>
      <c r="L375" s="198">
        <f>COUNTIF(J375:K375,"&lt;&gt;0")*-'Trading Model'!$E$15</f>
        <v>0</v>
      </c>
      <c r="M375" s="198">
        <f t="shared" si="40"/>
        <v>0</v>
      </c>
      <c r="N375" s="75">
        <f t="shared" si="43"/>
        <v>24</v>
      </c>
      <c r="O375" s="202">
        <f t="shared" si="44"/>
        <v>0</v>
      </c>
      <c r="P375" s="199">
        <f t="shared" si="41"/>
        <v>0</v>
      </c>
      <c r="Q375" s="203">
        <f t="shared" si="45"/>
        <v>82.400000000001</v>
      </c>
      <c r="R375" s="203" t="s">
        <v>55</v>
      </c>
      <c r="S375" s="201">
        <f t="shared" si="46"/>
        <v>-1.5384655247584811E-2</v>
      </c>
    </row>
    <row r="376" spans="1:19">
      <c r="A376" s="196">
        <v>40512</v>
      </c>
      <c r="B376" s="122">
        <v>24.299999</v>
      </c>
      <c r="C376" s="122">
        <v>24.440000999999999</v>
      </c>
      <c r="D376" s="122">
        <v>24</v>
      </c>
      <c r="E376" s="122">
        <v>24.24</v>
      </c>
      <c r="F376" s="122">
        <v>15.961021000000001</v>
      </c>
      <c r="G376" s="197">
        <v>159800</v>
      </c>
      <c r="H376" s="198">
        <f>IF(AND(E375&gt;=H375,E376&gt;=E375),E375*(1+'Trading Model'!$E$13),IF(AND(E376&lt;E375,E375&gt;=H375),E376*(1+'Trading Model'!$E$13),H375))</f>
        <v>26.312998950000001</v>
      </c>
      <c r="I376" s="198">
        <f>IF(K376&gt;0,E376*(1-'Trading Model'!E386),IF(E376&lt;I375,I375*(1-'Trading Model'!$E$14),I375))</f>
        <v>22.616649097500002</v>
      </c>
      <c r="J376" s="198">
        <f t="shared" si="47"/>
        <v>0</v>
      </c>
      <c r="K376" s="198">
        <f t="shared" si="42"/>
        <v>0</v>
      </c>
      <c r="L376" s="198">
        <f>COUNTIF(J376:K376,"&lt;&gt;0")*-'Trading Model'!$E$15</f>
        <v>0</v>
      </c>
      <c r="M376" s="198">
        <f t="shared" si="40"/>
        <v>0</v>
      </c>
      <c r="N376" s="75">
        <f t="shared" si="43"/>
        <v>24</v>
      </c>
      <c r="O376" s="202">
        <f t="shared" si="44"/>
        <v>0</v>
      </c>
      <c r="P376" s="199">
        <f t="shared" si="41"/>
        <v>0</v>
      </c>
      <c r="Q376" s="203">
        <f t="shared" si="45"/>
        <v>82.300000000001006</v>
      </c>
      <c r="R376" s="203" t="s">
        <v>55</v>
      </c>
      <c r="S376" s="201">
        <f t="shared" si="46"/>
        <v>-3.2894736842106198E-3</v>
      </c>
    </row>
    <row r="377" spans="1:19">
      <c r="A377" s="196">
        <v>40513</v>
      </c>
      <c r="B377" s="122">
        <v>24.389999</v>
      </c>
      <c r="C377" s="122">
        <v>24.790001</v>
      </c>
      <c r="D377" s="122">
        <v>24.26</v>
      </c>
      <c r="E377" s="122">
        <v>24.790001</v>
      </c>
      <c r="F377" s="122">
        <v>16.323174999999999</v>
      </c>
      <c r="G377" s="197">
        <v>357100</v>
      </c>
      <c r="H377" s="198">
        <f>IF(AND(E376&gt;=H376,E377&gt;=E376),E376*(1+'Trading Model'!$E$13),IF(AND(E377&lt;E376,E376&gt;=H376),E377*(1+'Trading Model'!$E$13),H376))</f>
        <v>26.312998950000001</v>
      </c>
      <c r="I377" s="198">
        <f>IF(K377&gt;0,E377*(1-'Trading Model'!E387),IF(E377&lt;I376,I376*(1-'Trading Model'!$E$14),I376))</f>
        <v>22.616649097500002</v>
      </c>
      <c r="J377" s="198">
        <f t="shared" si="47"/>
        <v>0</v>
      </c>
      <c r="K377" s="198">
        <f t="shared" si="42"/>
        <v>0</v>
      </c>
      <c r="L377" s="198">
        <f>COUNTIF(J377:K377,"&lt;&gt;0")*-'Trading Model'!$E$15</f>
        <v>0</v>
      </c>
      <c r="M377" s="198">
        <f t="shared" si="40"/>
        <v>0</v>
      </c>
      <c r="N377" s="75">
        <f t="shared" si="43"/>
        <v>24</v>
      </c>
      <c r="O377" s="202">
        <f t="shared" si="44"/>
        <v>0</v>
      </c>
      <c r="P377" s="199">
        <f t="shared" si="41"/>
        <v>0</v>
      </c>
      <c r="Q377" s="203">
        <f t="shared" si="45"/>
        <v>82.300000000001006</v>
      </c>
      <c r="R377" s="201">
        <f>E377/B373-1</f>
        <v>2.7777776626128681E-2</v>
      </c>
      <c r="S377" s="201">
        <f t="shared" si="46"/>
        <v>2.2689810231023122E-2</v>
      </c>
    </row>
    <row r="378" spans="1:19">
      <c r="A378" s="196">
        <v>40514</v>
      </c>
      <c r="B378" s="122">
        <v>24.780000999999999</v>
      </c>
      <c r="C378" s="122">
        <v>25.15</v>
      </c>
      <c r="D378" s="122">
        <v>24.65</v>
      </c>
      <c r="E378" s="122">
        <v>24.75</v>
      </c>
      <c r="F378" s="122">
        <v>16.296837</v>
      </c>
      <c r="G378" s="197">
        <v>378300</v>
      </c>
      <c r="H378" s="198">
        <f>IF(AND(E377&gt;=H377,E378&gt;=E377),E377*(1+'Trading Model'!$E$13),IF(AND(E378&lt;E377,E377&gt;=H377),E378*(1+'Trading Model'!$E$13),H377))</f>
        <v>26.312998950000001</v>
      </c>
      <c r="I378" s="198">
        <f>IF(K378&gt;0,E378*(1-'Trading Model'!E388),IF(E378&lt;I377,I377*(1-'Trading Model'!$E$14),I377))</f>
        <v>22.616649097500002</v>
      </c>
      <c r="J378" s="198">
        <f t="shared" si="47"/>
        <v>0</v>
      </c>
      <c r="K378" s="198">
        <f t="shared" si="42"/>
        <v>0</v>
      </c>
      <c r="L378" s="198">
        <f>COUNTIF(J378:K378,"&lt;&gt;0")*-'Trading Model'!$E$15</f>
        <v>0</v>
      </c>
      <c r="M378" s="198">
        <f t="shared" si="40"/>
        <v>0</v>
      </c>
      <c r="N378" s="75">
        <f t="shared" si="43"/>
        <v>24</v>
      </c>
      <c r="O378" s="202">
        <f t="shared" si="44"/>
        <v>0</v>
      </c>
      <c r="P378" s="199">
        <f t="shared" si="41"/>
        <v>0</v>
      </c>
      <c r="Q378" s="203">
        <f t="shared" si="45"/>
        <v>82.200000000001012</v>
      </c>
      <c r="R378" s="160" t="s">
        <v>55</v>
      </c>
      <c r="S378" s="201">
        <f t="shared" si="46"/>
        <v>-1.6135941261156139E-3</v>
      </c>
    </row>
    <row r="379" spans="1:19">
      <c r="A379" s="196">
        <v>40515</v>
      </c>
      <c r="B379" s="122">
        <v>24.950001</v>
      </c>
      <c r="C379" s="122">
        <v>25.040001</v>
      </c>
      <c r="D379" s="122">
        <v>24.4</v>
      </c>
      <c r="E379" s="122">
        <v>24.629999000000002</v>
      </c>
      <c r="F379" s="122">
        <v>16.217818999999999</v>
      </c>
      <c r="G379" s="197">
        <v>105600</v>
      </c>
      <c r="H379" s="198">
        <f>IF(AND(E378&gt;=H378,E379&gt;=E378),E378*(1+'Trading Model'!$E$13),IF(AND(E379&lt;E378,E378&gt;=H378),E379*(1+'Trading Model'!$E$13),H378))</f>
        <v>26.312998950000001</v>
      </c>
      <c r="I379" s="198">
        <f>IF(K379&gt;0,E379*(1-'Trading Model'!E389),IF(E379&lt;I378,I378*(1-'Trading Model'!$E$14),I378))</f>
        <v>22.616649097500002</v>
      </c>
      <c r="J379" s="198">
        <f t="shared" si="47"/>
        <v>0</v>
      </c>
      <c r="K379" s="198">
        <f t="shared" si="42"/>
        <v>0</v>
      </c>
      <c r="L379" s="198">
        <f>COUNTIF(J379:K379,"&lt;&gt;0")*-'Trading Model'!$E$15</f>
        <v>0</v>
      </c>
      <c r="M379" s="198">
        <f t="shared" si="40"/>
        <v>0</v>
      </c>
      <c r="N379" s="75">
        <f t="shared" si="43"/>
        <v>24</v>
      </c>
      <c r="O379" s="202">
        <f t="shared" si="44"/>
        <v>0</v>
      </c>
      <c r="P379" s="199">
        <f t="shared" si="41"/>
        <v>0</v>
      </c>
      <c r="Q379" s="203">
        <f t="shared" si="45"/>
        <v>82.100000000001017</v>
      </c>
      <c r="R379" s="203" t="s">
        <v>55</v>
      </c>
      <c r="S379" s="201">
        <f t="shared" si="46"/>
        <v>-4.8485252525252154E-3</v>
      </c>
    </row>
    <row r="380" spans="1:19">
      <c r="A380" s="196">
        <v>40518</v>
      </c>
      <c r="B380" s="122">
        <v>24.860001</v>
      </c>
      <c r="C380" s="122">
        <v>25.58</v>
      </c>
      <c r="D380" s="122">
        <v>24.860001</v>
      </c>
      <c r="E380" s="122">
        <v>25.309999000000001</v>
      </c>
      <c r="F380" s="122">
        <v>16.665575</v>
      </c>
      <c r="G380" s="197">
        <v>326800</v>
      </c>
      <c r="H380" s="198">
        <f>IF(AND(E379&gt;=H379,E380&gt;=E379),E379*(1+'Trading Model'!$E$13),IF(AND(E380&lt;E379,E379&gt;=H379),E380*(1+'Trading Model'!$E$13),H379))</f>
        <v>26.312998950000001</v>
      </c>
      <c r="I380" s="198">
        <f>IF(K380&gt;0,E380*(1-'Trading Model'!E390),IF(E380&lt;I379,I379*(1-'Trading Model'!$E$14),I379))</f>
        <v>22.616649097500002</v>
      </c>
      <c r="J380" s="198">
        <f t="shared" si="47"/>
        <v>0</v>
      </c>
      <c r="K380" s="198">
        <f t="shared" si="42"/>
        <v>0</v>
      </c>
      <c r="L380" s="198">
        <f>COUNTIF(J380:K380,"&lt;&gt;0")*-'Trading Model'!$E$15</f>
        <v>0</v>
      </c>
      <c r="M380" s="198">
        <f t="shared" si="40"/>
        <v>0</v>
      </c>
      <c r="N380" s="75">
        <f t="shared" si="43"/>
        <v>24</v>
      </c>
      <c r="O380" s="202">
        <f t="shared" si="44"/>
        <v>0</v>
      </c>
      <c r="P380" s="199">
        <f t="shared" si="41"/>
        <v>0</v>
      </c>
      <c r="Q380" s="203">
        <f t="shared" si="45"/>
        <v>82.100000000001017</v>
      </c>
      <c r="R380" s="203" t="s">
        <v>55</v>
      </c>
      <c r="S380" s="201">
        <f t="shared" si="46"/>
        <v>2.7608608510296673E-2</v>
      </c>
    </row>
    <row r="381" spans="1:19">
      <c r="A381" s="196">
        <v>40519</v>
      </c>
      <c r="B381" s="122">
        <v>25.73</v>
      </c>
      <c r="C381" s="122">
        <v>25.889999</v>
      </c>
      <c r="D381" s="122">
        <v>24.700001</v>
      </c>
      <c r="E381" s="122">
        <v>24.83</v>
      </c>
      <c r="F381" s="122">
        <v>16.349513999999999</v>
      </c>
      <c r="G381" s="197">
        <v>215400</v>
      </c>
      <c r="H381" s="198">
        <f>IF(AND(E380&gt;=H380,E381&gt;=E380),E380*(1+'Trading Model'!$E$13),IF(AND(E381&lt;E380,E380&gt;=H380),E381*(1+'Trading Model'!$E$13),H380))</f>
        <v>26.312998950000001</v>
      </c>
      <c r="I381" s="198">
        <f>IF(K381&gt;0,E381*(1-'Trading Model'!E391),IF(E381&lt;I380,I380*(1-'Trading Model'!$E$14),I380))</f>
        <v>22.616649097500002</v>
      </c>
      <c r="J381" s="198">
        <f t="shared" si="47"/>
        <v>0</v>
      </c>
      <c r="K381" s="198">
        <f t="shared" si="42"/>
        <v>0</v>
      </c>
      <c r="L381" s="198">
        <f>COUNTIF(J381:K381,"&lt;&gt;0")*-'Trading Model'!$E$15</f>
        <v>0</v>
      </c>
      <c r="M381" s="198">
        <f t="shared" si="40"/>
        <v>0</v>
      </c>
      <c r="N381" s="75">
        <f t="shared" si="43"/>
        <v>24</v>
      </c>
      <c r="O381" s="202">
        <f t="shared" si="44"/>
        <v>0</v>
      </c>
      <c r="P381" s="199">
        <f t="shared" si="41"/>
        <v>0</v>
      </c>
      <c r="Q381" s="203">
        <f t="shared" si="45"/>
        <v>82.000000000001023</v>
      </c>
      <c r="R381" s="203" t="s">
        <v>55</v>
      </c>
      <c r="S381" s="201">
        <f t="shared" si="46"/>
        <v>-1.8964797272414069E-2</v>
      </c>
    </row>
    <row r="382" spans="1:19">
      <c r="A382" s="196">
        <v>40520</v>
      </c>
      <c r="B382" s="122">
        <v>24.85</v>
      </c>
      <c r="C382" s="122">
        <v>25.129999000000002</v>
      </c>
      <c r="D382" s="122">
        <v>24.809999000000001</v>
      </c>
      <c r="E382" s="122">
        <v>24.98</v>
      </c>
      <c r="F382" s="122">
        <v>16.448281999999999</v>
      </c>
      <c r="G382" s="197">
        <v>109300</v>
      </c>
      <c r="H382" s="198">
        <f>IF(AND(E381&gt;=H381,E382&gt;=E381),E381*(1+'Trading Model'!$E$13),IF(AND(E382&lt;E381,E381&gt;=H381),E382*(1+'Trading Model'!$E$13),H381))</f>
        <v>26.312998950000001</v>
      </c>
      <c r="I382" s="198">
        <f>IF(K382&gt;0,E382*(1-'Trading Model'!E392),IF(E382&lt;I381,I381*(1-'Trading Model'!$E$14),I381))</f>
        <v>22.616649097500002</v>
      </c>
      <c r="J382" s="198">
        <f t="shared" si="47"/>
        <v>0</v>
      </c>
      <c r="K382" s="198">
        <f t="shared" si="42"/>
        <v>0</v>
      </c>
      <c r="L382" s="198">
        <f>COUNTIF(J382:K382,"&lt;&gt;0")*-'Trading Model'!$E$15</f>
        <v>0</v>
      </c>
      <c r="M382" s="198">
        <f t="shared" si="40"/>
        <v>0</v>
      </c>
      <c r="N382" s="75">
        <f t="shared" si="43"/>
        <v>24</v>
      </c>
      <c r="O382" s="202">
        <f t="shared" si="44"/>
        <v>0</v>
      </c>
      <c r="P382" s="199">
        <f t="shared" si="41"/>
        <v>0</v>
      </c>
      <c r="Q382" s="203">
        <f t="shared" si="45"/>
        <v>82.000000000001023</v>
      </c>
      <c r="R382" s="201">
        <f>E382/B378-1</f>
        <v>8.0709843393469427E-3</v>
      </c>
      <c r="S382" s="201">
        <f t="shared" si="46"/>
        <v>6.0410793395087037E-3</v>
      </c>
    </row>
    <row r="383" spans="1:19">
      <c r="A383" s="196">
        <v>40521</v>
      </c>
      <c r="B383" s="122">
        <v>25.219999000000001</v>
      </c>
      <c r="C383" s="122">
        <v>25.32</v>
      </c>
      <c r="D383" s="122">
        <v>24.84</v>
      </c>
      <c r="E383" s="122">
        <v>24.99</v>
      </c>
      <c r="F383" s="122">
        <v>16.454868000000001</v>
      </c>
      <c r="G383" s="197">
        <v>247200</v>
      </c>
      <c r="H383" s="198">
        <f>IF(AND(E382&gt;=H382,E383&gt;=E382),E382*(1+'Trading Model'!$E$13),IF(AND(E383&lt;E382,E382&gt;=H382),E383*(1+'Trading Model'!$E$13),H382))</f>
        <v>26.312998950000001</v>
      </c>
      <c r="I383" s="198">
        <f>IF(K383&gt;0,E383*(1-'Trading Model'!E393),IF(E383&lt;I382,I382*(1-'Trading Model'!$E$14),I382))</f>
        <v>22.616649097500002</v>
      </c>
      <c r="J383" s="198">
        <f t="shared" si="47"/>
        <v>0</v>
      </c>
      <c r="K383" s="198">
        <f t="shared" si="42"/>
        <v>0</v>
      </c>
      <c r="L383" s="198">
        <f>COUNTIF(J383:K383,"&lt;&gt;0")*-'Trading Model'!$E$15</f>
        <v>0</v>
      </c>
      <c r="M383" s="198">
        <f t="shared" si="40"/>
        <v>0</v>
      </c>
      <c r="N383" s="75">
        <f t="shared" si="43"/>
        <v>24</v>
      </c>
      <c r="O383" s="202">
        <f t="shared" si="44"/>
        <v>0</v>
      </c>
      <c r="P383" s="199">
        <f t="shared" si="41"/>
        <v>0</v>
      </c>
      <c r="Q383" s="203">
        <f t="shared" si="45"/>
        <v>82.000000000001023</v>
      </c>
      <c r="R383" s="160" t="s">
        <v>55</v>
      </c>
      <c r="S383" s="201">
        <f t="shared" si="46"/>
        <v>4.0032025620484468E-4</v>
      </c>
    </row>
    <row r="384" spans="1:19">
      <c r="A384" s="196">
        <v>40522</v>
      </c>
      <c r="B384" s="122">
        <v>25.469999000000001</v>
      </c>
      <c r="C384" s="122">
        <v>26</v>
      </c>
      <c r="D384" s="122">
        <v>25.370000999999998</v>
      </c>
      <c r="E384" s="122">
        <v>25.5</v>
      </c>
      <c r="F384" s="122">
        <v>16.790682</v>
      </c>
      <c r="G384" s="197">
        <v>206500</v>
      </c>
      <c r="H384" s="198">
        <f>IF(AND(E383&gt;=H383,E384&gt;=E383),E383*(1+'Trading Model'!$E$13),IF(AND(E384&lt;E383,E383&gt;=H383),E384*(1+'Trading Model'!$E$13),H383))</f>
        <v>26.312998950000001</v>
      </c>
      <c r="I384" s="198">
        <f>IF(K384&gt;0,E384*(1-'Trading Model'!E394),IF(E384&lt;I383,I383*(1-'Trading Model'!$E$14),I383))</f>
        <v>22.616649097500002</v>
      </c>
      <c r="J384" s="198">
        <f t="shared" si="47"/>
        <v>0</v>
      </c>
      <c r="K384" s="198">
        <f t="shared" si="42"/>
        <v>0</v>
      </c>
      <c r="L384" s="198">
        <f>COUNTIF(J384:K384,"&lt;&gt;0")*-'Trading Model'!$E$15</f>
        <v>0</v>
      </c>
      <c r="M384" s="198">
        <f t="shared" si="40"/>
        <v>0</v>
      </c>
      <c r="N384" s="75">
        <f t="shared" si="43"/>
        <v>24</v>
      </c>
      <c r="O384" s="202">
        <f t="shared" si="44"/>
        <v>0</v>
      </c>
      <c r="P384" s="199">
        <f t="shared" si="41"/>
        <v>0</v>
      </c>
      <c r="Q384" s="203">
        <f t="shared" si="45"/>
        <v>82.000000000001023</v>
      </c>
      <c r="R384" s="203" t="s">
        <v>55</v>
      </c>
      <c r="S384" s="201">
        <f t="shared" si="46"/>
        <v>2.0408163265306145E-2</v>
      </c>
    </row>
    <row r="385" spans="1:19">
      <c r="A385" s="196">
        <v>40525</v>
      </c>
      <c r="B385" s="122">
        <v>25.85</v>
      </c>
      <c r="C385" s="122">
        <v>26.17</v>
      </c>
      <c r="D385" s="122">
        <v>25.75</v>
      </c>
      <c r="E385" s="122">
        <v>25.780000999999999</v>
      </c>
      <c r="F385" s="122">
        <v>16.97505</v>
      </c>
      <c r="G385" s="197">
        <v>169000</v>
      </c>
      <c r="H385" s="198">
        <f>IF(AND(E384&gt;=H384,E385&gt;=E384),E384*(1+'Trading Model'!$E$13),IF(AND(E385&lt;E384,E384&gt;=H384),E385*(1+'Trading Model'!$E$13),H384))</f>
        <v>26.312998950000001</v>
      </c>
      <c r="I385" s="198">
        <f>IF(K385&gt;0,E385*(1-'Trading Model'!E395),IF(E385&lt;I384,I384*(1-'Trading Model'!$E$14),I384))</f>
        <v>22.616649097500002</v>
      </c>
      <c r="J385" s="198">
        <f t="shared" si="47"/>
        <v>0</v>
      </c>
      <c r="K385" s="198">
        <f t="shared" si="42"/>
        <v>0</v>
      </c>
      <c r="L385" s="198">
        <f>COUNTIF(J385:K385,"&lt;&gt;0")*-'Trading Model'!$E$15</f>
        <v>0</v>
      </c>
      <c r="M385" s="198">
        <f t="shared" si="40"/>
        <v>0</v>
      </c>
      <c r="N385" s="75">
        <f t="shared" si="43"/>
        <v>24</v>
      </c>
      <c r="O385" s="202">
        <f t="shared" si="44"/>
        <v>0</v>
      </c>
      <c r="P385" s="199">
        <f t="shared" si="41"/>
        <v>0</v>
      </c>
      <c r="Q385" s="203">
        <f t="shared" si="45"/>
        <v>82.000000000001023</v>
      </c>
      <c r="R385" s="203" t="s">
        <v>55</v>
      </c>
      <c r="S385" s="201">
        <f t="shared" si="46"/>
        <v>1.0980431372549004E-2</v>
      </c>
    </row>
    <row r="386" spans="1:19">
      <c r="A386" s="196">
        <v>40526</v>
      </c>
      <c r="B386" s="122">
        <v>25.92</v>
      </c>
      <c r="C386" s="122">
        <v>26.040001</v>
      </c>
      <c r="D386" s="122">
        <v>25.26</v>
      </c>
      <c r="E386" s="122">
        <v>25.32</v>
      </c>
      <c r="F386" s="122">
        <v>16.672159000000001</v>
      </c>
      <c r="G386" s="197">
        <v>96100</v>
      </c>
      <c r="H386" s="198">
        <f>IF(AND(E385&gt;=H385,E386&gt;=E385),E385*(1+'Trading Model'!$E$13),IF(AND(E386&lt;E385,E385&gt;=H385),E386*(1+'Trading Model'!$E$13),H385))</f>
        <v>26.312998950000001</v>
      </c>
      <c r="I386" s="198">
        <f>IF(K386&gt;0,E386*(1-'Trading Model'!E396),IF(E386&lt;I385,I385*(1-'Trading Model'!$E$14),I385))</f>
        <v>22.616649097500002</v>
      </c>
      <c r="J386" s="198">
        <f t="shared" si="47"/>
        <v>0</v>
      </c>
      <c r="K386" s="198">
        <f t="shared" si="42"/>
        <v>0</v>
      </c>
      <c r="L386" s="198">
        <f>COUNTIF(J386:K386,"&lt;&gt;0")*-'Trading Model'!$E$15</f>
        <v>0</v>
      </c>
      <c r="M386" s="198">
        <f t="shared" si="40"/>
        <v>0</v>
      </c>
      <c r="N386" s="75">
        <f t="shared" si="43"/>
        <v>24</v>
      </c>
      <c r="O386" s="202">
        <f t="shared" si="44"/>
        <v>0</v>
      </c>
      <c r="P386" s="199">
        <f t="shared" si="41"/>
        <v>0</v>
      </c>
      <c r="Q386" s="203">
        <f t="shared" si="45"/>
        <v>81.900000000001029</v>
      </c>
      <c r="R386" s="203" t="s">
        <v>55</v>
      </c>
      <c r="S386" s="201">
        <f t="shared" si="46"/>
        <v>-1.7843327469226899E-2</v>
      </c>
    </row>
    <row r="387" spans="1:19">
      <c r="A387" s="196">
        <v>40527</v>
      </c>
      <c r="B387" s="122">
        <v>24.799999</v>
      </c>
      <c r="C387" s="122">
        <v>25.059999000000001</v>
      </c>
      <c r="D387" s="122">
        <v>24.6</v>
      </c>
      <c r="E387" s="122">
        <v>24.73</v>
      </c>
      <c r="F387" s="122">
        <v>16.588697</v>
      </c>
      <c r="G387" s="197">
        <v>250100</v>
      </c>
      <c r="H387" s="198">
        <f>IF(AND(E386&gt;=H386,E387&gt;=E386),E386*(1+'Trading Model'!$E$13),IF(AND(E387&lt;E386,E386&gt;=H386),E387*(1+'Trading Model'!$E$13),H386))</f>
        <v>26.312998950000001</v>
      </c>
      <c r="I387" s="198">
        <f>IF(K387&gt;0,E387*(1-'Trading Model'!E397),IF(E387&lt;I386,I386*(1-'Trading Model'!$E$14),I386))</f>
        <v>22.616649097500002</v>
      </c>
      <c r="J387" s="198">
        <f t="shared" si="47"/>
        <v>0</v>
      </c>
      <c r="K387" s="198">
        <f t="shared" si="42"/>
        <v>0</v>
      </c>
      <c r="L387" s="198">
        <f>COUNTIF(J387:K387,"&lt;&gt;0")*-'Trading Model'!$E$15</f>
        <v>0</v>
      </c>
      <c r="M387" s="198">
        <f t="shared" ref="M387:M450" si="48">SUM(J387:L387)</f>
        <v>0</v>
      </c>
      <c r="N387" s="75">
        <f t="shared" si="43"/>
        <v>24</v>
      </c>
      <c r="O387" s="202">
        <f t="shared" si="44"/>
        <v>0.46557999999999999</v>
      </c>
      <c r="P387" s="199">
        <f t="shared" ref="P387:P450" si="49">IFERROR(VLOOKUP(A387,Dividends,2,FALSE),$U$1)</f>
        <v>0.46557999999999999</v>
      </c>
      <c r="Q387" s="203">
        <f t="shared" si="45"/>
        <v>81.800000000001035</v>
      </c>
      <c r="R387" s="201">
        <f>E387/B383-1</f>
        <v>-1.9428985702973356E-2</v>
      </c>
      <c r="S387" s="201">
        <f t="shared" si="46"/>
        <v>-2.3301737756714069E-2</v>
      </c>
    </row>
    <row r="388" spans="1:19">
      <c r="A388" s="196">
        <v>40528</v>
      </c>
      <c r="B388" s="122">
        <v>24.77</v>
      </c>
      <c r="C388" s="122">
        <v>24.950001</v>
      </c>
      <c r="D388" s="122">
        <v>24.41</v>
      </c>
      <c r="E388" s="122">
        <v>24.610001</v>
      </c>
      <c r="F388" s="122">
        <v>16.508202000000001</v>
      </c>
      <c r="G388" s="197">
        <v>183600</v>
      </c>
      <c r="H388" s="198">
        <f>IF(AND(E387&gt;=H387,E388&gt;=E387),E387*(1+'Trading Model'!$E$13),IF(AND(E388&lt;E387,E387&gt;=H387),E388*(1+'Trading Model'!$E$13),H387))</f>
        <v>26.312998950000001</v>
      </c>
      <c r="I388" s="198">
        <f>IF(K388&gt;0,E388*(1-'Trading Model'!E398),IF(E388&lt;I387,I387*(1-'Trading Model'!$E$14),I387))</f>
        <v>22.616649097500002</v>
      </c>
      <c r="J388" s="198">
        <f t="shared" si="47"/>
        <v>0</v>
      </c>
      <c r="K388" s="198">
        <f t="shared" ref="K388:K451" si="50">IF(E388&gt;=H388,E388,0)</f>
        <v>0</v>
      </c>
      <c r="L388" s="198">
        <f>COUNTIF(J388:K388,"&lt;&gt;0")*-'Trading Model'!$E$15</f>
        <v>0</v>
      </c>
      <c r="M388" s="198">
        <f t="shared" si="48"/>
        <v>0</v>
      </c>
      <c r="N388" s="75">
        <f t="shared" ref="N388:N451" si="51">IF(AND(J388&lt;0,K388&gt;0),N387,(IF(J388&lt;0,N387+1,IF(K388&gt;0,N387+1,N387))))</f>
        <v>24</v>
      </c>
      <c r="O388" s="202">
        <f t="shared" ref="O388:O451" si="52">P388</f>
        <v>0</v>
      </c>
      <c r="P388" s="199">
        <f t="shared" si="49"/>
        <v>0</v>
      </c>
      <c r="Q388" s="203">
        <f t="shared" ref="Q388:Q451" si="53">IF(E388&lt;E387,Q387-0.1,Q387)</f>
        <v>81.70000000000104</v>
      </c>
      <c r="R388" s="160" t="s">
        <v>55</v>
      </c>
      <c r="S388" s="201">
        <f t="shared" ref="S388:S451" si="54">E388/E387-1</f>
        <v>-4.8523655479174588E-3</v>
      </c>
    </row>
    <row r="389" spans="1:19">
      <c r="A389" s="196">
        <v>40529</v>
      </c>
      <c r="B389" s="122">
        <v>24.59</v>
      </c>
      <c r="C389" s="122">
        <v>24.700001</v>
      </c>
      <c r="D389" s="122">
        <v>24.200001</v>
      </c>
      <c r="E389" s="122">
        <v>24.559999000000001</v>
      </c>
      <c r="F389" s="122">
        <v>16.474661000000001</v>
      </c>
      <c r="G389" s="197">
        <v>158500</v>
      </c>
      <c r="H389" s="198">
        <f>IF(AND(E388&gt;=H388,E389&gt;=E388),E388*(1+'Trading Model'!$E$13),IF(AND(E389&lt;E388,E388&gt;=H388),E389*(1+'Trading Model'!$E$13),H388))</f>
        <v>26.312998950000001</v>
      </c>
      <c r="I389" s="198">
        <f>IF(K389&gt;0,E389*(1-'Trading Model'!E399),IF(E389&lt;I388,I388*(1-'Trading Model'!$E$14),I388))</f>
        <v>22.616649097500002</v>
      </c>
      <c r="J389" s="198">
        <f t="shared" ref="J389:J452" si="55">IF(E389&gt;=H389,-E389,IF(E389&lt;=I388,-E389,0))</f>
        <v>0</v>
      </c>
      <c r="K389" s="198">
        <f t="shared" si="50"/>
        <v>0</v>
      </c>
      <c r="L389" s="198">
        <f>COUNTIF(J389:K389,"&lt;&gt;0")*-'Trading Model'!$E$15</f>
        <v>0</v>
      </c>
      <c r="M389" s="198">
        <f t="shared" si="48"/>
        <v>0</v>
      </c>
      <c r="N389" s="75">
        <f t="shared" si="51"/>
        <v>24</v>
      </c>
      <c r="O389" s="202">
        <f t="shared" si="52"/>
        <v>0</v>
      </c>
      <c r="P389" s="199">
        <f t="shared" si="49"/>
        <v>0</v>
      </c>
      <c r="Q389" s="203">
        <f t="shared" si="53"/>
        <v>81.600000000001046</v>
      </c>
      <c r="R389" s="203" t="s">
        <v>55</v>
      </c>
      <c r="S389" s="201">
        <f t="shared" si="54"/>
        <v>-2.0317756183756419E-3</v>
      </c>
    </row>
    <row r="390" spans="1:19">
      <c r="A390" s="196">
        <v>40532</v>
      </c>
      <c r="B390" s="122">
        <v>24.719999000000001</v>
      </c>
      <c r="C390" s="122">
        <v>25.059999000000001</v>
      </c>
      <c r="D390" s="122">
        <v>24.57</v>
      </c>
      <c r="E390" s="122">
        <v>24.84</v>
      </c>
      <c r="F390" s="122">
        <v>16.662485</v>
      </c>
      <c r="G390" s="197">
        <v>174500</v>
      </c>
      <c r="H390" s="198">
        <f>IF(AND(E389&gt;=H389,E390&gt;=E389),E389*(1+'Trading Model'!$E$13),IF(AND(E390&lt;E389,E389&gt;=H389),E390*(1+'Trading Model'!$E$13),H389))</f>
        <v>26.312998950000001</v>
      </c>
      <c r="I390" s="198">
        <f>IF(K390&gt;0,E390*(1-'Trading Model'!E400),IF(E390&lt;I389,I389*(1-'Trading Model'!$E$14),I389))</f>
        <v>22.616649097500002</v>
      </c>
      <c r="J390" s="198">
        <f t="shared" si="55"/>
        <v>0</v>
      </c>
      <c r="K390" s="198">
        <f t="shared" si="50"/>
        <v>0</v>
      </c>
      <c r="L390" s="198">
        <f>COUNTIF(J390:K390,"&lt;&gt;0")*-'Trading Model'!$E$15</f>
        <v>0</v>
      </c>
      <c r="M390" s="198">
        <f t="shared" si="48"/>
        <v>0</v>
      </c>
      <c r="N390" s="75">
        <f t="shared" si="51"/>
        <v>24</v>
      </c>
      <c r="O390" s="202">
        <f t="shared" si="52"/>
        <v>0</v>
      </c>
      <c r="P390" s="199">
        <f t="shared" si="49"/>
        <v>0</v>
      </c>
      <c r="Q390" s="203">
        <f t="shared" si="53"/>
        <v>81.600000000001046</v>
      </c>
      <c r="R390" s="203" t="s">
        <v>55</v>
      </c>
      <c r="S390" s="201">
        <f t="shared" si="54"/>
        <v>1.1400692646607924E-2</v>
      </c>
    </row>
    <row r="391" spans="1:19">
      <c r="A391" s="196">
        <v>40533</v>
      </c>
      <c r="B391" s="122">
        <v>25.1</v>
      </c>
      <c r="C391" s="122">
        <v>25.129999000000002</v>
      </c>
      <c r="D391" s="122">
        <v>24.65</v>
      </c>
      <c r="E391" s="122">
        <v>24.719999000000001</v>
      </c>
      <c r="F391" s="122">
        <v>16.581987000000002</v>
      </c>
      <c r="G391" s="197">
        <v>223900</v>
      </c>
      <c r="H391" s="198">
        <f>IF(AND(E390&gt;=H390,E391&gt;=E390),E390*(1+'Trading Model'!$E$13),IF(AND(E391&lt;E390,E390&gt;=H390),E391*(1+'Trading Model'!$E$13),H390))</f>
        <v>26.312998950000001</v>
      </c>
      <c r="I391" s="198">
        <f>IF(K391&gt;0,E391*(1-'Trading Model'!E401),IF(E391&lt;I390,I390*(1-'Trading Model'!$E$14),I390))</f>
        <v>22.616649097500002</v>
      </c>
      <c r="J391" s="198">
        <f t="shared" si="55"/>
        <v>0</v>
      </c>
      <c r="K391" s="198">
        <f t="shared" si="50"/>
        <v>0</v>
      </c>
      <c r="L391" s="198">
        <f>COUNTIF(J391:K391,"&lt;&gt;0")*-'Trading Model'!$E$15</f>
        <v>0</v>
      </c>
      <c r="M391" s="198">
        <f t="shared" si="48"/>
        <v>0</v>
      </c>
      <c r="N391" s="75">
        <f t="shared" si="51"/>
        <v>24</v>
      </c>
      <c r="O391" s="202">
        <f t="shared" si="52"/>
        <v>0</v>
      </c>
      <c r="P391" s="199">
        <f t="shared" si="49"/>
        <v>0</v>
      </c>
      <c r="Q391" s="203">
        <f t="shared" si="53"/>
        <v>81.500000000001052</v>
      </c>
      <c r="R391" s="203" t="s">
        <v>55</v>
      </c>
      <c r="S391" s="201">
        <f t="shared" si="54"/>
        <v>-4.8309581320450379E-3</v>
      </c>
    </row>
    <row r="392" spans="1:19">
      <c r="A392" s="196">
        <v>40534</v>
      </c>
      <c r="B392" s="122">
        <v>24.58</v>
      </c>
      <c r="C392" s="122">
        <v>25.01</v>
      </c>
      <c r="D392" s="122">
        <v>24.5</v>
      </c>
      <c r="E392" s="122">
        <v>24.860001</v>
      </c>
      <c r="F392" s="122">
        <v>16.675898</v>
      </c>
      <c r="G392" s="197">
        <v>155700</v>
      </c>
      <c r="H392" s="198">
        <f>IF(AND(E391&gt;=H391,E392&gt;=E391),E391*(1+'Trading Model'!$E$13),IF(AND(E392&lt;E391,E391&gt;=H391),E392*(1+'Trading Model'!$E$13),H391))</f>
        <v>26.312998950000001</v>
      </c>
      <c r="I392" s="198">
        <f>IF(K392&gt;0,E392*(1-'Trading Model'!E402),IF(E392&lt;I391,I391*(1-'Trading Model'!$E$14),I391))</f>
        <v>22.616649097500002</v>
      </c>
      <c r="J392" s="198">
        <f t="shared" si="55"/>
        <v>0</v>
      </c>
      <c r="K392" s="198">
        <f t="shared" si="50"/>
        <v>0</v>
      </c>
      <c r="L392" s="198">
        <f>COUNTIF(J392:K392,"&lt;&gt;0")*-'Trading Model'!$E$15</f>
        <v>0</v>
      </c>
      <c r="M392" s="198">
        <f t="shared" si="48"/>
        <v>0</v>
      </c>
      <c r="N392" s="75">
        <f t="shared" si="51"/>
        <v>24</v>
      </c>
      <c r="O392" s="202">
        <f t="shared" si="52"/>
        <v>0</v>
      </c>
      <c r="P392" s="199">
        <f t="shared" si="49"/>
        <v>0</v>
      </c>
      <c r="Q392" s="203">
        <f t="shared" si="53"/>
        <v>81.500000000001052</v>
      </c>
      <c r="R392" s="201">
        <f>E392/B388-1</f>
        <v>3.6334679047234086E-3</v>
      </c>
      <c r="S392" s="201">
        <f t="shared" si="54"/>
        <v>5.6635115559673377E-3</v>
      </c>
    </row>
    <row r="393" spans="1:19">
      <c r="A393" s="196">
        <v>40535</v>
      </c>
      <c r="B393" s="122">
        <v>24.91</v>
      </c>
      <c r="C393" s="122">
        <v>25.030000999999999</v>
      </c>
      <c r="D393" s="122">
        <v>24.82</v>
      </c>
      <c r="E393" s="122">
        <v>24.950001</v>
      </c>
      <c r="F393" s="122">
        <v>16.736274999999999</v>
      </c>
      <c r="G393" s="197">
        <v>127600</v>
      </c>
      <c r="H393" s="198">
        <f>IF(AND(E392&gt;=H392,E393&gt;=E392),E392*(1+'Trading Model'!$E$13),IF(AND(E393&lt;E392,E392&gt;=H392),E393*(1+'Trading Model'!$E$13),H392))</f>
        <v>26.312998950000001</v>
      </c>
      <c r="I393" s="198">
        <f>IF(K393&gt;0,E393*(1-'Trading Model'!E403),IF(E393&lt;I392,I392*(1-'Trading Model'!$E$14),I392))</f>
        <v>22.616649097500002</v>
      </c>
      <c r="J393" s="198">
        <f t="shared" si="55"/>
        <v>0</v>
      </c>
      <c r="K393" s="198">
        <f t="shared" si="50"/>
        <v>0</v>
      </c>
      <c r="L393" s="198">
        <f>COUNTIF(J393:K393,"&lt;&gt;0")*-'Trading Model'!$E$15</f>
        <v>0</v>
      </c>
      <c r="M393" s="198">
        <f t="shared" si="48"/>
        <v>0</v>
      </c>
      <c r="N393" s="75">
        <f t="shared" si="51"/>
        <v>24</v>
      </c>
      <c r="O393" s="202">
        <f t="shared" si="52"/>
        <v>0</v>
      </c>
      <c r="P393" s="199">
        <f t="shared" si="49"/>
        <v>0</v>
      </c>
      <c r="Q393" s="203">
        <f t="shared" si="53"/>
        <v>81.500000000001052</v>
      </c>
      <c r="R393" s="160" t="s">
        <v>55</v>
      </c>
      <c r="S393" s="201">
        <f t="shared" si="54"/>
        <v>3.6202733861514513E-3</v>
      </c>
    </row>
    <row r="394" spans="1:19">
      <c r="A394" s="196">
        <v>40539</v>
      </c>
      <c r="B394" s="122">
        <v>25.040001</v>
      </c>
      <c r="C394" s="122">
        <v>25.139999</v>
      </c>
      <c r="D394" s="122">
        <v>24.860001</v>
      </c>
      <c r="E394" s="122">
        <v>24.92</v>
      </c>
      <c r="F394" s="122">
        <v>16.716148</v>
      </c>
      <c r="G394" s="197">
        <v>94100</v>
      </c>
      <c r="H394" s="198">
        <f>IF(AND(E393&gt;=H393,E394&gt;=E393),E393*(1+'Trading Model'!$E$13),IF(AND(E394&lt;E393,E393&gt;=H393),E394*(1+'Trading Model'!$E$13),H393))</f>
        <v>26.312998950000001</v>
      </c>
      <c r="I394" s="198">
        <f>IF(K394&gt;0,E394*(1-'Trading Model'!E404),IF(E394&lt;I393,I393*(1-'Trading Model'!$E$14),I393))</f>
        <v>22.616649097500002</v>
      </c>
      <c r="J394" s="198">
        <f t="shared" si="55"/>
        <v>0</v>
      </c>
      <c r="K394" s="198">
        <f t="shared" si="50"/>
        <v>0</v>
      </c>
      <c r="L394" s="198">
        <f>COUNTIF(J394:K394,"&lt;&gt;0")*-'Trading Model'!$E$15</f>
        <v>0</v>
      </c>
      <c r="M394" s="198">
        <f t="shared" si="48"/>
        <v>0</v>
      </c>
      <c r="N394" s="75">
        <f t="shared" si="51"/>
        <v>24</v>
      </c>
      <c r="O394" s="202">
        <f t="shared" si="52"/>
        <v>0</v>
      </c>
      <c r="P394" s="199">
        <f t="shared" si="49"/>
        <v>0</v>
      </c>
      <c r="Q394" s="203">
        <f t="shared" si="53"/>
        <v>81.400000000001057</v>
      </c>
      <c r="R394" s="203" t="s">
        <v>55</v>
      </c>
      <c r="S394" s="201">
        <f t="shared" si="54"/>
        <v>-1.2024448415852707E-3</v>
      </c>
    </row>
    <row r="395" spans="1:19">
      <c r="A395" s="196">
        <v>40540</v>
      </c>
      <c r="B395" s="122">
        <v>25</v>
      </c>
      <c r="C395" s="122">
        <v>25</v>
      </c>
      <c r="D395" s="122">
        <v>24.67</v>
      </c>
      <c r="E395" s="122">
        <v>24.73</v>
      </c>
      <c r="F395" s="122">
        <v>16.588697</v>
      </c>
      <c r="G395" s="197">
        <v>61400</v>
      </c>
      <c r="H395" s="198">
        <f>IF(AND(E394&gt;=H394,E395&gt;=E394),E394*(1+'Trading Model'!$E$13),IF(AND(E395&lt;E394,E394&gt;=H394),E395*(1+'Trading Model'!$E$13),H394))</f>
        <v>26.312998950000001</v>
      </c>
      <c r="I395" s="198">
        <f>IF(K395&gt;0,E395*(1-'Trading Model'!E405),IF(E395&lt;I394,I394*(1-'Trading Model'!$E$14),I394))</f>
        <v>22.616649097500002</v>
      </c>
      <c r="J395" s="198">
        <f t="shared" si="55"/>
        <v>0</v>
      </c>
      <c r="K395" s="198">
        <f t="shared" si="50"/>
        <v>0</v>
      </c>
      <c r="L395" s="198">
        <f>COUNTIF(J395:K395,"&lt;&gt;0")*-'Trading Model'!$E$15</f>
        <v>0</v>
      </c>
      <c r="M395" s="198">
        <f t="shared" si="48"/>
        <v>0</v>
      </c>
      <c r="N395" s="75">
        <f t="shared" si="51"/>
        <v>24</v>
      </c>
      <c r="O395" s="202">
        <f t="shared" si="52"/>
        <v>0</v>
      </c>
      <c r="P395" s="199">
        <f t="shared" si="49"/>
        <v>0</v>
      </c>
      <c r="Q395" s="203">
        <f t="shared" si="53"/>
        <v>81.300000000001063</v>
      </c>
      <c r="R395" s="203" t="s">
        <v>55</v>
      </c>
      <c r="S395" s="201">
        <f t="shared" si="54"/>
        <v>-7.6243980738363026E-3</v>
      </c>
    </row>
    <row r="396" spans="1:19">
      <c r="A396" s="196">
        <v>40541</v>
      </c>
      <c r="B396" s="122">
        <v>25</v>
      </c>
      <c r="C396" s="122">
        <v>25.280000999999999</v>
      </c>
      <c r="D396" s="122">
        <v>24.82</v>
      </c>
      <c r="E396" s="122">
        <v>24.85</v>
      </c>
      <c r="F396" s="122">
        <v>16.669194999999998</v>
      </c>
      <c r="G396" s="197">
        <v>93700</v>
      </c>
      <c r="H396" s="198">
        <f>IF(AND(E395&gt;=H395,E396&gt;=E395),E395*(1+'Trading Model'!$E$13),IF(AND(E396&lt;E395,E395&gt;=H395),E396*(1+'Trading Model'!$E$13),H395))</f>
        <v>26.312998950000001</v>
      </c>
      <c r="I396" s="198">
        <f>IF(K396&gt;0,E396*(1-'Trading Model'!E406),IF(E396&lt;I395,I395*(1-'Trading Model'!$E$14),I395))</f>
        <v>22.616649097500002</v>
      </c>
      <c r="J396" s="198">
        <f t="shared" si="55"/>
        <v>0</v>
      </c>
      <c r="K396" s="198">
        <f t="shared" si="50"/>
        <v>0</v>
      </c>
      <c r="L396" s="198">
        <f>COUNTIF(J396:K396,"&lt;&gt;0")*-'Trading Model'!$E$15</f>
        <v>0</v>
      </c>
      <c r="M396" s="198">
        <f t="shared" si="48"/>
        <v>0</v>
      </c>
      <c r="N396" s="75">
        <f t="shared" si="51"/>
        <v>24</v>
      </c>
      <c r="O396" s="202">
        <f t="shared" si="52"/>
        <v>0</v>
      </c>
      <c r="P396" s="199">
        <f t="shared" si="49"/>
        <v>0</v>
      </c>
      <c r="Q396" s="203">
        <f t="shared" si="53"/>
        <v>81.300000000001063</v>
      </c>
      <c r="R396" s="203" t="s">
        <v>55</v>
      </c>
      <c r="S396" s="201">
        <f t="shared" si="54"/>
        <v>4.8524059846339895E-3</v>
      </c>
    </row>
    <row r="397" spans="1:19">
      <c r="A397" s="196">
        <v>40542</v>
      </c>
      <c r="B397" s="122">
        <v>24.92</v>
      </c>
      <c r="C397" s="122">
        <v>24.940000999999999</v>
      </c>
      <c r="D397" s="122">
        <v>24.709999</v>
      </c>
      <c r="E397" s="122">
        <v>24.82</v>
      </c>
      <c r="F397" s="122">
        <v>16.649070999999999</v>
      </c>
      <c r="G397" s="197">
        <v>94900</v>
      </c>
      <c r="H397" s="198">
        <f>IF(AND(E396&gt;=H396,E397&gt;=E396),E396*(1+'Trading Model'!$E$13),IF(AND(E397&lt;E396,E396&gt;=H396),E397*(1+'Trading Model'!$E$13),H396))</f>
        <v>26.312998950000001</v>
      </c>
      <c r="I397" s="198">
        <f>IF(K397&gt;0,E397*(1-'Trading Model'!E407),IF(E397&lt;I396,I396*(1-'Trading Model'!$E$14),I396))</f>
        <v>22.616649097500002</v>
      </c>
      <c r="J397" s="198">
        <f t="shared" si="55"/>
        <v>0</v>
      </c>
      <c r="K397" s="198">
        <f t="shared" si="50"/>
        <v>0</v>
      </c>
      <c r="L397" s="198">
        <f>COUNTIF(J397:K397,"&lt;&gt;0")*-'Trading Model'!$E$15</f>
        <v>0</v>
      </c>
      <c r="M397" s="198">
        <f t="shared" si="48"/>
        <v>0</v>
      </c>
      <c r="N397" s="75">
        <f t="shared" si="51"/>
        <v>24</v>
      </c>
      <c r="O397" s="202">
        <f t="shared" si="52"/>
        <v>0</v>
      </c>
      <c r="P397" s="199">
        <f t="shared" si="49"/>
        <v>0</v>
      </c>
      <c r="Q397" s="203">
        <f t="shared" si="53"/>
        <v>81.200000000001069</v>
      </c>
      <c r="R397" s="201">
        <f>E397/B393-1</f>
        <v>-3.6130068245684432E-3</v>
      </c>
      <c r="S397" s="201">
        <f t="shared" si="54"/>
        <v>-1.2072434607646176E-3</v>
      </c>
    </row>
    <row r="398" spans="1:19">
      <c r="A398" s="196">
        <v>40543</v>
      </c>
      <c r="B398" s="122">
        <v>24.77</v>
      </c>
      <c r="C398" s="122">
        <v>24.959999</v>
      </c>
      <c r="D398" s="122">
        <v>24.73</v>
      </c>
      <c r="E398" s="122">
        <v>24.889999</v>
      </c>
      <c r="F398" s="122">
        <v>16.696021999999999</v>
      </c>
      <c r="G398" s="197">
        <v>57400</v>
      </c>
      <c r="H398" s="198">
        <f>IF(AND(E397&gt;=H397,E398&gt;=E397),E397*(1+'Trading Model'!$E$13),IF(AND(E398&lt;E397,E397&gt;=H397),E398*(1+'Trading Model'!$E$13),H397))</f>
        <v>26.312998950000001</v>
      </c>
      <c r="I398" s="198">
        <f>IF(K398&gt;0,E398*(1-'Trading Model'!E408),IF(E398&lt;I397,I397*(1-'Trading Model'!$E$14),I397))</f>
        <v>22.616649097500002</v>
      </c>
      <c r="J398" s="198">
        <f t="shared" si="55"/>
        <v>0</v>
      </c>
      <c r="K398" s="198">
        <f t="shared" si="50"/>
        <v>0</v>
      </c>
      <c r="L398" s="198">
        <f>COUNTIF(J398:K398,"&lt;&gt;0")*-'Trading Model'!$E$15</f>
        <v>0</v>
      </c>
      <c r="M398" s="198">
        <f t="shared" si="48"/>
        <v>0</v>
      </c>
      <c r="N398" s="75">
        <f t="shared" si="51"/>
        <v>24</v>
      </c>
      <c r="O398" s="202">
        <f t="shared" si="52"/>
        <v>0</v>
      </c>
      <c r="P398" s="199">
        <f t="shared" si="49"/>
        <v>0</v>
      </c>
      <c r="Q398" s="203">
        <f t="shared" si="53"/>
        <v>81.200000000001069</v>
      </c>
      <c r="R398" s="160" t="s">
        <v>55</v>
      </c>
      <c r="S398" s="201">
        <f t="shared" si="54"/>
        <v>2.8202659145850628E-3</v>
      </c>
    </row>
    <row r="399" spans="1:19">
      <c r="A399" s="196">
        <v>40546</v>
      </c>
      <c r="B399" s="122">
        <v>25.120000999999998</v>
      </c>
      <c r="C399" s="122">
        <v>25.49</v>
      </c>
      <c r="D399" s="122">
        <v>25.1</v>
      </c>
      <c r="E399" s="122">
        <v>25.219999000000001</v>
      </c>
      <c r="F399" s="122">
        <v>16.917384999999999</v>
      </c>
      <c r="G399" s="197">
        <v>314500</v>
      </c>
      <c r="H399" s="198">
        <f>IF(AND(E398&gt;=H398,E399&gt;=E398),E398*(1+'Trading Model'!$E$13),IF(AND(E399&lt;E398,E398&gt;=H398),E399*(1+'Trading Model'!$E$13),H398))</f>
        <v>26.312998950000001</v>
      </c>
      <c r="I399" s="198">
        <f>IF(K399&gt;0,E399*(1-'Trading Model'!E409),IF(E399&lt;I398,I398*(1-'Trading Model'!$E$14),I398))</f>
        <v>22.616649097500002</v>
      </c>
      <c r="J399" s="198">
        <f t="shared" si="55"/>
        <v>0</v>
      </c>
      <c r="K399" s="198">
        <f t="shared" si="50"/>
        <v>0</v>
      </c>
      <c r="L399" s="198">
        <f>COUNTIF(J399:K399,"&lt;&gt;0")*-'Trading Model'!$E$15</f>
        <v>0</v>
      </c>
      <c r="M399" s="198">
        <f t="shared" si="48"/>
        <v>0</v>
      </c>
      <c r="N399" s="75">
        <f t="shared" si="51"/>
        <v>24</v>
      </c>
      <c r="O399" s="202">
        <f t="shared" si="52"/>
        <v>0</v>
      </c>
      <c r="P399" s="199">
        <f t="shared" si="49"/>
        <v>0</v>
      </c>
      <c r="Q399" s="203">
        <f t="shared" si="53"/>
        <v>81.200000000001069</v>
      </c>
      <c r="R399" s="203" t="s">
        <v>55</v>
      </c>
      <c r="S399" s="201">
        <f t="shared" si="54"/>
        <v>1.3258337214075544E-2</v>
      </c>
    </row>
    <row r="400" spans="1:19">
      <c r="A400" s="196">
        <v>40547</v>
      </c>
      <c r="B400" s="122">
        <v>25.709999</v>
      </c>
      <c r="C400" s="122">
        <v>25.860001</v>
      </c>
      <c r="D400" s="122">
        <v>25.299999</v>
      </c>
      <c r="E400" s="122">
        <v>25.530000999999999</v>
      </c>
      <c r="F400" s="122">
        <v>17.125333999999999</v>
      </c>
      <c r="G400" s="197">
        <v>403400</v>
      </c>
      <c r="H400" s="198">
        <f>IF(AND(E399&gt;=H399,E400&gt;=E399),E399*(1+'Trading Model'!$E$13),IF(AND(E400&lt;E399,E399&gt;=H399),E400*(1+'Trading Model'!$E$13),H399))</f>
        <v>26.312998950000001</v>
      </c>
      <c r="I400" s="198">
        <f>IF(K400&gt;0,E400*(1-'Trading Model'!E410),IF(E400&lt;I399,I399*(1-'Trading Model'!$E$14),I399))</f>
        <v>22.616649097500002</v>
      </c>
      <c r="J400" s="198">
        <f t="shared" si="55"/>
        <v>0</v>
      </c>
      <c r="K400" s="198">
        <f t="shared" si="50"/>
        <v>0</v>
      </c>
      <c r="L400" s="198">
        <f>COUNTIF(J400:K400,"&lt;&gt;0")*-'Trading Model'!$E$15</f>
        <v>0</v>
      </c>
      <c r="M400" s="198">
        <f t="shared" si="48"/>
        <v>0</v>
      </c>
      <c r="N400" s="75">
        <f t="shared" si="51"/>
        <v>24</v>
      </c>
      <c r="O400" s="202">
        <f t="shared" si="52"/>
        <v>0</v>
      </c>
      <c r="P400" s="199">
        <f t="shared" si="49"/>
        <v>0</v>
      </c>
      <c r="Q400" s="203">
        <f t="shared" si="53"/>
        <v>81.200000000001069</v>
      </c>
      <c r="R400" s="203" t="s">
        <v>55</v>
      </c>
      <c r="S400" s="201">
        <f t="shared" si="54"/>
        <v>1.2291911668989242E-2</v>
      </c>
    </row>
    <row r="401" spans="1:19">
      <c r="A401" s="196">
        <v>40548</v>
      </c>
      <c r="B401" s="122">
        <v>25.360001</v>
      </c>
      <c r="C401" s="122">
        <v>25.58</v>
      </c>
      <c r="D401" s="122">
        <v>25.25</v>
      </c>
      <c r="E401" s="122">
        <v>25.370000999999998</v>
      </c>
      <c r="F401" s="122">
        <v>17.018004999999999</v>
      </c>
      <c r="G401" s="197">
        <v>287400</v>
      </c>
      <c r="H401" s="198">
        <f>IF(AND(E400&gt;=H400,E401&gt;=E400),E400*(1+'Trading Model'!$E$13),IF(AND(E401&lt;E400,E400&gt;=H400),E401*(1+'Trading Model'!$E$13),H400))</f>
        <v>26.312998950000001</v>
      </c>
      <c r="I401" s="198">
        <f>IF(K401&gt;0,E401*(1-'Trading Model'!E411),IF(E401&lt;I400,I400*(1-'Trading Model'!$E$14),I400))</f>
        <v>22.616649097500002</v>
      </c>
      <c r="J401" s="198">
        <f t="shared" si="55"/>
        <v>0</v>
      </c>
      <c r="K401" s="198">
        <f t="shared" si="50"/>
        <v>0</v>
      </c>
      <c r="L401" s="198">
        <f>COUNTIF(J401:K401,"&lt;&gt;0")*-'Trading Model'!$E$15</f>
        <v>0</v>
      </c>
      <c r="M401" s="198">
        <f t="shared" si="48"/>
        <v>0</v>
      </c>
      <c r="N401" s="75">
        <f t="shared" si="51"/>
        <v>24</v>
      </c>
      <c r="O401" s="202">
        <f t="shared" si="52"/>
        <v>0</v>
      </c>
      <c r="P401" s="199">
        <f t="shared" si="49"/>
        <v>0</v>
      </c>
      <c r="Q401" s="203">
        <f t="shared" si="53"/>
        <v>81.100000000001074</v>
      </c>
      <c r="R401" s="203" t="s">
        <v>55</v>
      </c>
      <c r="S401" s="201">
        <f t="shared" si="54"/>
        <v>-6.2671364564380605E-3</v>
      </c>
    </row>
    <row r="402" spans="1:19">
      <c r="A402" s="196">
        <v>40549</v>
      </c>
      <c r="B402" s="122">
        <v>25.280000999999999</v>
      </c>
      <c r="C402" s="122">
        <v>26.389999</v>
      </c>
      <c r="D402" s="122">
        <v>25.280000999999999</v>
      </c>
      <c r="E402" s="122">
        <v>25.75</v>
      </c>
      <c r="F402" s="122">
        <v>17.272907</v>
      </c>
      <c r="G402" s="197">
        <v>622500</v>
      </c>
      <c r="H402" s="198">
        <f>IF(AND(E401&gt;=H401,E402&gt;=E401),E401*(1+'Trading Model'!$E$13),IF(AND(E402&lt;E401,E401&gt;=H401),E402*(1+'Trading Model'!$E$13),H401))</f>
        <v>26.312998950000001</v>
      </c>
      <c r="I402" s="198">
        <f>IF(K402&gt;0,E402*(1-'Trading Model'!E412),IF(E402&lt;I401,I401*(1-'Trading Model'!$E$14),I401))</f>
        <v>22.616649097500002</v>
      </c>
      <c r="J402" s="198">
        <f t="shared" si="55"/>
        <v>0</v>
      </c>
      <c r="K402" s="198">
        <f t="shared" si="50"/>
        <v>0</v>
      </c>
      <c r="L402" s="198">
        <f>COUNTIF(J402:K402,"&lt;&gt;0")*-'Trading Model'!$E$15</f>
        <v>0</v>
      </c>
      <c r="M402" s="198">
        <f t="shared" si="48"/>
        <v>0</v>
      </c>
      <c r="N402" s="75">
        <f t="shared" si="51"/>
        <v>24</v>
      </c>
      <c r="O402" s="202">
        <f t="shared" si="52"/>
        <v>0</v>
      </c>
      <c r="P402" s="199">
        <f t="shared" si="49"/>
        <v>0</v>
      </c>
      <c r="Q402" s="203">
        <f t="shared" si="53"/>
        <v>81.100000000001074</v>
      </c>
      <c r="R402" s="201">
        <f>E402/B398-1</f>
        <v>3.9563988696003305E-2</v>
      </c>
      <c r="S402" s="201">
        <f t="shared" si="54"/>
        <v>1.4978280844372138E-2</v>
      </c>
    </row>
    <row r="403" spans="1:19">
      <c r="A403" s="196">
        <v>40550</v>
      </c>
      <c r="B403" s="122">
        <v>26.290001</v>
      </c>
      <c r="C403" s="122">
        <v>26.860001</v>
      </c>
      <c r="D403" s="122">
        <v>25.48</v>
      </c>
      <c r="E403" s="122">
        <v>25.65</v>
      </c>
      <c r="F403" s="122">
        <v>17.205824</v>
      </c>
      <c r="G403" s="197">
        <v>698100</v>
      </c>
      <c r="H403" s="198">
        <f>IF(AND(E402&gt;=H402,E403&gt;=E402),E402*(1+'Trading Model'!$E$13),IF(AND(E403&lt;E402,E402&gt;=H402),E403*(1+'Trading Model'!$E$13),H402))</f>
        <v>26.312998950000001</v>
      </c>
      <c r="I403" s="198">
        <f>IF(K403&gt;0,E403*(1-'Trading Model'!E413),IF(E403&lt;I402,I402*(1-'Trading Model'!$E$14),I402))</f>
        <v>22.616649097500002</v>
      </c>
      <c r="J403" s="198">
        <f t="shared" si="55"/>
        <v>0</v>
      </c>
      <c r="K403" s="198">
        <f t="shared" si="50"/>
        <v>0</v>
      </c>
      <c r="L403" s="198">
        <f>COUNTIF(J403:K403,"&lt;&gt;0")*-'Trading Model'!$E$15</f>
        <v>0</v>
      </c>
      <c r="M403" s="198">
        <f t="shared" si="48"/>
        <v>0</v>
      </c>
      <c r="N403" s="75">
        <f t="shared" si="51"/>
        <v>24</v>
      </c>
      <c r="O403" s="202">
        <f t="shared" si="52"/>
        <v>0</v>
      </c>
      <c r="P403" s="199">
        <f t="shared" si="49"/>
        <v>0</v>
      </c>
      <c r="Q403" s="203">
        <f t="shared" si="53"/>
        <v>81.00000000000108</v>
      </c>
      <c r="R403" s="160" t="s">
        <v>55</v>
      </c>
      <c r="S403" s="201">
        <f t="shared" si="54"/>
        <v>-3.8834951456311328E-3</v>
      </c>
    </row>
    <row r="404" spans="1:19">
      <c r="A404" s="196">
        <v>40553</v>
      </c>
      <c r="B404" s="122">
        <v>25.690000999999999</v>
      </c>
      <c r="C404" s="122">
        <v>25.91</v>
      </c>
      <c r="D404" s="122">
        <v>25.5</v>
      </c>
      <c r="E404" s="122">
        <v>25.85</v>
      </c>
      <c r="F404" s="122">
        <v>17.339983</v>
      </c>
      <c r="G404" s="197">
        <v>306100</v>
      </c>
      <c r="H404" s="198">
        <f>IF(AND(E403&gt;=H403,E404&gt;=E403),E403*(1+'Trading Model'!$E$13),IF(AND(E404&lt;E403,E403&gt;=H403),E404*(1+'Trading Model'!$E$13),H403))</f>
        <v>26.312998950000001</v>
      </c>
      <c r="I404" s="198">
        <f>IF(K404&gt;0,E404*(1-'Trading Model'!E414),IF(E404&lt;I403,I403*(1-'Trading Model'!$E$14),I403))</f>
        <v>22.616649097500002</v>
      </c>
      <c r="J404" s="198">
        <f t="shared" si="55"/>
        <v>0</v>
      </c>
      <c r="K404" s="198">
        <f t="shared" si="50"/>
        <v>0</v>
      </c>
      <c r="L404" s="198">
        <f>COUNTIF(J404:K404,"&lt;&gt;0")*-'Trading Model'!$E$15</f>
        <v>0</v>
      </c>
      <c r="M404" s="198">
        <f t="shared" si="48"/>
        <v>0</v>
      </c>
      <c r="N404" s="75">
        <f t="shared" si="51"/>
        <v>24</v>
      </c>
      <c r="O404" s="202">
        <f t="shared" si="52"/>
        <v>0</v>
      </c>
      <c r="P404" s="199">
        <f t="shared" si="49"/>
        <v>0</v>
      </c>
      <c r="Q404" s="203">
        <f t="shared" si="53"/>
        <v>81.00000000000108</v>
      </c>
      <c r="R404" s="203" t="s">
        <v>55</v>
      </c>
      <c r="S404" s="201">
        <f t="shared" si="54"/>
        <v>7.7972709551659136E-3</v>
      </c>
    </row>
    <row r="405" spans="1:19">
      <c r="A405" s="196">
        <v>40554</v>
      </c>
      <c r="B405" s="122">
        <v>25.91</v>
      </c>
      <c r="C405" s="122">
        <v>26.25</v>
      </c>
      <c r="D405" s="122">
        <v>25.85</v>
      </c>
      <c r="E405" s="122">
        <v>25.940000999999999</v>
      </c>
      <c r="F405" s="122">
        <v>17.400359999999999</v>
      </c>
      <c r="G405" s="197">
        <v>200400</v>
      </c>
      <c r="H405" s="198">
        <f>IF(AND(E404&gt;=H404,E405&gt;=E404),E404*(1+'Trading Model'!$E$13),IF(AND(E405&lt;E404,E404&gt;=H404),E405*(1+'Trading Model'!$E$13),H404))</f>
        <v>26.312998950000001</v>
      </c>
      <c r="I405" s="198">
        <f>IF(K405&gt;0,E405*(1-'Trading Model'!E415),IF(E405&lt;I404,I404*(1-'Trading Model'!$E$14),I404))</f>
        <v>22.616649097500002</v>
      </c>
      <c r="J405" s="198">
        <f t="shared" si="55"/>
        <v>0</v>
      </c>
      <c r="K405" s="198">
        <f t="shared" si="50"/>
        <v>0</v>
      </c>
      <c r="L405" s="198">
        <f>COUNTIF(J405:K405,"&lt;&gt;0")*-'Trading Model'!$E$15</f>
        <v>0</v>
      </c>
      <c r="M405" s="198">
        <f t="shared" si="48"/>
        <v>0</v>
      </c>
      <c r="N405" s="75">
        <f t="shared" si="51"/>
        <v>24</v>
      </c>
      <c r="O405" s="202">
        <f t="shared" si="52"/>
        <v>0</v>
      </c>
      <c r="P405" s="199">
        <f t="shared" si="49"/>
        <v>0</v>
      </c>
      <c r="Q405" s="203">
        <f t="shared" si="53"/>
        <v>81.00000000000108</v>
      </c>
      <c r="R405" s="203" t="s">
        <v>55</v>
      </c>
      <c r="S405" s="201">
        <f t="shared" si="54"/>
        <v>3.4816634429399862E-3</v>
      </c>
    </row>
    <row r="406" spans="1:19">
      <c r="A406" s="196">
        <v>40555</v>
      </c>
      <c r="B406" s="122">
        <v>26.209999</v>
      </c>
      <c r="C406" s="122">
        <v>26.299999</v>
      </c>
      <c r="D406" s="122">
        <v>26.16</v>
      </c>
      <c r="E406" s="122">
        <v>26.26</v>
      </c>
      <c r="F406" s="122">
        <v>17.615013000000001</v>
      </c>
      <c r="G406" s="197">
        <v>222200</v>
      </c>
      <c r="H406" s="198">
        <f>IF(AND(E405&gt;=H405,E406&gt;=E405),E405*(1+'Trading Model'!$E$13),IF(AND(E406&lt;E405,E405&gt;=H405),E406*(1+'Trading Model'!$E$13),H405))</f>
        <v>26.312998950000001</v>
      </c>
      <c r="I406" s="198">
        <f>IF(K406&gt;0,E406*(1-'Trading Model'!E416),IF(E406&lt;I405,I405*(1-'Trading Model'!$E$14),I405))</f>
        <v>22.616649097500002</v>
      </c>
      <c r="J406" s="198">
        <f t="shared" si="55"/>
        <v>0</v>
      </c>
      <c r="K406" s="198">
        <f t="shared" si="50"/>
        <v>0</v>
      </c>
      <c r="L406" s="198">
        <f>COUNTIF(J406:K406,"&lt;&gt;0")*-'Trading Model'!$E$15</f>
        <v>0</v>
      </c>
      <c r="M406" s="198">
        <f t="shared" si="48"/>
        <v>0</v>
      </c>
      <c r="N406" s="75">
        <f t="shared" si="51"/>
        <v>24</v>
      </c>
      <c r="O406" s="202">
        <f t="shared" si="52"/>
        <v>0</v>
      </c>
      <c r="P406" s="199">
        <f t="shared" si="49"/>
        <v>0</v>
      </c>
      <c r="Q406" s="203">
        <f t="shared" si="53"/>
        <v>81.00000000000108</v>
      </c>
      <c r="R406" s="203" t="s">
        <v>55</v>
      </c>
      <c r="S406" s="201">
        <f t="shared" si="54"/>
        <v>1.2336121344020068E-2</v>
      </c>
    </row>
    <row r="407" spans="1:19">
      <c r="A407" s="196">
        <v>40556</v>
      </c>
      <c r="B407" s="122">
        <v>26.200001</v>
      </c>
      <c r="C407" s="122">
        <v>26.43</v>
      </c>
      <c r="D407" s="122">
        <v>25.92</v>
      </c>
      <c r="E407" s="122">
        <v>26.15</v>
      </c>
      <c r="F407" s="122">
        <v>17.541219999999999</v>
      </c>
      <c r="G407" s="197">
        <v>263500</v>
      </c>
      <c r="H407" s="198">
        <f>IF(AND(E406&gt;=H406,E407&gt;=E406),E406*(1+'Trading Model'!$E$13),IF(AND(E407&lt;E406,E406&gt;=H406),E407*(1+'Trading Model'!$E$13),H406))</f>
        <v>26.312998950000001</v>
      </c>
      <c r="I407" s="198">
        <f>IF(K407&gt;0,E407*(1-'Trading Model'!E417),IF(E407&lt;I406,I406*(1-'Trading Model'!$E$14),I406))</f>
        <v>22.616649097500002</v>
      </c>
      <c r="J407" s="198">
        <f t="shared" si="55"/>
        <v>0</v>
      </c>
      <c r="K407" s="198">
        <f t="shared" si="50"/>
        <v>0</v>
      </c>
      <c r="L407" s="198">
        <f>COUNTIF(J407:K407,"&lt;&gt;0")*-'Trading Model'!$E$15</f>
        <v>0</v>
      </c>
      <c r="M407" s="198">
        <f t="shared" si="48"/>
        <v>0</v>
      </c>
      <c r="N407" s="75">
        <f t="shared" si="51"/>
        <v>24</v>
      </c>
      <c r="O407" s="202">
        <f t="shared" si="52"/>
        <v>0</v>
      </c>
      <c r="P407" s="199">
        <f t="shared" si="49"/>
        <v>0</v>
      </c>
      <c r="Q407" s="203">
        <f t="shared" si="53"/>
        <v>80.900000000001086</v>
      </c>
      <c r="R407" s="201">
        <f>E407/B403-1</f>
        <v>-5.3252565490583548E-3</v>
      </c>
      <c r="S407" s="201">
        <f t="shared" si="54"/>
        <v>-4.1888804265043378E-3</v>
      </c>
    </row>
    <row r="408" spans="1:19">
      <c r="A408" s="196">
        <v>40557</v>
      </c>
      <c r="B408" s="122">
        <v>26.25</v>
      </c>
      <c r="C408" s="122">
        <v>26.440000999999999</v>
      </c>
      <c r="D408" s="122">
        <v>26.049999</v>
      </c>
      <c r="E408" s="122">
        <v>26.379999000000002</v>
      </c>
      <c r="F408" s="122">
        <v>17.695505000000001</v>
      </c>
      <c r="G408" s="197">
        <v>146500</v>
      </c>
      <c r="H408" s="198">
        <f>IF(AND(E407&gt;=H407,E408&gt;=E407),E407*(1+'Trading Model'!$E$13),IF(AND(E408&lt;E407,E407&gt;=H407),E408*(1+'Trading Model'!$E$13),H407))</f>
        <v>26.312998950000001</v>
      </c>
      <c r="I408" s="198">
        <f>IF(K408&gt;0,E408*(1-'Trading Model'!E418),IF(E408&lt;I407,I407*(1-'Trading Model'!$E$14),I407))</f>
        <v>26.379999000000002</v>
      </c>
      <c r="J408" s="198">
        <f t="shared" si="55"/>
        <v>-26.379999000000002</v>
      </c>
      <c r="K408" s="198">
        <f t="shared" si="50"/>
        <v>26.379999000000002</v>
      </c>
      <c r="L408" s="198">
        <f>COUNTIF(J408:K408,"&lt;&gt;0")*-'Trading Model'!$E$15</f>
        <v>-0.2</v>
      </c>
      <c r="M408" s="198">
        <f t="shared" si="48"/>
        <v>-0.2</v>
      </c>
      <c r="N408" s="75">
        <f t="shared" si="51"/>
        <v>24</v>
      </c>
      <c r="O408" s="202">
        <f t="shared" si="52"/>
        <v>0</v>
      </c>
      <c r="P408" s="199">
        <f t="shared" si="49"/>
        <v>0</v>
      </c>
      <c r="Q408" s="203">
        <f t="shared" si="53"/>
        <v>80.900000000001086</v>
      </c>
      <c r="R408" s="160" t="s">
        <v>55</v>
      </c>
      <c r="S408" s="201">
        <f t="shared" si="54"/>
        <v>8.7953728489484906E-3</v>
      </c>
    </row>
    <row r="409" spans="1:19">
      <c r="A409" s="196">
        <v>40561</v>
      </c>
      <c r="B409" s="122">
        <v>26.629999000000002</v>
      </c>
      <c r="C409" s="122">
        <v>26.959999</v>
      </c>
      <c r="D409" s="122">
        <v>26.5</v>
      </c>
      <c r="E409" s="122">
        <v>26.92</v>
      </c>
      <c r="F409" s="122">
        <v>18.057735000000001</v>
      </c>
      <c r="G409" s="197">
        <v>268400</v>
      </c>
      <c r="H409" s="198">
        <f>IF(AND(E408&gt;=H408,E409&gt;=E408),E408*(1+'Trading Model'!$E$13),IF(AND(E409&lt;E408,E408&gt;=H408),E409*(1+'Trading Model'!$E$13),H408))</f>
        <v>27.698998950000004</v>
      </c>
      <c r="I409" s="198">
        <f>IF(K409&gt;0,E409*(1-'Trading Model'!E419),IF(E409&lt;I408,I408*(1-'Trading Model'!$E$14),I408))</f>
        <v>26.379999000000002</v>
      </c>
      <c r="J409" s="198">
        <f t="shared" si="55"/>
        <v>0</v>
      </c>
      <c r="K409" s="198">
        <f t="shared" si="50"/>
        <v>0</v>
      </c>
      <c r="L409" s="198">
        <f>COUNTIF(J409:K409,"&lt;&gt;0")*-'Trading Model'!$E$15</f>
        <v>0</v>
      </c>
      <c r="M409" s="198">
        <f t="shared" si="48"/>
        <v>0</v>
      </c>
      <c r="N409" s="75">
        <f t="shared" si="51"/>
        <v>24</v>
      </c>
      <c r="O409" s="202">
        <f t="shared" si="52"/>
        <v>0</v>
      </c>
      <c r="P409" s="199">
        <f t="shared" si="49"/>
        <v>0</v>
      </c>
      <c r="Q409" s="203">
        <f t="shared" si="53"/>
        <v>80.900000000001086</v>
      </c>
      <c r="R409" s="203" t="s">
        <v>55</v>
      </c>
      <c r="S409" s="201">
        <f t="shared" si="54"/>
        <v>2.0470091753983732E-2</v>
      </c>
    </row>
    <row r="410" spans="1:19">
      <c r="A410" s="196">
        <v>40562</v>
      </c>
      <c r="B410" s="122">
        <v>26.969999000000001</v>
      </c>
      <c r="C410" s="122">
        <v>27.23</v>
      </c>
      <c r="D410" s="122">
        <v>26.700001</v>
      </c>
      <c r="E410" s="122">
        <v>26.799999</v>
      </c>
      <c r="F410" s="122">
        <v>17.977236000000001</v>
      </c>
      <c r="G410" s="197">
        <v>218500</v>
      </c>
      <c r="H410" s="198">
        <f>IF(AND(E409&gt;=H409,E410&gt;=E409),E409*(1+'Trading Model'!$E$13),IF(AND(E410&lt;E409,E409&gt;=H409),E410*(1+'Trading Model'!$E$13),H409))</f>
        <v>27.698998950000004</v>
      </c>
      <c r="I410" s="198">
        <f>IF(K410&gt;0,E410*(1-'Trading Model'!E420),IF(E410&lt;I409,I409*(1-'Trading Model'!$E$14),I409))</f>
        <v>26.379999000000002</v>
      </c>
      <c r="J410" s="198">
        <f t="shared" si="55"/>
        <v>0</v>
      </c>
      <c r="K410" s="198">
        <f t="shared" si="50"/>
        <v>0</v>
      </c>
      <c r="L410" s="198">
        <f>COUNTIF(J410:K410,"&lt;&gt;0")*-'Trading Model'!$E$15</f>
        <v>0</v>
      </c>
      <c r="M410" s="198">
        <f t="shared" si="48"/>
        <v>0</v>
      </c>
      <c r="N410" s="75">
        <f t="shared" si="51"/>
        <v>24</v>
      </c>
      <c r="O410" s="202">
        <f t="shared" si="52"/>
        <v>0</v>
      </c>
      <c r="P410" s="199">
        <f t="shared" si="49"/>
        <v>0</v>
      </c>
      <c r="Q410" s="203">
        <f t="shared" si="53"/>
        <v>80.800000000001091</v>
      </c>
      <c r="R410" s="203" t="s">
        <v>55</v>
      </c>
      <c r="S410" s="201">
        <f t="shared" si="54"/>
        <v>-4.4576894502229569E-3</v>
      </c>
    </row>
    <row r="411" spans="1:19">
      <c r="A411" s="196">
        <v>40563</v>
      </c>
      <c r="B411" s="122">
        <v>26.74</v>
      </c>
      <c r="C411" s="122">
        <v>26.879999000000002</v>
      </c>
      <c r="D411" s="122">
        <v>26.5</v>
      </c>
      <c r="E411" s="122">
        <v>26.610001</v>
      </c>
      <c r="F411" s="122">
        <v>17.849789000000001</v>
      </c>
      <c r="G411" s="197">
        <v>184500</v>
      </c>
      <c r="H411" s="198">
        <f>IF(AND(E410&gt;=H410,E411&gt;=E410),E410*(1+'Trading Model'!$E$13),IF(AND(E411&lt;E410,E410&gt;=H410),E411*(1+'Trading Model'!$E$13),H410))</f>
        <v>27.698998950000004</v>
      </c>
      <c r="I411" s="198">
        <f>IF(K411&gt;0,E411*(1-'Trading Model'!E421),IF(E411&lt;I410,I410*(1-'Trading Model'!$E$14),I410))</f>
        <v>26.379999000000002</v>
      </c>
      <c r="J411" s="198">
        <f t="shared" si="55"/>
        <v>0</v>
      </c>
      <c r="K411" s="198">
        <f t="shared" si="50"/>
        <v>0</v>
      </c>
      <c r="L411" s="198">
        <f>COUNTIF(J411:K411,"&lt;&gt;0")*-'Trading Model'!$E$15</f>
        <v>0</v>
      </c>
      <c r="M411" s="198">
        <f t="shared" si="48"/>
        <v>0</v>
      </c>
      <c r="N411" s="75">
        <f t="shared" si="51"/>
        <v>24</v>
      </c>
      <c r="O411" s="202">
        <f t="shared" si="52"/>
        <v>0</v>
      </c>
      <c r="P411" s="199">
        <f t="shared" si="49"/>
        <v>0</v>
      </c>
      <c r="Q411" s="203">
        <f t="shared" si="53"/>
        <v>80.700000000001097</v>
      </c>
      <c r="R411" s="203" t="s">
        <v>55</v>
      </c>
      <c r="S411" s="201">
        <f t="shared" si="54"/>
        <v>-7.0894778764730715E-3</v>
      </c>
    </row>
    <row r="412" spans="1:19">
      <c r="A412" s="196">
        <v>40564</v>
      </c>
      <c r="B412" s="122">
        <v>26.91</v>
      </c>
      <c r="C412" s="122">
        <v>26.91</v>
      </c>
      <c r="D412" s="122">
        <v>26.57</v>
      </c>
      <c r="E412" s="122">
        <v>26.700001</v>
      </c>
      <c r="F412" s="122">
        <v>17.910157999999999</v>
      </c>
      <c r="G412" s="197">
        <v>217500</v>
      </c>
      <c r="H412" s="198">
        <f>IF(AND(E411&gt;=H411,E412&gt;=E411),E411*(1+'Trading Model'!$E$13),IF(AND(E412&lt;E411,E411&gt;=H411),E412*(1+'Trading Model'!$E$13),H411))</f>
        <v>27.698998950000004</v>
      </c>
      <c r="I412" s="198">
        <f>IF(K412&gt;0,E412*(1-'Trading Model'!E422),IF(E412&lt;I411,I411*(1-'Trading Model'!$E$14),I411))</f>
        <v>26.379999000000002</v>
      </c>
      <c r="J412" s="198">
        <f t="shared" si="55"/>
        <v>0</v>
      </c>
      <c r="K412" s="198">
        <f t="shared" si="50"/>
        <v>0</v>
      </c>
      <c r="L412" s="198">
        <f>COUNTIF(J412:K412,"&lt;&gt;0")*-'Trading Model'!$E$15</f>
        <v>0</v>
      </c>
      <c r="M412" s="198">
        <f t="shared" si="48"/>
        <v>0</v>
      </c>
      <c r="N412" s="75">
        <f t="shared" si="51"/>
        <v>24</v>
      </c>
      <c r="O412" s="202">
        <f t="shared" si="52"/>
        <v>0</v>
      </c>
      <c r="P412" s="199">
        <f t="shared" si="49"/>
        <v>0</v>
      </c>
      <c r="Q412" s="203">
        <f t="shared" si="53"/>
        <v>80.700000000001097</v>
      </c>
      <c r="R412" s="201">
        <f>E412/B408-1</f>
        <v>1.7142895238095202E-2</v>
      </c>
      <c r="S412" s="201">
        <f t="shared" si="54"/>
        <v>3.382187020586791E-3</v>
      </c>
    </row>
    <row r="413" spans="1:19">
      <c r="A413" s="196">
        <v>40567</v>
      </c>
      <c r="B413" s="122">
        <v>26.9</v>
      </c>
      <c r="C413" s="122">
        <v>26.9</v>
      </c>
      <c r="D413" s="122">
        <v>26.469999000000001</v>
      </c>
      <c r="E413" s="122">
        <v>26.58</v>
      </c>
      <c r="F413" s="122">
        <v>17.829661999999999</v>
      </c>
      <c r="G413" s="197">
        <v>141900</v>
      </c>
      <c r="H413" s="198">
        <f>IF(AND(E412&gt;=H412,E413&gt;=E412),E412*(1+'Trading Model'!$E$13),IF(AND(E413&lt;E412,E412&gt;=H412),E413*(1+'Trading Model'!$E$13),H412))</f>
        <v>27.698998950000004</v>
      </c>
      <c r="I413" s="198">
        <f>IF(K413&gt;0,E413*(1-'Trading Model'!E423),IF(E413&lt;I412,I412*(1-'Trading Model'!$E$14),I412))</f>
        <v>26.379999000000002</v>
      </c>
      <c r="J413" s="198">
        <f t="shared" si="55"/>
        <v>0</v>
      </c>
      <c r="K413" s="198">
        <f t="shared" si="50"/>
        <v>0</v>
      </c>
      <c r="L413" s="198">
        <f>COUNTIF(J413:K413,"&lt;&gt;0")*-'Trading Model'!$E$15</f>
        <v>0</v>
      </c>
      <c r="M413" s="198">
        <f t="shared" si="48"/>
        <v>0</v>
      </c>
      <c r="N413" s="75">
        <f t="shared" si="51"/>
        <v>24</v>
      </c>
      <c r="O413" s="202">
        <f t="shared" si="52"/>
        <v>0</v>
      </c>
      <c r="P413" s="199">
        <f t="shared" si="49"/>
        <v>0</v>
      </c>
      <c r="Q413" s="203">
        <f t="shared" si="53"/>
        <v>80.600000000001103</v>
      </c>
      <c r="R413" s="160" t="s">
        <v>55</v>
      </c>
      <c r="S413" s="201">
        <f t="shared" si="54"/>
        <v>-4.4944193073251926E-3</v>
      </c>
    </row>
    <row r="414" spans="1:19">
      <c r="A414" s="196">
        <v>40568</v>
      </c>
      <c r="B414" s="122">
        <v>26.530000999999999</v>
      </c>
      <c r="C414" s="122">
        <v>26.58</v>
      </c>
      <c r="D414" s="122">
        <v>26.07</v>
      </c>
      <c r="E414" s="122">
        <v>26.209999</v>
      </c>
      <c r="F414" s="122">
        <v>17.581469999999999</v>
      </c>
      <c r="G414" s="197">
        <v>135000</v>
      </c>
      <c r="H414" s="198">
        <f>IF(AND(E413&gt;=H413,E414&gt;=E413),E413*(1+'Trading Model'!$E$13),IF(AND(E414&lt;E413,E413&gt;=H413),E414*(1+'Trading Model'!$E$13),H413))</f>
        <v>27.698998950000004</v>
      </c>
      <c r="I414" s="198">
        <f>IF(K414&gt;0,E414*(1-'Trading Model'!E424),IF(E414&lt;I413,I413*(1-'Trading Model'!$E$14),I413))</f>
        <v>25.060999049999999</v>
      </c>
      <c r="J414" s="198">
        <f t="shared" si="55"/>
        <v>-26.209999</v>
      </c>
      <c r="K414" s="198">
        <f t="shared" si="50"/>
        <v>0</v>
      </c>
      <c r="L414" s="198">
        <f>COUNTIF(J414:K414,"&lt;&gt;0")*-'Trading Model'!$E$15</f>
        <v>-0.1</v>
      </c>
      <c r="M414" s="198">
        <f t="shared" si="48"/>
        <v>-26.309999000000001</v>
      </c>
      <c r="N414" s="75">
        <f t="shared" si="51"/>
        <v>25</v>
      </c>
      <c r="O414" s="202">
        <f t="shared" si="52"/>
        <v>0</v>
      </c>
      <c r="P414" s="199">
        <f t="shared" si="49"/>
        <v>0</v>
      </c>
      <c r="Q414" s="203">
        <f t="shared" si="53"/>
        <v>80.500000000001108</v>
      </c>
      <c r="R414" s="203" t="s">
        <v>55</v>
      </c>
      <c r="S414" s="201">
        <f t="shared" si="54"/>
        <v>-1.3920278404815578E-2</v>
      </c>
    </row>
    <row r="415" spans="1:19">
      <c r="A415" s="196">
        <v>40569</v>
      </c>
      <c r="B415" s="122">
        <v>26.27</v>
      </c>
      <c r="C415" s="122">
        <v>26.610001</v>
      </c>
      <c r="D415" s="122">
        <v>26.02</v>
      </c>
      <c r="E415" s="122">
        <v>26.27</v>
      </c>
      <c r="F415" s="122">
        <v>17.621717</v>
      </c>
      <c r="G415" s="197">
        <v>154700</v>
      </c>
      <c r="H415" s="198">
        <f>IF(AND(E414&gt;=H414,E415&gt;=E414),E414*(1+'Trading Model'!$E$13),IF(AND(E415&lt;E414,E414&gt;=H414),E415*(1+'Trading Model'!$E$13),H414))</f>
        <v>27.698998950000004</v>
      </c>
      <c r="I415" s="198">
        <f>IF(K415&gt;0,E415*(1-'Trading Model'!E425),IF(E415&lt;I414,I414*(1-'Trading Model'!$E$14),I414))</f>
        <v>25.060999049999999</v>
      </c>
      <c r="J415" s="198">
        <f t="shared" si="55"/>
        <v>0</v>
      </c>
      <c r="K415" s="198">
        <f t="shared" si="50"/>
        <v>0</v>
      </c>
      <c r="L415" s="198">
        <f>COUNTIF(J415:K415,"&lt;&gt;0")*-'Trading Model'!$E$15</f>
        <v>0</v>
      </c>
      <c r="M415" s="198">
        <f t="shared" si="48"/>
        <v>0</v>
      </c>
      <c r="N415" s="75">
        <f t="shared" si="51"/>
        <v>25</v>
      </c>
      <c r="O415" s="202">
        <f t="shared" si="52"/>
        <v>0</v>
      </c>
      <c r="P415" s="199">
        <f t="shared" si="49"/>
        <v>0</v>
      </c>
      <c r="Q415" s="203">
        <f t="shared" si="53"/>
        <v>80.500000000001108</v>
      </c>
      <c r="R415" s="203" t="s">
        <v>55</v>
      </c>
      <c r="S415" s="201">
        <f t="shared" si="54"/>
        <v>2.2892408351484761E-3</v>
      </c>
    </row>
    <row r="416" spans="1:19">
      <c r="A416" s="196">
        <v>40570</v>
      </c>
      <c r="B416" s="122">
        <v>26.4</v>
      </c>
      <c r="C416" s="122">
        <v>26.52</v>
      </c>
      <c r="D416" s="122">
        <v>25.959999</v>
      </c>
      <c r="E416" s="122">
        <v>26.27</v>
      </c>
      <c r="F416" s="122">
        <v>17.621717</v>
      </c>
      <c r="G416" s="197">
        <v>173900</v>
      </c>
      <c r="H416" s="198">
        <f>IF(AND(E415&gt;=H415,E416&gt;=E415),E415*(1+'Trading Model'!$E$13),IF(AND(E416&lt;E415,E415&gt;=H415),E416*(1+'Trading Model'!$E$13),H415))</f>
        <v>27.698998950000004</v>
      </c>
      <c r="I416" s="198">
        <f>IF(K416&gt;0,E416*(1-'Trading Model'!E426),IF(E416&lt;I415,I415*(1-'Trading Model'!$E$14),I415))</f>
        <v>25.060999049999999</v>
      </c>
      <c r="J416" s="198">
        <f t="shared" si="55"/>
        <v>0</v>
      </c>
      <c r="K416" s="198">
        <f t="shared" si="50"/>
        <v>0</v>
      </c>
      <c r="L416" s="198">
        <f>COUNTIF(J416:K416,"&lt;&gt;0")*-'Trading Model'!$E$15</f>
        <v>0</v>
      </c>
      <c r="M416" s="198">
        <f t="shared" si="48"/>
        <v>0</v>
      </c>
      <c r="N416" s="75">
        <f t="shared" si="51"/>
        <v>25</v>
      </c>
      <c r="O416" s="202">
        <f t="shared" si="52"/>
        <v>0</v>
      </c>
      <c r="P416" s="199">
        <f t="shared" si="49"/>
        <v>0</v>
      </c>
      <c r="Q416" s="203">
        <f t="shared" si="53"/>
        <v>80.500000000001108</v>
      </c>
      <c r="R416" s="203" t="s">
        <v>55</v>
      </c>
      <c r="S416" s="201">
        <f t="shared" si="54"/>
        <v>0</v>
      </c>
    </row>
    <row r="417" spans="1:19">
      <c r="A417" s="196">
        <v>40571</v>
      </c>
      <c r="B417" s="122">
        <v>26.219999000000001</v>
      </c>
      <c r="C417" s="122">
        <v>26.389999</v>
      </c>
      <c r="D417" s="122">
        <v>25.299999</v>
      </c>
      <c r="E417" s="122">
        <v>25.379999000000002</v>
      </c>
      <c r="F417" s="122">
        <v>17.024713999999999</v>
      </c>
      <c r="G417" s="197">
        <v>156000</v>
      </c>
      <c r="H417" s="198">
        <f>IF(AND(E416&gt;=H416,E417&gt;=E416),E416*(1+'Trading Model'!$E$13),IF(AND(E417&lt;E416,E416&gt;=H416),E417*(1+'Trading Model'!$E$13),H416))</f>
        <v>27.698998950000004</v>
      </c>
      <c r="I417" s="198">
        <f>IF(K417&gt;0,E417*(1-'Trading Model'!E427),IF(E417&lt;I416,I416*(1-'Trading Model'!$E$14),I416))</f>
        <v>25.060999049999999</v>
      </c>
      <c r="J417" s="198">
        <f t="shared" si="55"/>
        <v>0</v>
      </c>
      <c r="K417" s="198">
        <f t="shared" si="50"/>
        <v>0</v>
      </c>
      <c r="L417" s="198">
        <f>COUNTIF(J417:K417,"&lt;&gt;0")*-'Trading Model'!$E$15</f>
        <v>0</v>
      </c>
      <c r="M417" s="198">
        <f t="shared" si="48"/>
        <v>0</v>
      </c>
      <c r="N417" s="75">
        <f t="shared" si="51"/>
        <v>25</v>
      </c>
      <c r="O417" s="202">
        <f t="shared" si="52"/>
        <v>0</v>
      </c>
      <c r="P417" s="199">
        <f t="shared" si="49"/>
        <v>0</v>
      </c>
      <c r="Q417" s="203">
        <f t="shared" si="53"/>
        <v>80.400000000001114</v>
      </c>
      <c r="R417" s="201">
        <f>E417/B413-1</f>
        <v>-5.65056133828995E-2</v>
      </c>
      <c r="S417" s="201">
        <f t="shared" si="54"/>
        <v>-3.3878987438142327E-2</v>
      </c>
    </row>
    <row r="418" spans="1:19">
      <c r="A418" s="196">
        <v>40574</v>
      </c>
      <c r="B418" s="122">
        <v>25.32</v>
      </c>
      <c r="C418" s="122">
        <v>26.25</v>
      </c>
      <c r="D418" s="122">
        <v>25.32</v>
      </c>
      <c r="E418" s="122">
        <v>25.82</v>
      </c>
      <c r="F418" s="122">
        <v>17.319859000000001</v>
      </c>
      <c r="G418" s="197">
        <v>230000</v>
      </c>
      <c r="H418" s="198">
        <f>IF(AND(E417&gt;=H417,E418&gt;=E417),E417*(1+'Trading Model'!$E$13),IF(AND(E418&lt;E417,E417&gt;=H417),E418*(1+'Trading Model'!$E$13),H417))</f>
        <v>27.698998950000004</v>
      </c>
      <c r="I418" s="198">
        <f>IF(K418&gt;0,E418*(1-'Trading Model'!E428),IF(E418&lt;I417,I417*(1-'Trading Model'!$E$14),I417))</f>
        <v>25.060999049999999</v>
      </c>
      <c r="J418" s="198">
        <f t="shared" si="55"/>
        <v>0</v>
      </c>
      <c r="K418" s="198">
        <f t="shared" si="50"/>
        <v>0</v>
      </c>
      <c r="L418" s="198">
        <f>COUNTIF(J418:K418,"&lt;&gt;0")*-'Trading Model'!$E$15</f>
        <v>0</v>
      </c>
      <c r="M418" s="198">
        <f t="shared" si="48"/>
        <v>0</v>
      </c>
      <c r="N418" s="75">
        <f t="shared" si="51"/>
        <v>25</v>
      </c>
      <c r="O418" s="202">
        <f t="shared" si="52"/>
        <v>0</v>
      </c>
      <c r="P418" s="199">
        <f t="shared" si="49"/>
        <v>0</v>
      </c>
      <c r="Q418" s="203">
        <f t="shared" si="53"/>
        <v>80.400000000001114</v>
      </c>
      <c r="R418" s="160" t="s">
        <v>55</v>
      </c>
      <c r="S418" s="201">
        <f t="shared" si="54"/>
        <v>1.7336525505773137E-2</v>
      </c>
    </row>
    <row r="419" spans="1:19">
      <c r="A419" s="196">
        <v>40575</v>
      </c>
      <c r="B419" s="122">
        <v>26.110001</v>
      </c>
      <c r="C419" s="122">
        <v>26.690000999999999</v>
      </c>
      <c r="D419" s="122">
        <v>26.110001</v>
      </c>
      <c r="E419" s="122">
        <v>26.34</v>
      </c>
      <c r="F419" s="122">
        <v>17.668676000000001</v>
      </c>
      <c r="G419" s="197">
        <v>156200</v>
      </c>
      <c r="H419" s="198">
        <f>IF(AND(E418&gt;=H418,E419&gt;=E418),E418*(1+'Trading Model'!$E$13),IF(AND(E419&lt;E418,E418&gt;=H418),E419*(1+'Trading Model'!$E$13),H418))</f>
        <v>27.698998950000004</v>
      </c>
      <c r="I419" s="198">
        <f>IF(K419&gt;0,E419*(1-'Trading Model'!E429),IF(E419&lt;I418,I418*(1-'Trading Model'!$E$14),I418))</f>
        <v>25.060999049999999</v>
      </c>
      <c r="J419" s="198">
        <f t="shared" si="55"/>
        <v>0</v>
      </c>
      <c r="K419" s="198">
        <f t="shared" si="50"/>
        <v>0</v>
      </c>
      <c r="L419" s="198">
        <f>COUNTIF(J419:K419,"&lt;&gt;0")*-'Trading Model'!$E$15</f>
        <v>0</v>
      </c>
      <c r="M419" s="198">
        <f t="shared" si="48"/>
        <v>0</v>
      </c>
      <c r="N419" s="75">
        <f t="shared" si="51"/>
        <v>25</v>
      </c>
      <c r="O419" s="202">
        <f t="shared" si="52"/>
        <v>0</v>
      </c>
      <c r="P419" s="199">
        <f t="shared" si="49"/>
        <v>0</v>
      </c>
      <c r="Q419" s="203">
        <f t="shared" si="53"/>
        <v>80.400000000001114</v>
      </c>
      <c r="R419" s="203" t="s">
        <v>55</v>
      </c>
      <c r="S419" s="201">
        <f t="shared" si="54"/>
        <v>2.0139426800929394E-2</v>
      </c>
    </row>
    <row r="420" spans="1:19">
      <c r="A420" s="196">
        <v>40576</v>
      </c>
      <c r="B420" s="122">
        <v>26.360001</v>
      </c>
      <c r="C420" s="122">
        <v>26.43</v>
      </c>
      <c r="D420" s="122">
        <v>25.969999000000001</v>
      </c>
      <c r="E420" s="122">
        <v>26.17</v>
      </c>
      <c r="F420" s="122">
        <v>17.554639999999999</v>
      </c>
      <c r="G420" s="197">
        <v>53700</v>
      </c>
      <c r="H420" s="198">
        <f>IF(AND(E419&gt;=H419,E420&gt;=E419),E419*(1+'Trading Model'!$E$13),IF(AND(E420&lt;E419,E419&gt;=H419),E420*(1+'Trading Model'!$E$13),H419))</f>
        <v>27.698998950000004</v>
      </c>
      <c r="I420" s="198">
        <f>IF(K420&gt;0,E420*(1-'Trading Model'!E430),IF(E420&lt;I419,I419*(1-'Trading Model'!$E$14),I419))</f>
        <v>25.060999049999999</v>
      </c>
      <c r="J420" s="198">
        <f t="shared" si="55"/>
        <v>0</v>
      </c>
      <c r="K420" s="198">
        <f t="shared" si="50"/>
        <v>0</v>
      </c>
      <c r="L420" s="198">
        <f>COUNTIF(J420:K420,"&lt;&gt;0")*-'Trading Model'!$E$15</f>
        <v>0</v>
      </c>
      <c r="M420" s="198">
        <f t="shared" si="48"/>
        <v>0</v>
      </c>
      <c r="N420" s="75">
        <f t="shared" si="51"/>
        <v>25</v>
      </c>
      <c r="O420" s="202">
        <f t="shared" si="52"/>
        <v>0</v>
      </c>
      <c r="P420" s="199">
        <f t="shared" si="49"/>
        <v>0</v>
      </c>
      <c r="Q420" s="203">
        <f t="shared" si="53"/>
        <v>80.30000000000112</v>
      </c>
      <c r="R420" s="203" t="s">
        <v>55</v>
      </c>
      <c r="S420" s="201">
        <f t="shared" si="54"/>
        <v>-6.4540622627182742E-3</v>
      </c>
    </row>
    <row r="421" spans="1:19">
      <c r="A421" s="196">
        <v>40577</v>
      </c>
      <c r="B421" s="122">
        <v>26.309999000000001</v>
      </c>
      <c r="C421" s="122">
        <v>26.610001</v>
      </c>
      <c r="D421" s="122">
        <v>26.110001</v>
      </c>
      <c r="E421" s="122">
        <v>26.43</v>
      </c>
      <c r="F421" s="122">
        <v>17.729043999999998</v>
      </c>
      <c r="G421" s="197">
        <v>96500</v>
      </c>
      <c r="H421" s="198">
        <f>IF(AND(E420&gt;=H420,E421&gt;=E420),E420*(1+'Trading Model'!$E$13),IF(AND(E421&lt;E420,E420&gt;=H420),E421*(1+'Trading Model'!$E$13),H420))</f>
        <v>27.698998950000004</v>
      </c>
      <c r="I421" s="198">
        <f>IF(K421&gt;0,E421*(1-'Trading Model'!E431),IF(E421&lt;I420,I420*(1-'Trading Model'!$E$14),I420))</f>
        <v>25.060999049999999</v>
      </c>
      <c r="J421" s="198">
        <f t="shared" si="55"/>
        <v>0</v>
      </c>
      <c r="K421" s="198">
        <f t="shared" si="50"/>
        <v>0</v>
      </c>
      <c r="L421" s="198">
        <f>COUNTIF(J421:K421,"&lt;&gt;0")*-'Trading Model'!$E$15</f>
        <v>0</v>
      </c>
      <c r="M421" s="198">
        <f t="shared" si="48"/>
        <v>0</v>
      </c>
      <c r="N421" s="75">
        <f t="shared" si="51"/>
        <v>25</v>
      </c>
      <c r="O421" s="202">
        <f t="shared" si="52"/>
        <v>0</v>
      </c>
      <c r="P421" s="199">
        <f t="shared" si="49"/>
        <v>0</v>
      </c>
      <c r="Q421" s="203">
        <f t="shared" si="53"/>
        <v>80.30000000000112</v>
      </c>
      <c r="R421" s="203" t="s">
        <v>55</v>
      </c>
      <c r="S421" s="201">
        <f t="shared" si="54"/>
        <v>9.9350401222773055E-3</v>
      </c>
    </row>
    <row r="422" spans="1:19">
      <c r="A422" s="196">
        <v>40578</v>
      </c>
      <c r="B422" s="122">
        <v>26.559999000000001</v>
      </c>
      <c r="C422" s="122">
        <v>26.9</v>
      </c>
      <c r="D422" s="122">
        <v>26.059999000000001</v>
      </c>
      <c r="E422" s="122">
        <v>26.15</v>
      </c>
      <c r="F422" s="122">
        <v>17.541219999999999</v>
      </c>
      <c r="G422" s="197">
        <v>118600</v>
      </c>
      <c r="H422" s="198">
        <f>IF(AND(E421&gt;=H421,E422&gt;=E421),E421*(1+'Trading Model'!$E$13),IF(AND(E422&lt;E421,E421&gt;=H421),E422*(1+'Trading Model'!$E$13),H421))</f>
        <v>27.698998950000004</v>
      </c>
      <c r="I422" s="198">
        <f>IF(K422&gt;0,E422*(1-'Trading Model'!E432),IF(E422&lt;I421,I421*(1-'Trading Model'!$E$14),I421))</f>
        <v>25.060999049999999</v>
      </c>
      <c r="J422" s="198">
        <f t="shared" si="55"/>
        <v>0</v>
      </c>
      <c r="K422" s="198">
        <f t="shared" si="50"/>
        <v>0</v>
      </c>
      <c r="L422" s="198">
        <f>COUNTIF(J422:K422,"&lt;&gt;0")*-'Trading Model'!$E$15</f>
        <v>0</v>
      </c>
      <c r="M422" s="198">
        <f t="shared" si="48"/>
        <v>0</v>
      </c>
      <c r="N422" s="75">
        <f t="shared" si="51"/>
        <v>25</v>
      </c>
      <c r="O422" s="202">
        <f t="shared" si="52"/>
        <v>0</v>
      </c>
      <c r="P422" s="199">
        <f t="shared" si="49"/>
        <v>0</v>
      </c>
      <c r="Q422" s="203">
        <f t="shared" si="53"/>
        <v>80.200000000001125</v>
      </c>
      <c r="R422" s="201">
        <f>E422/B418-1</f>
        <v>3.2780410742496047E-2</v>
      </c>
      <c r="S422" s="201">
        <f t="shared" si="54"/>
        <v>-1.0594021944759779E-2</v>
      </c>
    </row>
    <row r="423" spans="1:19">
      <c r="A423" s="196">
        <v>40581</v>
      </c>
      <c r="B423" s="122">
        <v>26.17</v>
      </c>
      <c r="C423" s="122">
        <v>26.459999</v>
      </c>
      <c r="D423" s="122">
        <v>26.1</v>
      </c>
      <c r="E423" s="122">
        <v>26.34</v>
      </c>
      <c r="F423" s="122">
        <v>17.668676000000001</v>
      </c>
      <c r="G423" s="197">
        <v>107100</v>
      </c>
      <c r="H423" s="198">
        <f>IF(AND(E422&gt;=H422,E423&gt;=E422),E422*(1+'Trading Model'!$E$13),IF(AND(E423&lt;E422,E422&gt;=H422),E423*(1+'Trading Model'!$E$13),H422))</f>
        <v>27.698998950000004</v>
      </c>
      <c r="I423" s="198">
        <f>IF(K423&gt;0,E423*(1-'Trading Model'!E433),IF(E423&lt;I422,I422*(1-'Trading Model'!$E$14),I422))</f>
        <v>25.060999049999999</v>
      </c>
      <c r="J423" s="198">
        <f t="shared" si="55"/>
        <v>0</v>
      </c>
      <c r="K423" s="198">
        <f t="shared" si="50"/>
        <v>0</v>
      </c>
      <c r="L423" s="198">
        <f>COUNTIF(J423:K423,"&lt;&gt;0")*-'Trading Model'!$E$15</f>
        <v>0</v>
      </c>
      <c r="M423" s="198">
        <f t="shared" si="48"/>
        <v>0</v>
      </c>
      <c r="N423" s="75">
        <f t="shared" si="51"/>
        <v>25</v>
      </c>
      <c r="O423" s="202">
        <f t="shared" si="52"/>
        <v>0</v>
      </c>
      <c r="P423" s="199">
        <f t="shared" si="49"/>
        <v>0</v>
      </c>
      <c r="Q423" s="203">
        <f t="shared" si="53"/>
        <v>80.200000000001125</v>
      </c>
      <c r="R423" s="160" t="s">
        <v>55</v>
      </c>
      <c r="S423" s="201">
        <f t="shared" si="54"/>
        <v>7.2657743785851103E-3</v>
      </c>
    </row>
    <row r="424" spans="1:19">
      <c r="A424" s="196">
        <v>40582</v>
      </c>
      <c r="B424" s="122">
        <v>26.389999</v>
      </c>
      <c r="C424" s="122">
        <v>26.389999</v>
      </c>
      <c r="D424" s="122">
        <v>26.01</v>
      </c>
      <c r="E424" s="122">
        <v>26.290001</v>
      </c>
      <c r="F424" s="122">
        <v>17.635135999999999</v>
      </c>
      <c r="G424" s="197">
        <v>37300</v>
      </c>
      <c r="H424" s="198">
        <f>IF(AND(E423&gt;=H423,E424&gt;=E423),E423*(1+'Trading Model'!$E$13),IF(AND(E424&lt;E423,E423&gt;=H423),E424*(1+'Trading Model'!$E$13),H423))</f>
        <v>27.698998950000004</v>
      </c>
      <c r="I424" s="198">
        <f>IF(K424&gt;0,E424*(1-'Trading Model'!E434),IF(E424&lt;I423,I423*(1-'Trading Model'!$E$14),I423))</f>
        <v>25.060999049999999</v>
      </c>
      <c r="J424" s="198">
        <f t="shared" si="55"/>
        <v>0</v>
      </c>
      <c r="K424" s="198">
        <f t="shared" si="50"/>
        <v>0</v>
      </c>
      <c r="L424" s="198">
        <f>COUNTIF(J424:K424,"&lt;&gt;0")*-'Trading Model'!$E$15</f>
        <v>0</v>
      </c>
      <c r="M424" s="198">
        <f t="shared" si="48"/>
        <v>0</v>
      </c>
      <c r="N424" s="75">
        <f t="shared" si="51"/>
        <v>25</v>
      </c>
      <c r="O424" s="202">
        <f t="shared" si="52"/>
        <v>0</v>
      </c>
      <c r="P424" s="199">
        <f t="shared" si="49"/>
        <v>0</v>
      </c>
      <c r="Q424" s="203">
        <f t="shared" si="53"/>
        <v>80.100000000001131</v>
      </c>
      <c r="R424" s="203" t="s">
        <v>55</v>
      </c>
      <c r="S424" s="201">
        <f t="shared" si="54"/>
        <v>-1.8982156416097462E-3</v>
      </c>
    </row>
    <row r="425" spans="1:19">
      <c r="A425" s="196">
        <v>40583</v>
      </c>
      <c r="B425" s="122">
        <v>26.219999000000001</v>
      </c>
      <c r="C425" s="122">
        <v>26.57</v>
      </c>
      <c r="D425" s="122">
        <v>25.93</v>
      </c>
      <c r="E425" s="122">
        <v>26</v>
      </c>
      <c r="F425" s="122">
        <v>17.440602999999999</v>
      </c>
      <c r="G425" s="197">
        <v>92100</v>
      </c>
      <c r="H425" s="198">
        <f>IF(AND(E424&gt;=H424,E425&gt;=E424),E424*(1+'Trading Model'!$E$13),IF(AND(E425&lt;E424,E424&gt;=H424),E425*(1+'Trading Model'!$E$13),H424))</f>
        <v>27.698998950000004</v>
      </c>
      <c r="I425" s="198">
        <f>IF(K425&gt;0,E425*(1-'Trading Model'!E435),IF(E425&lt;I424,I424*(1-'Trading Model'!$E$14),I424))</f>
        <v>25.060999049999999</v>
      </c>
      <c r="J425" s="198">
        <f t="shared" si="55"/>
        <v>0</v>
      </c>
      <c r="K425" s="198">
        <f t="shared" si="50"/>
        <v>0</v>
      </c>
      <c r="L425" s="198">
        <f>COUNTIF(J425:K425,"&lt;&gt;0")*-'Trading Model'!$E$15</f>
        <v>0</v>
      </c>
      <c r="M425" s="198">
        <f t="shared" si="48"/>
        <v>0</v>
      </c>
      <c r="N425" s="75">
        <f t="shared" si="51"/>
        <v>25</v>
      </c>
      <c r="O425" s="202">
        <f t="shared" si="52"/>
        <v>0</v>
      </c>
      <c r="P425" s="199">
        <f t="shared" si="49"/>
        <v>0</v>
      </c>
      <c r="Q425" s="203">
        <f t="shared" si="53"/>
        <v>80.000000000001137</v>
      </c>
      <c r="R425" s="203" t="s">
        <v>55</v>
      </c>
      <c r="S425" s="201">
        <f t="shared" si="54"/>
        <v>-1.1030847811683286E-2</v>
      </c>
    </row>
    <row r="426" spans="1:19">
      <c r="A426" s="196">
        <v>40584</v>
      </c>
      <c r="B426" s="122">
        <v>25.93</v>
      </c>
      <c r="C426" s="122">
        <v>25.93</v>
      </c>
      <c r="D426" s="122">
        <v>25.17</v>
      </c>
      <c r="E426" s="122">
        <v>25.33</v>
      </c>
      <c r="F426" s="122">
        <v>16.991177</v>
      </c>
      <c r="G426" s="197">
        <v>147700</v>
      </c>
      <c r="H426" s="198">
        <f>IF(AND(E425&gt;=H425,E426&gt;=E425),E425*(1+'Trading Model'!$E$13),IF(AND(E426&lt;E425,E425&gt;=H425),E426*(1+'Trading Model'!$E$13),H425))</f>
        <v>27.698998950000004</v>
      </c>
      <c r="I426" s="198">
        <f>IF(K426&gt;0,E426*(1-'Trading Model'!E436),IF(E426&lt;I425,I425*(1-'Trading Model'!$E$14),I425))</f>
        <v>25.060999049999999</v>
      </c>
      <c r="J426" s="198">
        <f t="shared" si="55"/>
        <v>0</v>
      </c>
      <c r="K426" s="198">
        <f t="shared" si="50"/>
        <v>0</v>
      </c>
      <c r="L426" s="198">
        <f>COUNTIF(J426:K426,"&lt;&gt;0")*-'Trading Model'!$E$15</f>
        <v>0</v>
      </c>
      <c r="M426" s="198">
        <f t="shared" si="48"/>
        <v>0</v>
      </c>
      <c r="N426" s="75">
        <f t="shared" si="51"/>
        <v>25</v>
      </c>
      <c r="O426" s="202">
        <f t="shared" si="52"/>
        <v>0</v>
      </c>
      <c r="P426" s="199">
        <f t="shared" si="49"/>
        <v>0</v>
      </c>
      <c r="Q426" s="203">
        <f t="shared" si="53"/>
        <v>79.900000000001143</v>
      </c>
      <c r="R426" s="203" t="s">
        <v>55</v>
      </c>
      <c r="S426" s="201">
        <f t="shared" si="54"/>
        <v>-2.5769230769230878E-2</v>
      </c>
    </row>
    <row r="427" spans="1:19">
      <c r="A427" s="196">
        <v>40585</v>
      </c>
      <c r="B427" s="122">
        <v>25.129999000000002</v>
      </c>
      <c r="C427" s="122">
        <v>25.540001</v>
      </c>
      <c r="D427" s="122">
        <v>25.059999000000001</v>
      </c>
      <c r="E427" s="122">
        <v>25.42</v>
      </c>
      <c r="F427" s="122">
        <v>17.051544</v>
      </c>
      <c r="G427" s="197">
        <v>75100</v>
      </c>
      <c r="H427" s="198">
        <f>IF(AND(E426&gt;=H426,E427&gt;=E426),E426*(1+'Trading Model'!$E$13),IF(AND(E427&lt;E426,E426&gt;=H426),E427*(1+'Trading Model'!$E$13),H426))</f>
        <v>27.698998950000004</v>
      </c>
      <c r="I427" s="198">
        <f>IF(K427&gt;0,E427*(1-'Trading Model'!E437),IF(E427&lt;I426,I426*(1-'Trading Model'!$E$14),I426))</f>
        <v>25.060999049999999</v>
      </c>
      <c r="J427" s="198">
        <f t="shared" si="55"/>
        <v>0</v>
      </c>
      <c r="K427" s="198">
        <f t="shared" si="50"/>
        <v>0</v>
      </c>
      <c r="L427" s="198">
        <f>COUNTIF(J427:K427,"&lt;&gt;0")*-'Trading Model'!$E$15</f>
        <v>0</v>
      </c>
      <c r="M427" s="198">
        <f t="shared" si="48"/>
        <v>0</v>
      </c>
      <c r="N427" s="75">
        <f t="shared" si="51"/>
        <v>25</v>
      </c>
      <c r="O427" s="202">
        <f t="shared" si="52"/>
        <v>0</v>
      </c>
      <c r="P427" s="199">
        <f t="shared" si="49"/>
        <v>0</v>
      </c>
      <c r="Q427" s="203">
        <f t="shared" si="53"/>
        <v>79.900000000001143</v>
      </c>
      <c r="R427" s="201">
        <f>E427/B423-1</f>
        <v>-2.865876958349256E-2</v>
      </c>
      <c r="S427" s="201">
        <f t="shared" si="54"/>
        <v>3.5530990919858674E-3</v>
      </c>
    </row>
    <row r="428" spans="1:19">
      <c r="A428" s="196">
        <v>40588</v>
      </c>
      <c r="B428" s="122">
        <v>25.610001</v>
      </c>
      <c r="C428" s="122">
        <v>25.639999</v>
      </c>
      <c r="D428" s="122">
        <v>25.35</v>
      </c>
      <c r="E428" s="122">
        <v>25.58</v>
      </c>
      <c r="F428" s="122">
        <v>17.158873</v>
      </c>
      <c r="G428" s="197">
        <v>64900</v>
      </c>
      <c r="H428" s="198">
        <f>IF(AND(E427&gt;=H427,E428&gt;=E427),E427*(1+'Trading Model'!$E$13),IF(AND(E428&lt;E427,E427&gt;=H427),E428*(1+'Trading Model'!$E$13),H427))</f>
        <v>27.698998950000004</v>
      </c>
      <c r="I428" s="198">
        <f>IF(K428&gt;0,E428*(1-'Trading Model'!E438),IF(E428&lt;I427,I427*(1-'Trading Model'!$E$14),I427))</f>
        <v>25.060999049999999</v>
      </c>
      <c r="J428" s="198">
        <f t="shared" si="55"/>
        <v>0</v>
      </c>
      <c r="K428" s="198">
        <f t="shared" si="50"/>
        <v>0</v>
      </c>
      <c r="L428" s="198">
        <f>COUNTIF(J428:K428,"&lt;&gt;0")*-'Trading Model'!$E$15</f>
        <v>0</v>
      </c>
      <c r="M428" s="198">
        <f t="shared" si="48"/>
        <v>0</v>
      </c>
      <c r="N428" s="75">
        <f t="shared" si="51"/>
        <v>25</v>
      </c>
      <c r="O428" s="202">
        <f t="shared" si="52"/>
        <v>0</v>
      </c>
      <c r="P428" s="199">
        <f t="shared" si="49"/>
        <v>0</v>
      </c>
      <c r="Q428" s="203">
        <f t="shared" si="53"/>
        <v>79.900000000001143</v>
      </c>
      <c r="R428" s="160" t="s">
        <v>55</v>
      </c>
      <c r="S428" s="201">
        <f t="shared" si="54"/>
        <v>6.2942564909518328E-3</v>
      </c>
    </row>
    <row r="429" spans="1:19">
      <c r="A429" s="196">
        <v>40589</v>
      </c>
      <c r="B429" s="122">
        <v>25.66</v>
      </c>
      <c r="C429" s="122">
        <v>25.9</v>
      </c>
      <c r="D429" s="122">
        <v>25.51</v>
      </c>
      <c r="E429" s="122">
        <v>25.58</v>
      </c>
      <c r="F429" s="122">
        <v>17.158873</v>
      </c>
      <c r="G429" s="197">
        <v>50600</v>
      </c>
      <c r="H429" s="198">
        <f>IF(AND(E428&gt;=H428,E429&gt;=E428),E428*(1+'Trading Model'!$E$13),IF(AND(E429&lt;E428,E428&gt;=H428),E429*(1+'Trading Model'!$E$13),H428))</f>
        <v>27.698998950000004</v>
      </c>
      <c r="I429" s="198">
        <f>IF(K429&gt;0,E429*(1-'Trading Model'!E439),IF(E429&lt;I428,I428*(1-'Trading Model'!$E$14),I428))</f>
        <v>25.060999049999999</v>
      </c>
      <c r="J429" s="198">
        <f t="shared" si="55"/>
        <v>0</v>
      </c>
      <c r="K429" s="198">
        <f t="shared" si="50"/>
        <v>0</v>
      </c>
      <c r="L429" s="198">
        <f>COUNTIF(J429:K429,"&lt;&gt;0")*-'Trading Model'!$E$15</f>
        <v>0</v>
      </c>
      <c r="M429" s="198">
        <f t="shared" si="48"/>
        <v>0</v>
      </c>
      <c r="N429" s="75">
        <f t="shared" si="51"/>
        <v>25</v>
      </c>
      <c r="O429" s="202">
        <f t="shared" si="52"/>
        <v>0</v>
      </c>
      <c r="P429" s="199">
        <f t="shared" si="49"/>
        <v>0</v>
      </c>
      <c r="Q429" s="203">
        <f t="shared" si="53"/>
        <v>79.900000000001143</v>
      </c>
      <c r="R429" s="203" t="s">
        <v>55</v>
      </c>
      <c r="S429" s="201">
        <f t="shared" si="54"/>
        <v>0</v>
      </c>
    </row>
    <row r="430" spans="1:19">
      <c r="A430" s="196">
        <v>40590</v>
      </c>
      <c r="B430" s="122">
        <v>25.6</v>
      </c>
      <c r="C430" s="122">
        <v>25.9</v>
      </c>
      <c r="D430" s="122">
        <v>25.52</v>
      </c>
      <c r="E430" s="122">
        <v>25.77</v>
      </c>
      <c r="F430" s="122">
        <v>17.286324</v>
      </c>
      <c r="G430" s="197">
        <v>163500</v>
      </c>
      <c r="H430" s="198">
        <f>IF(AND(E429&gt;=H429,E430&gt;=E429),E429*(1+'Trading Model'!$E$13),IF(AND(E430&lt;E429,E429&gt;=H429),E430*(1+'Trading Model'!$E$13),H429))</f>
        <v>27.698998950000004</v>
      </c>
      <c r="I430" s="198">
        <f>IF(K430&gt;0,E430*(1-'Trading Model'!E440),IF(E430&lt;I429,I429*(1-'Trading Model'!$E$14),I429))</f>
        <v>25.060999049999999</v>
      </c>
      <c r="J430" s="198">
        <f t="shared" si="55"/>
        <v>0</v>
      </c>
      <c r="K430" s="198">
        <f t="shared" si="50"/>
        <v>0</v>
      </c>
      <c r="L430" s="198">
        <f>COUNTIF(J430:K430,"&lt;&gt;0")*-'Trading Model'!$E$15</f>
        <v>0</v>
      </c>
      <c r="M430" s="198">
        <f t="shared" si="48"/>
        <v>0</v>
      </c>
      <c r="N430" s="75">
        <f t="shared" si="51"/>
        <v>25</v>
      </c>
      <c r="O430" s="202">
        <f t="shared" si="52"/>
        <v>0</v>
      </c>
      <c r="P430" s="199">
        <f t="shared" si="49"/>
        <v>0</v>
      </c>
      <c r="Q430" s="203">
        <f t="shared" si="53"/>
        <v>79.900000000001143</v>
      </c>
      <c r="R430" s="203" t="s">
        <v>55</v>
      </c>
      <c r="S430" s="201">
        <f t="shared" si="54"/>
        <v>7.427677873338645E-3</v>
      </c>
    </row>
    <row r="431" spans="1:19">
      <c r="A431" s="196">
        <v>40591</v>
      </c>
      <c r="B431" s="122">
        <v>25.65</v>
      </c>
      <c r="C431" s="122">
        <v>25.809999000000001</v>
      </c>
      <c r="D431" s="122">
        <v>25.110001</v>
      </c>
      <c r="E431" s="122">
        <v>25.360001</v>
      </c>
      <c r="F431" s="122">
        <v>17.011296999999999</v>
      </c>
      <c r="G431" s="197">
        <v>176500</v>
      </c>
      <c r="H431" s="198">
        <f>IF(AND(E430&gt;=H430,E431&gt;=E430),E430*(1+'Trading Model'!$E$13),IF(AND(E431&lt;E430,E430&gt;=H430),E431*(1+'Trading Model'!$E$13),H430))</f>
        <v>27.698998950000004</v>
      </c>
      <c r="I431" s="198">
        <f>IF(K431&gt;0,E431*(1-'Trading Model'!E441),IF(E431&lt;I430,I430*(1-'Trading Model'!$E$14),I430))</f>
        <v>25.060999049999999</v>
      </c>
      <c r="J431" s="198">
        <f t="shared" si="55"/>
        <v>0</v>
      </c>
      <c r="K431" s="198">
        <f t="shared" si="50"/>
        <v>0</v>
      </c>
      <c r="L431" s="198">
        <f>COUNTIF(J431:K431,"&lt;&gt;0")*-'Trading Model'!$E$15</f>
        <v>0</v>
      </c>
      <c r="M431" s="198">
        <f t="shared" si="48"/>
        <v>0</v>
      </c>
      <c r="N431" s="75">
        <f t="shared" si="51"/>
        <v>25</v>
      </c>
      <c r="O431" s="202">
        <f t="shared" si="52"/>
        <v>0</v>
      </c>
      <c r="P431" s="199">
        <f t="shared" si="49"/>
        <v>0</v>
      </c>
      <c r="Q431" s="203">
        <f t="shared" si="53"/>
        <v>79.800000000001148</v>
      </c>
      <c r="R431" s="203" t="s">
        <v>55</v>
      </c>
      <c r="S431" s="201">
        <f t="shared" si="54"/>
        <v>-1.590993403181995E-2</v>
      </c>
    </row>
    <row r="432" spans="1:19">
      <c r="A432" s="196">
        <v>40592</v>
      </c>
      <c r="B432" s="122">
        <v>25.32</v>
      </c>
      <c r="C432" s="122">
        <v>25.5</v>
      </c>
      <c r="D432" s="122">
        <v>25.02</v>
      </c>
      <c r="E432" s="122">
        <v>25.299999</v>
      </c>
      <c r="F432" s="122">
        <v>16.971050000000002</v>
      </c>
      <c r="G432" s="197">
        <v>112500</v>
      </c>
      <c r="H432" s="198">
        <f>IF(AND(E431&gt;=H431,E432&gt;=E431),E431*(1+'Trading Model'!$E$13),IF(AND(E432&lt;E431,E431&gt;=H431),E432*(1+'Trading Model'!$E$13),H431))</f>
        <v>27.698998950000004</v>
      </c>
      <c r="I432" s="198">
        <f>IF(K432&gt;0,E432*(1-'Trading Model'!E442),IF(E432&lt;I431,I431*(1-'Trading Model'!$E$14),I431))</f>
        <v>25.060999049999999</v>
      </c>
      <c r="J432" s="198">
        <f t="shared" si="55"/>
        <v>0</v>
      </c>
      <c r="K432" s="198">
        <f t="shared" si="50"/>
        <v>0</v>
      </c>
      <c r="L432" s="198">
        <f>COUNTIF(J432:K432,"&lt;&gt;0")*-'Trading Model'!$E$15</f>
        <v>0</v>
      </c>
      <c r="M432" s="198">
        <f t="shared" si="48"/>
        <v>0</v>
      </c>
      <c r="N432" s="75">
        <f t="shared" si="51"/>
        <v>25</v>
      </c>
      <c r="O432" s="202">
        <f t="shared" si="52"/>
        <v>0</v>
      </c>
      <c r="P432" s="199">
        <f t="shared" si="49"/>
        <v>0</v>
      </c>
      <c r="Q432" s="203">
        <f t="shared" si="53"/>
        <v>79.700000000001154</v>
      </c>
      <c r="R432" s="201">
        <f>E432/B428-1</f>
        <v>-1.2104724244251353E-2</v>
      </c>
      <c r="S432" s="201">
        <f t="shared" si="54"/>
        <v>-2.3660093704255258E-3</v>
      </c>
    </row>
    <row r="433" spans="1:19">
      <c r="A433" s="196">
        <v>40596</v>
      </c>
      <c r="B433" s="122">
        <v>25.030000999999999</v>
      </c>
      <c r="C433" s="122">
        <v>25.190000999999999</v>
      </c>
      <c r="D433" s="122">
        <v>24.25</v>
      </c>
      <c r="E433" s="122">
        <v>24.92</v>
      </c>
      <c r="F433" s="122">
        <v>16.716148</v>
      </c>
      <c r="G433" s="197">
        <v>449500</v>
      </c>
      <c r="H433" s="198">
        <f>IF(AND(E432&gt;=H432,E433&gt;=E432),E432*(1+'Trading Model'!$E$13),IF(AND(E433&lt;E432,E432&gt;=H432),E433*(1+'Trading Model'!$E$13),H432))</f>
        <v>27.698998950000004</v>
      </c>
      <c r="I433" s="198">
        <f>IF(K433&gt;0,E433*(1-'Trading Model'!E443),IF(E433&lt;I432,I432*(1-'Trading Model'!$E$14),I432))</f>
        <v>23.8079490975</v>
      </c>
      <c r="J433" s="198">
        <f t="shared" si="55"/>
        <v>-24.92</v>
      </c>
      <c r="K433" s="198">
        <f t="shared" si="50"/>
        <v>0</v>
      </c>
      <c r="L433" s="198">
        <f>COUNTIF(J433:K433,"&lt;&gt;0")*-'Trading Model'!$E$15</f>
        <v>-0.1</v>
      </c>
      <c r="M433" s="198">
        <f t="shared" si="48"/>
        <v>-25.020000000000003</v>
      </c>
      <c r="N433" s="75">
        <f t="shared" si="51"/>
        <v>26</v>
      </c>
      <c r="O433" s="202">
        <f t="shared" si="52"/>
        <v>0</v>
      </c>
      <c r="P433" s="199">
        <f t="shared" si="49"/>
        <v>0</v>
      </c>
      <c r="Q433" s="203">
        <f t="shared" si="53"/>
        <v>79.60000000000116</v>
      </c>
      <c r="R433" s="160" t="s">
        <v>55</v>
      </c>
      <c r="S433" s="201">
        <f t="shared" si="54"/>
        <v>-1.5019723913823002E-2</v>
      </c>
    </row>
    <row r="434" spans="1:19">
      <c r="A434" s="196">
        <v>40597</v>
      </c>
      <c r="B434" s="122">
        <v>25.110001</v>
      </c>
      <c r="C434" s="122">
        <v>25.309999000000001</v>
      </c>
      <c r="D434" s="122">
        <v>23.33</v>
      </c>
      <c r="E434" s="122">
        <v>23.67</v>
      </c>
      <c r="F434" s="122">
        <v>15.877660000000001</v>
      </c>
      <c r="G434" s="197">
        <v>397500</v>
      </c>
      <c r="H434" s="198">
        <f>IF(AND(E433&gt;=H433,E434&gt;=E433),E433*(1+'Trading Model'!$E$13),IF(AND(E434&lt;E433,E433&gt;=H433),E434*(1+'Trading Model'!$E$13),H433))</f>
        <v>27.698998950000004</v>
      </c>
      <c r="I434" s="198">
        <f>IF(K434&gt;0,E434*(1-'Trading Model'!E444),IF(E434&lt;I433,I433*(1-'Trading Model'!$E$14),I433))</f>
        <v>22.617551642624999</v>
      </c>
      <c r="J434" s="198">
        <f t="shared" si="55"/>
        <v>-23.67</v>
      </c>
      <c r="K434" s="198">
        <f t="shared" si="50"/>
        <v>0</v>
      </c>
      <c r="L434" s="198">
        <f>COUNTIF(J434:K434,"&lt;&gt;0")*-'Trading Model'!$E$15</f>
        <v>-0.1</v>
      </c>
      <c r="M434" s="198">
        <f t="shared" si="48"/>
        <v>-23.770000000000003</v>
      </c>
      <c r="N434" s="75">
        <f t="shared" si="51"/>
        <v>27</v>
      </c>
      <c r="O434" s="202">
        <f t="shared" si="52"/>
        <v>0</v>
      </c>
      <c r="P434" s="199">
        <f t="shared" si="49"/>
        <v>0</v>
      </c>
      <c r="Q434" s="203">
        <f t="shared" si="53"/>
        <v>79.500000000001165</v>
      </c>
      <c r="R434" s="203" t="s">
        <v>55</v>
      </c>
      <c r="S434" s="201">
        <f t="shared" si="54"/>
        <v>-5.0160513643659699E-2</v>
      </c>
    </row>
    <row r="435" spans="1:19">
      <c r="A435" s="196">
        <v>40598</v>
      </c>
      <c r="B435" s="122">
        <v>23.5</v>
      </c>
      <c r="C435" s="122">
        <v>23.82</v>
      </c>
      <c r="D435" s="122">
        <v>22.940000999999999</v>
      </c>
      <c r="E435" s="122">
        <v>23.120000999999998</v>
      </c>
      <c r="F435" s="122">
        <v>15.508725999999999</v>
      </c>
      <c r="G435" s="197">
        <v>309500</v>
      </c>
      <c r="H435" s="198">
        <f>IF(AND(E434&gt;=H434,E435&gt;=E434),E434*(1+'Trading Model'!$E$13),IF(AND(E435&lt;E434,E434&gt;=H434),E435*(1+'Trading Model'!$E$13),H434))</f>
        <v>27.698998950000004</v>
      </c>
      <c r="I435" s="198">
        <f>IF(K435&gt;0,E435*(1-'Trading Model'!E445),IF(E435&lt;I434,I434*(1-'Trading Model'!$E$14),I434))</f>
        <v>22.617551642624999</v>
      </c>
      <c r="J435" s="198">
        <f t="shared" si="55"/>
        <v>0</v>
      </c>
      <c r="K435" s="198">
        <f t="shared" si="50"/>
        <v>0</v>
      </c>
      <c r="L435" s="198">
        <f>COUNTIF(J435:K435,"&lt;&gt;0")*-'Trading Model'!$E$15</f>
        <v>0</v>
      </c>
      <c r="M435" s="198">
        <f t="shared" si="48"/>
        <v>0</v>
      </c>
      <c r="N435" s="75">
        <f t="shared" si="51"/>
        <v>27</v>
      </c>
      <c r="O435" s="202">
        <f t="shared" si="52"/>
        <v>0</v>
      </c>
      <c r="P435" s="199">
        <f t="shared" si="49"/>
        <v>0</v>
      </c>
      <c r="Q435" s="203">
        <f t="shared" si="53"/>
        <v>79.400000000001171</v>
      </c>
      <c r="R435" s="203" t="s">
        <v>55</v>
      </c>
      <c r="S435" s="201">
        <f t="shared" si="54"/>
        <v>-2.3236121673003929E-2</v>
      </c>
    </row>
    <row r="436" spans="1:19">
      <c r="A436" s="196">
        <v>40599</v>
      </c>
      <c r="B436" s="122">
        <v>23.5</v>
      </c>
      <c r="C436" s="122">
        <v>23.719999000000001</v>
      </c>
      <c r="D436" s="122">
        <v>23.16</v>
      </c>
      <c r="E436" s="122">
        <v>23.48</v>
      </c>
      <c r="F436" s="122">
        <v>15.750203000000001</v>
      </c>
      <c r="G436" s="197">
        <v>449100</v>
      </c>
      <c r="H436" s="198">
        <f>IF(AND(E435&gt;=H435,E436&gt;=E435),E435*(1+'Trading Model'!$E$13),IF(AND(E436&lt;E435,E435&gt;=H435),E436*(1+'Trading Model'!$E$13),H435))</f>
        <v>27.698998950000004</v>
      </c>
      <c r="I436" s="198">
        <f>IF(K436&gt;0,E436*(1-'Trading Model'!E446),IF(E436&lt;I435,I435*(1-'Trading Model'!$E$14),I435))</f>
        <v>22.617551642624999</v>
      </c>
      <c r="J436" s="198">
        <f t="shared" si="55"/>
        <v>0</v>
      </c>
      <c r="K436" s="198">
        <f t="shared" si="50"/>
        <v>0</v>
      </c>
      <c r="L436" s="198">
        <f>COUNTIF(J436:K436,"&lt;&gt;0")*-'Trading Model'!$E$15</f>
        <v>0</v>
      </c>
      <c r="M436" s="198">
        <f t="shared" si="48"/>
        <v>0</v>
      </c>
      <c r="N436" s="75">
        <f t="shared" si="51"/>
        <v>27</v>
      </c>
      <c r="O436" s="202">
        <f t="shared" si="52"/>
        <v>0</v>
      </c>
      <c r="P436" s="199">
        <f t="shared" si="49"/>
        <v>0</v>
      </c>
      <c r="Q436" s="203">
        <f t="shared" si="53"/>
        <v>79.400000000001171</v>
      </c>
      <c r="R436" s="203" t="s">
        <v>55</v>
      </c>
      <c r="S436" s="201">
        <f t="shared" si="54"/>
        <v>1.5570890329978937E-2</v>
      </c>
    </row>
    <row r="437" spans="1:19">
      <c r="A437" s="196">
        <v>40602</v>
      </c>
      <c r="B437" s="122">
        <v>23.77</v>
      </c>
      <c r="C437" s="122">
        <v>23.9</v>
      </c>
      <c r="D437" s="122">
        <v>23.43</v>
      </c>
      <c r="E437" s="122">
        <v>23.59</v>
      </c>
      <c r="F437" s="122">
        <v>15.823995999999999</v>
      </c>
      <c r="G437" s="197">
        <v>232800</v>
      </c>
      <c r="H437" s="198">
        <f>IF(AND(E436&gt;=H436,E437&gt;=E436),E436*(1+'Trading Model'!$E$13),IF(AND(E437&lt;E436,E436&gt;=H436),E437*(1+'Trading Model'!$E$13),H436))</f>
        <v>27.698998950000004</v>
      </c>
      <c r="I437" s="198">
        <f>IF(K437&gt;0,E437*(1-'Trading Model'!E447),IF(E437&lt;I436,I436*(1-'Trading Model'!$E$14),I436))</f>
        <v>22.617551642624999</v>
      </c>
      <c r="J437" s="198">
        <f t="shared" si="55"/>
        <v>0</v>
      </c>
      <c r="K437" s="198">
        <f t="shared" si="50"/>
        <v>0</v>
      </c>
      <c r="L437" s="198">
        <f>COUNTIF(J437:K437,"&lt;&gt;0")*-'Trading Model'!$E$15</f>
        <v>0</v>
      </c>
      <c r="M437" s="198">
        <f t="shared" si="48"/>
        <v>0</v>
      </c>
      <c r="N437" s="75">
        <f t="shared" si="51"/>
        <v>27</v>
      </c>
      <c r="O437" s="202">
        <f t="shared" si="52"/>
        <v>0</v>
      </c>
      <c r="P437" s="199">
        <f t="shared" si="49"/>
        <v>0</v>
      </c>
      <c r="Q437" s="203">
        <f t="shared" si="53"/>
        <v>79.400000000001171</v>
      </c>
      <c r="R437" s="201">
        <f>E437/B433-1</f>
        <v>-5.7531000498162177E-2</v>
      </c>
      <c r="S437" s="201">
        <f t="shared" si="54"/>
        <v>4.6848381601363176E-3</v>
      </c>
    </row>
    <row r="438" spans="1:19">
      <c r="A438" s="196">
        <v>40603</v>
      </c>
      <c r="B438" s="122">
        <v>23.77</v>
      </c>
      <c r="C438" s="122">
        <v>23.860001</v>
      </c>
      <c r="D438" s="122">
        <v>23.25</v>
      </c>
      <c r="E438" s="122">
        <v>23.360001</v>
      </c>
      <c r="F438" s="122">
        <v>15.669711</v>
      </c>
      <c r="G438" s="197">
        <v>140100</v>
      </c>
      <c r="H438" s="198">
        <f>IF(AND(E437&gt;=H437,E438&gt;=E437),E437*(1+'Trading Model'!$E$13),IF(AND(E438&lt;E437,E437&gt;=H437),E438*(1+'Trading Model'!$E$13),H437))</f>
        <v>27.698998950000004</v>
      </c>
      <c r="I438" s="198">
        <f>IF(K438&gt;0,E438*(1-'Trading Model'!E448),IF(E438&lt;I437,I437*(1-'Trading Model'!$E$14),I437))</f>
        <v>22.617551642624999</v>
      </c>
      <c r="J438" s="198">
        <f t="shared" si="55"/>
        <v>0</v>
      </c>
      <c r="K438" s="198">
        <f t="shared" si="50"/>
        <v>0</v>
      </c>
      <c r="L438" s="198">
        <f>COUNTIF(J438:K438,"&lt;&gt;0")*-'Trading Model'!$E$15</f>
        <v>0</v>
      </c>
      <c r="M438" s="198">
        <f t="shared" si="48"/>
        <v>0</v>
      </c>
      <c r="N438" s="75">
        <f t="shared" si="51"/>
        <v>27</v>
      </c>
      <c r="O438" s="202">
        <f t="shared" si="52"/>
        <v>0</v>
      </c>
      <c r="P438" s="199">
        <f t="shared" si="49"/>
        <v>0</v>
      </c>
      <c r="Q438" s="203">
        <f t="shared" si="53"/>
        <v>79.300000000001177</v>
      </c>
      <c r="R438" s="160" t="s">
        <v>55</v>
      </c>
      <c r="S438" s="201">
        <f t="shared" si="54"/>
        <v>-9.749851632047446E-3</v>
      </c>
    </row>
    <row r="439" spans="1:19">
      <c r="A439" s="196">
        <v>40604</v>
      </c>
      <c r="B439" s="122">
        <v>23.309999000000001</v>
      </c>
      <c r="C439" s="122">
        <v>23.41</v>
      </c>
      <c r="D439" s="122">
        <v>23.02</v>
      </c>
      <c r="E439" s="122">
        <v>23.299999</v>
      </c>
      <c r="F439" s="122">
        <v>15.629462</v>
      </c>
      <c r="G439" s="197">
        <v>236400</v>
      </c>
      <c r="H439" s="198">
        <f>IF(AND(E438&gt;=H438,E439&gt;=E438),E438*(1+'Trading Model'!$E$13),IF(AND(E439&lt;E438,E438&gt;=H438),E439*(1+'Trading Model'!$E$13),H438))</f>
        <v>27.698998950000004</v>
      </c>
      <c r="I439" s="198">
        <f>IF(K439&gt;0,E439*(1-'Trading Model'!E449),IF(E439&lt;I438,I438*(1-'Trading Model'!$E$14),I438))</f>
        <v>22.617551642624999</v>
      </c>
      <c r="J439" s="198">
        <f t="shared" si="55"/>
        <v>0</v>
      </c>
      <c r="K439" s="198">
        <f t="shared" si="50"/>
        <v>0</v>
      </c>
      <c r="L439" s="198">
        <f>COUNTIF(J439:K439,"&lt;&gt;0")*-'Trading Model'!$E$15</f>
        <v>0</v>
      </c>
      <c r="M439" s="198">
        <f t="shared" si="48"/>
        <v>0</v>
      </c>
      <c r="N439" s="75">
        <f t="shared" si="51"/>
        <v>27</v>
      </c>
      <c r="O439" s="202">
        <f t="shared" si="52"/>
        <v>0</v>
      </c>
      <c r="P439" s="199">
        <f t="shared" si="49"/>
        <v>0</v>
      </c>
      <c r="Q439" s="203">
        <f t="shared" si="53"/>
        <v>79.200000000001182</v>
      </c>
      <c r="R439" s="203" t="s">
        <v>55</v>
      </c>
      <c r="S439" s="201">
        <f t="shared" si="54"/>
        <v>-2.5685786571670866E-3</v>
      </c>
    </row>
    <row r="440" spans="1:19">
      <c r="A440" s="196">
        <v>40605</v>
      </c>
      <c r="B440" s="122">
        <v>23.610001</v>
      </c>
      <c r="C440" s="122">
        <v>24</v>
      </c>
      <c r="D440" s="122">
        <v>23.33</v>
      </c>
      <c r="E440" s="122">
        <v>23.969999000000001</v>
      </c>
      <c r="F440" s="122">
        <v>16.078896</v>
      </c>
      <c r="G440" s="197">
        <v>155200</v>
      </c>
      <c r="H440" s="198">
        <f>IF(AND(E439&gt;=H439,E440&gt;=E439),E439*(1+'Trading Model'!$E$13),IF(AND(E440&lt;E439,E439&gt;=H439),E440*(1+'Trading Model'!$E$13),H439))</f>
        <v>27.698998950000004</v>
      </c>
      <c r="I440" s="198">
        <f>IF(K440&gt;0,E440*(1-'Trading Model'!E450),IF(E440&lt;I439,I439*(1-'Trading Model'!$E$14),I439))</f>
        <v>22.617551642624999</v>
      </c>
      <c r="J440" s="198">
        <f t="shared" si="55"/>
        <v>0</v>
      </c>
      <c r="K440" s="198">
        <f t="shared" si="50"/>
        <v>0</v>
      </c>
      <c r="L440" s="198">
        <f>COUNTIF(J440:K440,"&lt;&gt;0")*-'Trading Model'!$E$15</f>
        <v>0</v>
      </c>
      <c r="M440" s="198">
        <f t="shared" si="48"/>
        <v>0</v>
      </c>
      <c r="N440" s="75">
        <f t="shared" si="51"/>
        <v>27</v>
      </c>
      <c r="O440" s="202">
        <f t="shared" si="52"/>
        <v>0</v>
      </c>
      <c r="P440" s="199">
        <f t="shared" si="49"/>
        <v>0</v>
      </c>
      <c r="Q440" s="203">
        <f t="shared" si="53"/>
        <v>79.200000000001182</v>
      </c>
      <c r="R440" s="203" t="s">
        <v>55</v>
      </c>
      <c r="S440" s="201">
        <f t="shared" si="54"/>
        <v>2.8755366041002928E-2</v>
      </c>
    </row>
    <row r="441" spans="1:19">
      <c r="A441" s="196">
        <v>40606</v>
      </c>
      <c r="B441" s="122">
        <v>23.969999000000001</v>
      </c>
      <c r="C441" s="122">
        <v>24.6</v>
      </c>
      <c r="D441" s="122">
        <v>23.879999000000002</v>
      </c>
      <c r="E441" s="122">
        <v>24.57</v>
      </c>
      <c r="F441" s="122">
        <v>16.481369000000001</v>
      </c>
      <c r="G441" s="197">
        <v>240100</v>
      </c>
      <c r="H441" s="198">
        <f>IF(AND(E440&gt;=H440,E441&gt;=E440),E440*(1+'Trading Model'!$E$13),IF(AND(E441&lt;E440,E440&gt;=H440),E441*(1+'Trading Model'!$E$13),H440))</f>
        <v>27.698998950000004</v>
      </c>
      <c r="I441" s="198">
        <f>IF(K441&gt;0,E441*(1-'Trading Model'!E451),IF(E441&lt;I440,I440*(1-'Trading Model'!$E$14),I440))</f>
        <v>22.617551642624999</v>
      </c>
      <c r="J441" s="198">
        <f t="shared" si="55"/>
        <v>0</v>
      </c>
      <c r="K441" s="198">
        <f t="shared" si="50"/>
        <v>0</v>
      </c>
      <c r="L441" s="198">
        <f>COUNTIF(J441:K441,"&lt;&gt;0")*-'Trading Model'!$E$15</f>
        <v>0</v>
      </c>
      <c r="M441" s="198">
        <f t="shared" si="48"/>
        <v>0</v>
      </c>
      <c r="N441" s="75">
        <f t="shared" si="51"/>
        <v>27</v>
      </c>
      <c r="O441" s="202">
        <f t="shared" si="52"/>
        <v>0</v>
      </c>
      <c r="P441" s="199">
        <f t="shared" si="49"/>
        <v>0</v>
      </c>
      <c r="Q441" s="203">
        <f t="shared" si="53"/>
        <v>79.200000000001182</v>
      </c>
      <c r="R441" s="203" t="s">
        <v>55</v>
      </c>
      <c r="S441" s="201">
        <f t="shared" si="54"/>
        <v>2.5031331874481921E-2</v>
      </c>
    </row>
    <row r="442" spans="1:19">
      <c r="A442" s="196">
        <v>40609</v>
      </c>
      <c r="B442" s="122">
        <v>24.73</v>
      </c>
      <c r="C442" s="122">
        <v>24.75</v>
      </c>
      <c r="D442" s="122">
        <v>23.940000999999999</v>
      </c>
      <c r="E442" s="122">
        <v>24</v>
      </c>
      <c r="F442" s="122">
        <v>16.099019999999999</v>
      </c>
      <c r="G442" s="197">
        <v>145400</v>
      </c>
      <c r="H442" s="198">
        <f>IF(AND(E441&gt;=H441,E442&gt;=E441),E441*(1+'Trading Model'!$E$13),IF(AND(E442&lt;E441,E441&gt;=H441),E442*(1+'Trading Model'!$E$13),H441))</f>
        <v>27.698998950000004</v>
      </c>
      <c r="I442" s="198">
        <f>IF(K442&gt;0,E442*(1-'Trading Model'!E452),IF(E442&lt;I441,I441*(1-'Trading Model'!$E$14),I441))</f>
        <v>22.617551642624999</v>
      </c>
      <c r="J442" s="198">
        <f t="shared" si="55"/>
        <v>0</v>
      </c>
      <c r="K442" s="198">
        <f t="shared" si="50"/>
        <v>0</v>
      </c>
      <c r="L442" s="198">
        <f>COUNTIF(J442:K442,"&lt;&gt;0")*-'Trading Model'!$E$15</f>
        <v>0</v>
      </c>
      <c r="M442" s="198">
        <f t="shared" si="48"/>
        <v>0</v>
      </c>
      <c r="N442" s="75">
        <f t="shared" si="51"/>
        <v>27</v>
      </c>
      <c r="O442" s="202">
        <f t="shared" si="52"/>
        <v>0</v>
      </c>
      <c r="P442" s="199">
        <f t="shared" si="49"/>
        <v>0</v>
      </c>
      <c r="Q442" s="203">
        <f t="shared" si="53"/>
        <v>79.100000000001188</v>
      </c>
      <c r="R442" s="201">
        <f>E442/B438-1</f>
        <v>9.6760622633571547E-3</v>
      </c>
      <c r="S442" s="201">
        <f t="shared" si="54"/>
        <v>-2.3199023199023228E-2</v>
      </c>
    </row>
    <row r="443" spans="1:19">
      <c r="A443" s="196">
        <v>40610</v>
      </c>
      <c r="B443" s="122">
        <v>24.18</v>
      </c>
      <c r="C443" s="122">
        <v>24.440000999999999</v>
      </c>
      <c r="D443" s="122">
        <v>23.91</v>
      </c>
      <c r="E443" s="122">
        <v>24.200001</v>
      </c>
      <c r="F443" s="122">
        <v>16.233179</v>
      </c>
      <c r="G443" s="197">
        <v>53000</v>
      </c>
      <c r="H443" s="198">
        <f>IF(AND(E442&gt;=H442,E443&gt;=E442),E442*(1+'Trading Model'!$E$13),IF(AND(E443&lt;E442,E442&gt;=H442),E443*(1+'Trading Model'!$E$13),H442))</f>
        <v>27.698998950000004</v>
      </c>
      <c r="I443" s="198">
        <f>IF(K443&gt;0,E443*(1-'Trading Model'!E453),IF(E443&lt;I442,I442*(1-'Trading Model'!$E$14),I442))</f>
        <v>22.617551642624999</v>
      </c>
      <c r="J443" s="198">
        <f t="shared" si="55"/>
        <v>0</v>
      </c>
      <c r="K443" s="198">
        <f t="shared" si="50"/>
        <v>0</v>
      </c>
      <c r="L443" s="198">
        <f>COUNTIF(J443:K443,"&lt;&gt;0")*-'Trading Model'!$E$15</f>
        <v>0</v>
      </c>
      <c r="M443" s="198">
        <f t="shared" si="48"/>
        <v>0</v>
      </c>
      <c r="N443" s="75">
        <f t="shared" si="51"/>
        <v>27</v>
      </c>
      <c r="O443" s="202">
        <f t="shared" si="52"/>
        <v>0</v>
      </c>
      <c r="P443" s="199">
        <f t="shared" si="49"/>
        <v>0</v>
      </c>
      <c r="Q443" s="203">
        <f t="shared" si="53"/>
        <v>79.100000000001188</v>
      </c>
      <c r="R443" s="160" t="s">
        <v>55</v>
      </c>
      <c r="S443" s="201">
        <f t="shared" si="54"/>
        <v>8.3333750000000872E-3</v>
      </c>
    </row>
    <row r="444" spans="1:19">
      <c r="A444" s="196">
        <v>40611</v>
      </c>
      <c r="B444" s="122">
        <v>24.07</v>
      </c>
      <c r="C444" s="122">
        <v>24.59</v>
      </c>
      <c r="D444" s="122">
        <v>24.030000999999999</v>
      </c>
      <c r="E444" s="122">
        <v>24.209999</v>
      </c>
      <c r="F444" s="122">
        <v>16.239882999999999</v>
      </c>
      <c r="G444" s="197">
        <v>110700</v>
      </c>
      <c r="H444" s="198">
        <f>IF(AND(E443&gt;=H443,E444&gt;=E443),E443*(1+'Trading Model'!$E$13),IF(AND(E444&lt;E443,E443&gt;=H443),E444*(1+'Trading Model'!$E$13),H443))</f>
        <v>27.698998950000004</v>
      </c>
      <c r="I444" s="198">
        <f>IF(K444&gt;0,E444*(1-'Trading Model'!E454),IF(E444&lt;I443,I443*(1-'Trading Model'!$E$14),I443))</f>
        <v>22.617551642624999</v>
      </c>
      <c r="J444" s="198">
        <f t="shared" si="55"/>
        <v>0</v>
      </c>
      <c r="K444" s="198">
        <f t="shared" si="50"/>
        <v>0</v>
      </c>
      <c r="L444" s="198">
        <f>COUNTIF(J444:K444,"&lt;&gt;0")*-'Trading Model'!$E$15</f>
        <v>0</v>
      </c>
      <c r="M444" s="198">
        <f t="shared" si="48"/>
        <v>0</v>
      </c>
      <c r="N444" s="75">
        <f t="shared" si="51"/>
        <v>27</v>
      </c>
      <c r="O444" s="202">
        <f t="shared" si="52"/>
        <v>0</v>
      </c>
      <c r="P444" s="199">
        <f t="shared" si="49"/>
        <v>0</v>
      </c>
      <c r="Q444" s="203">
        <f t="shared" si="53"/>
        <v>79.100000000001188</v>
      </c>
      <c r="R444" s="203" t="s">
        <v>55</v>
      </c>
      <c r="S444" s="201">
        <f t="shared" si="54"/>
        <v>4.1314047879592586E-4</v>
      </c>
    </row>
    <row r="445" spans="1:19">
      <c r="A445" s="196">
        <v>40612</v>
      </c>
      <c r="B445" s="122">
        <v>24.01</v>
      </c>
      <c r="C445" s="122">
        <v>24.059999000000001</v>
      </c>
      <c r="D445" s="122">
        <v>23.4</v>
      </c>
      <c r="E445" s="122">
        <v>23.459999</v>
      </c>
      <c r="F445" s="122">
        <v>15.736791</v>
      </c>
      <c r="G445" s="197">
        <v>130400</v>
      </c>
      <c r="H445" s="198">
        <f>IF(AND(E444&gt;=H444,E445&gt;=E444),E444*(1+'Trading Model'!$E$13),IF(AND(E445&lt;E444,E444&gt;=H444),E445*(1+'Trading Model'!$E$13),H444))</f>
        <v>27.698998950000004</v>
      </c>
      <c r="I445" s="198">
        <f>IF(K445&gt;0,E445*(1-'Trading Model'!E455),IF(E445&lt;I444,I444*(1-'Trading Model'!$E$14),I444))</f>
        <v>22.617551642624999</v>
      </c>
      <c r="J445" s="198">
        <f t="shared" si="55"/>
        <v>0</v>
      </c>
      <c r="K445" s="198">
        <f t="shared" si="50"/>
        <v>0</v>
      </c>
      <c r="L445" s="198">
        <f>COUNTIF(J445:K445,"&lt;&gt;0")*-'Trading Model'!$E$15</f>
        <v>0</v>
      </c>
      <c r="M445" s="198">
        <f t="shared" si="48"/>
        <v>0</v>
      </c>
      <c r="N445" s="75">
        <f t="shared" si="51"/>
        <v>27</v>
      </c>
      <c r="O445" s="202">
        <f t="shared" si="52"/>
        <v>0</v>
      </c>
      <c r="P445" s="199">
        <f t="shared" si="49"/>
        <v>0</v>
      </c>
      <c r="Q445" s="203">
        <f t="shared" si="53"/>
        <v>79.000000000001194</v>
      </c>
      <c r="R445" s="203" t="s">
        <v>55</v>
      </c>
      <c r="S445" s="201">
        <f t="shared" si="54"/>
        <v>-3.09789356042518E-2</v>
      </c>
    </row>
    <row r="446" spans="1:19">
      <c r="A446" s="196">
        <v>40613</v>
      </c>
      <c r="B446" s="122">
        <v>23.290001</v>
      </c>
      <c r="C446" s="122">
        <v>23.58</v>
      </c>
      <c r="D446" s="122">
        <v>23.1</v>
      </c>
      <c r="E446" s="122">
        <v>23.450001</v>
      </c>
      <c r="F446" s="122">
        <v>15.730083</v>
      </c>
      <c r="G446" s="197">
        <v>106000</v>
      </c>
      <c r="H446" s="198">
        <f>IF(AND(E445&gt;=H445,E446&gt;=E445),E445*(1+'Trading Model'!$E$13),IF(AND(E446&lt;E445,E445&gt;=H445),E446*(1+'Trading Model'!$E$13),H445))</f>
        <v>27.698998950000004</v>
      </c>
      <c r="I446" s="198">
        <f>IF(K446&gt;0,E446*(1-'Trading Model'!E456),IF(E446&lt;I445,I445*(1-'Trading Model'!$E$14),I445))</f>
        <v>22.617551642624999</v>
      </c>
      <c r="J446" s="198">
        <f t="shared" si="55"/>
        <v>0</v>
      </c>
      <c r="K446" s="198">
        <f t="shared" si="50"/>
        <v>0</v>
      </c>
      <c r="L446" s="198">
        <f>COUNTIF(J446:K446,"&lt;&gt;0")*-'Trading Model'!$E$15</f>
        <v>0</v>
      </c>
      <c r="M446" s="198">
        <f t="shared" si="48"/>
        <v>0</v>
      </c>
      <c r="N446" s="75">
        <f t="shared" si="51"/>
        <v>27</v>
      </c>
      <c r="O446" s="202">
        <f t="shared" si="52"/>
        <v>0</v>
      </c>
      <c r="P446" s="199">
        <f t="shared" si="49"/>
        <v>0</v>
      </c>
      <c r="Q446" s="203">
        <f t="shared" si="53"/>
        <v>78.900000000001199</v>
      </c>
      <c r="R446" s="203" t="s">
        <v>55</v>
      </c>
      <c r="S446" s="201">
        <f t="shared" si="54"/>
        <v>-4.2617222617957751E-4</v>
      </c>
    </row>
    <row r="447" spans="1:19">
      <c r="A447" s="196">
        <v>40616</v>
      </c>
      <c r="B447" s="122">
        <v>23.34</v>
      </c>
      <c r="C447" s="122">
        <v>23.43</v>
      </c>
      <c r="D447" s="122">
        <v>23.02</v>
      </c>
      <c r="E447" s="122">
        <v>23.370000999999998</v>
      </c>
      <c r="F447" s="122">
        <v>15.676422000000001</v>
      </c>
      <c r="G447" s="197">
        <v>110200</v>
      </c>
      <c r="H447" s="198">
        <f>IF(AND(E446&gt;=H446,E447&gt;=E446),E446*(1+'Trading Model'!$E$13),IF(AND(E447&lt;E446,E446&gt;=H446),E447*(1+'Trading Model'!$E$13),H446))</f>
        <v>27.698998950000004</v>
      </c>
      <c r="I447" s="198">
        <f>IF(K447&gt;0,E447*(1-'Trading Model'!E457),IF(E447&lt;I446,I446*(1-'Trading Model'!$E$14),I446))</f>
        <v>22.617551642624999</v>
      </c>
      <c r="J447" s="198">
        <f t="shared" si="55"/>
        <v>0</v>
      </c>
      <c r="K447" s="198">
        <f t="shared" si="50"/>
        <v>0</v>
      </c>
      <c r="L447" s="198">
        <f>COUNTIF(J447:K447,"&lt;&gt;0")*-'Trading Model'!$E$15</f>
        <v>0</v>
      </c>
      <c r="M447" s="198">
        <f t="shared" si="48"/>
        <v>0</v>
      </c>
      <c r="N447" s="75">
        <f t="shared" si="51"/>
        <v>27</v>
      </c>
      <c r="O447" s="202">
        <f t="shared" si="52"/>
        <v>0</v>
      </c>
      <c r="P447" s="199">
        <f t="shared" si="49"/>
        <v>0</v>
      </c>
      <c r="Q447" s="203">
        <f t="shared" si="53"/>
        <v>78.800000000001205</v>
      </c>
      <c r="R447" s="201">
        <f>E447/B443-1</f>
        <v>-3.3498717948717949E-2</v>
      </c>
      <c r="S447" s="201">
        <f t="shared" si="54"/>
        <v>-3.4115137137947782E-3</v>
      </c>
    </row>
    <row r="448" spans="1:19">
      <c r="A448" s="196">
        <v>40617</v>
      </c>
      <c r="B448" s="122">
        <v>22.98</v>
      </c>
      <c r="C448" s="122">
        <v>23.860001</v>
      </c>
      <c r="D448" s="122">
        <v>22.040001</v>
      </c>
      <c r="E448" s="122">
        <v>23.639999</v>
      </c>
      <c r="F448" s="122">
        <v>15.857530000000001</v>
      </c>
      <c r="G448" s="197">
        <v>347800</v>
      </c>
      <c r="H448" s="198">
        <f>IF(AND(E447&gt;=H447,E448&gt;=E447),E447*(1+'Trading Model'!$E$13),IF(AND(E448&lt;E447,E447&gt;=H447),E448*(1+'Trading Model'!$E$13),H447))</f>
        <v>27.698998950000004</v>
      </c>
      <c r="I448" s="198">
        <f>IF(K448&gt;0,E448*(1-'Trading Model'!E458),IF(E448&lt;I447,I447*(1-'Trading Model'!$E$14),I447))</f>
        <v>22.617551642624999</v>
      </c>
      <c r="J448" s="198">
        <f t="shared" si="55"/>
        <v>0</v>
      </c>
      <c r="K448" s="198">
        <f t="shared" si="50"/>
        <v>0</v>
      </c>
      <c r="L448" s="198">
        <f>COUNTIF(J448:K448,"&lt;&gt;0")*-'Trading Model'!$E$15</f>
        <v>0</v>
      </c>
      <c r="M448" s="198">
        <f t="shared" si="48"/>
        <v>0</v>
      </c>
      <c r="N448" s="75">
        <f t="shared" si="51"/>
        <v>27</v>
      </c>
      <c r="O448" s="202">
        <f t="shared" si="52"/>
        <v>0</v>
      </c>
      <c r="P448" s="199">
        <f t="shared" si="49"/>
        <v>0</v>
      </c>
      <c r="Q448" s="203">
        <f t="shared" si="53"/>
        <v>78.800000000001205</v>
      </c>
      <c r="R448" s="160" t="s">
        <v>55</v>
      </c>
      <c r="S448" s="201">
        <f t="shared" si="54"/>
        <v>1.1553187353308347E-2</v>
      </c>
    </row>
    <row r="449" spans="1:19">
      <c r="A449" s="196">
        <v>40618</v>
      </c>
      <c r="B449" s="122">
        <v>23.58</v>
      </c>
      <c r="C449" s="122">
        <v>23.780000999999999</v>
      </c>
      <c r="D449" s="122">
        <v>22.68</v>
      </c>
      <c r="E449" s="122">
        <v>22.959999</v>
      </c>
      <c r="F449" s="122">
        <v>15.401394</v>
      </c>
      <c r="G449" s="197">
        <v>422300</v>
      </c>
      <c r="H449" s="198">
        <f>IF(AND(E448&gt;=H448,E449&gt;=E448),E448*(1+'Trading Model'!$E$13),IF(AND(E449&lt;E448,E448&gt;=H448),E449*(1+'Trading Model'!$E$13),H448))</f>
        <v>27.698998950000004</v>
      </c>
      <c r="I449" s="198">
        <f>IF(K449&gt;0,E449*(1-'Trading Model'!E459),IF(E449&lt;I448,I448*(1-'Trading Model'!$E$14),I448))</f>
        <v>22.617551642624999</v>
      </c>
      <c r="J449" s="198">
        <f t="shared" si="55"/>
        <v>0</v>
      </c>
      <c r="K449" s="198">
        <f t="shared" si="50"/>
        <v>0</v>
      </c>
      <c r="L449" s="198">
        <f>COUNTIF(J449:K449,"&lt;&gt;0")*-'Trading Model'!$E$15</f>
        <v>0</v>
      </c>
      <c r="M449" s="198">
        <f t="shared" si="48"/>
        <v>0</v>
      </c>
      <c r="N449" s="75">
        <f t="shared" si="51"/>
        <v>27</v>
      </c>
      <c r="O449" s="202">
        <f t="shared" si="52"/>
        <v>0</v>
      </c>
      <c r="P449" s="199">
        <f t="shared" si="49"/>
        <v>0</v>
      </c>
      <c r="Q449" s="203">
        <f t="shared" si="53"/>
        <v>78.700000000001211</v>
      </c>
      <c r="R449" s="203" t="s">
        <v>55</v>
      </c>
      <c r="S449" s="201">
        <f t="shared" si="54"/>
        <v>-2.8764806631336959E-2</v>
      </c>
    </row>
    <row r="450" spans="1:19">
      <c r="A450" s="196">
        <v>40619</v>
      </c>
      <c r="B450" s="122">
        <v>23.32</v>
      </c>
      <c r="C450" s="122">
        <v>23.43</v>
      </c>
      <c r="D450" s="122">
        <v>22.959999</v>
      </c>
      <c r="E450" s="122">
        <v>23.209999</v>
      </c>
      <c r="F450" s="122">
        <v>15.569093000000001</v>
      </c>
      <c r="G450" s="197">
        <v>106100</v>
      </c>
      <c r="H450" s="198">
        <f>IF(AND(E449&gt;=H449,E450&gt;=E449),E449*(1+'Trading Model'!$E$13),IF(AND(E450&lt;E449,E449&gt;=H449),E450*(1+'Trading Model'!$E$13),H449))</f>
        <v>27.698998950000004</v>
      </c>
      <c r="I450" s="198">
        <f>IF(K450&gt;0,E450*(1-'Trading Model'!E460),IF(E450&lt;I449,I449*(1-'Trading Model'!$E$14),I449))</f>
        <v>22.617551642624999</v>
      </c>
      <c r="J450" s="198">
        <f t="shared" si="55"/>
        <v>0</v>
      </c>
      <c r="K450" s="198">
        <f t="shared" si="50"/>
        <v>0</v>
      </c>
      <c r="L450" s="198">
        <f>COUNTIF(J450:K450,"&lt;&gt;0")*-'Trading Model'!$E$15</f>
        <v>0</v>
      </c>
      <c r="M450" s="198">
        <f t="shared" si="48"/>
        <v>0</v>
      </c>
      <c r="N450" s="75">
        <f t="shared" si="51"/>
        <v>27</v>
      </c>
      <c r="O450" s="202">
        <f t="shared" si="52"/>
        <v>0</v>
      </c>
      <c r="P450" s="199">
        <f t="shared" si="49"/>
        <v>0</v>
      </c>
      <c r="Q450" s="203">
        <f t="shared" si="53"/>
        <v>78.700000000001211</v>
      </c>
      <c r="R450" s="203" t="s">
        <v>55</v>
      </c>
      <c r="S450" s="201">
        <f t="shared" si="54"/>
        <v>1.0888502216398255E-2</v>
      </c>
    </row>
    <row r="451" spans="1:19">
      <c r="A451" s="196">
        <v>40620</v>
      </c>
      <c r="B451" s="122">
        <v>23.66</v>
      </c>
      <c r="C451" s="122">
        <v>23.870000999999998</v>
      </c>
      <c r="D451" s="122">
        <v>23.440000999999999</v>
      </c>
      <c r="E451" s="122">
        <v>23.709999</v>
      </c>
      <c r="F451" s="122">
        <v>15.904489999999999</v>
      </c>
      <c r="G451" s="197">
        <v>239500</v>
      </c>
      <c r="H451" s="198">
        <f>IF(AND(E450&gt;=H450,E451&gt;=E450),E450*(1+'Trading Model'!$E$13),IF(AND(E451&lt;E450,E450&gt;=H450),E451*(1+'Trading Model'!$E$13),H450))</f>
        <v>27.698998950000004</v>
      </c>
      <c r="I451" s="198">
        <f>IF(K451&gt;0,E451*(1-'Trading Model'!E461),IF(E451&lt;I450,I450*(1-'Trading Model'!$E$14),I450))</f>
        <v>22.617551642624999</v>
      </c>
      <c r="J451" s="198">
        <f t="shared" si="55"/>
        <v>0</v>
      </c>
      <c r="K451" s="198">
        <f t="shared" si="50"/>
        <v>0</v>
      </c>
      <c r="L451" s="198">
        <f>COUNTIF(J451:K451,"&lt;&gt;0")*-'Trading Model'!$E$15</f>
        <v>0</v>
      </c>
      <c r="M451" s="198">
        <f t="shared" ref="M451:M514" si="56">SUM(J451:L451)</f>
        <v>0</v>
      </c>
      <c r="N451" s="75">
        <f t="shared" si="51"/>
        <v>27</v>
      </c>
      <c r="O451" s="202">
        <f t="shared" si="52"/>
        <v>0</v>
      </c>
      <c r="P451" s="199">
        <f t="shared" ref="P451:P514" si="57">IFERROR(VLOOKUP(A451,Dividends,2,FALSE),$U$1)</f>
        <v>0</v>
      </c>
      <c r="Q451" s="203">
        <f t="shared" si="53"/>
        <v>78.700000000001211</v>
      </c>
      <c r="R451" s="203" t="s">
        <v>55</v>
      </c>
      <c r="S451" s="201">
        <f t="shared" si="54"/>
        <v>2.154243953220325E-2</v>
      </c>
    </row>
    <row r="452" spans="1:19">
      <c r="A452" s="196">
        <v>40623</v>
      </c>
      <c r="B452" s="122">
        <v>24.07</v>
      </c>
      <c r="C452" s="122">
        <v>24.370000999999998</v>
      </c>
      <c r="D452" s="122">
        <v>24.07</v>
      </c>
      <c r="E452" s="122">
        <v>24.18</v>
      </c>
      <c r="F452" s="122">
        <v>16.219763</v>
      </c>
      <c r="G452" s="197">
        <v>94600</v>
      </c>
      <c r="H452" s="198">
        <f>IF(AND(E451&gt;=H451,E452&gt;=E451),E451*(1+'Trading Model'!$E$13),IF(AND(E452&lt;E451,E451&gt;=H451),E452*(1+'Trading Model'!$E$13),H451))</f>
        <v>27.698998950000004</v>
      </c>
      <c r="I452" s="198">
        <f>IF(K452&gt;0,E452*(1-'Trading Model'!E462),IF(E452&lt;I451,I451*(1-'Trading Model'!$E$14),I451))</f>
        <v>22.617551642624999</v>
      </c>
      <c r="J452" s="198">
        <f t="shared" si="55"/>
        <v>0</v>
      </c>
      <c r="K452" s="198">
        <f t="shared" ref="K452:K515" si="58">IF(E452&gt;=H452,E452,0)</f>
        <v>0</v>
      </c>
      <c r="L452" s="198">
        <f>COUNTIF(J452:K452,"&lt;&gt;0")*-'Trading Model'!$E$15</f>
        <v>0</v>
      </c>
      <c r="M452" s="198">
        <f t="shared" si="56"/>
        <v>0</v>
      </c>
      <c r="N452" s="75">
        <f t="shared" ref="N452:N515" si="59">IF(AND(J452&lt;0,K452&gt;0),N451,(IF(J452&lt;0,N451+1,IF(K452&gt;0,N451+1,N451))))</f>
        <v>27</v>
      </c>
      <c r="O452" s="202">
        <f t="shared" ref="O452:O515" si="60">P452</f>
        <v>0</v>
      </c>
      <c r="P452" s="199">
        <f t="shared" si="57"/>
        <v>0</v>
      </c>
      <c r="Q452" s="203">
        <f t="shared" ref="Q452:Q515" si="61">IF(E452&lt;E451,Q451-0.1,Q451)</f>
        <v>78.700000000001211</v>
      </c>
      <c r="R452" s="201">
        <f>E452/B448-1</f>
        <v>5.2219321148825104E-2</v>
      </c>
      <c r="S452" s="201">
        <f t="shared" ref="S452:S515" si="62">E452/E451-1</f>
        <v>1.9822902565284739E-2</v>
      </c>
    </row>
    <row r="453" spans="1:19">
      <c r="A453" s="196">
        <v>40624</v>
      </c>
      <c r="B453" s="122">
        <v>24.219999000000001</v>
      </c>
      <c r="C453" s="122">
        <v>24.33</v>
      </c>
      <c r="D453" s="122">
        <v>23.940000999999999</v>
      </c>
      <c r="E453" s="122">
        <v>24.02</v>
      </c>
      <c r="F453" s="122">
        <v>16.112435999999999</v>
      </c>
      <c r="G453" s="197">
        <v>102700</v>
      </c>
      <c r="H453" s="198">
        <f>IF(AND(E452&gt;=H452,E453&gt;=E452),E452*(1+'Trading Model'!$E$13),IF(AND(E453&lt;E452,E452&gt;=H452),E453*(1+'Trading Model'!$E$13),H452))</f>
        <v>27.698998950000004</v>
      </c>
      <c r="I453" s="198">
        <f>IF(K453&gt;0,E453*(1-'Trading Model'!E463),IF(E453&lt;I452,I452*(1-'Trading Model'!$E$14),I452))</f>
        <v>22.617551642624999</v>
      </c>
      <c r="J453" s="198">
        <f t="shared" ref="J453:J516" si="63">IF(E453&gt;=H453,-E453,IF(E453&lt;=I452,-E453,0))</f>
        <v>0</v>
      </c>
      <c r="K453" s="198">
        <f t="shared" si="58"/>
        <v>0</v>
      </c>
      <c r="L453" s="198">
        <f>COUNTIF(J453:K453,"&lt;&gt;0")*-'Trading Model'!$E$15</f>
        <v>0</v>
      </c>
      <c r="M453" s="198">
        <f t="shared" si="56"/>
        <v>0</v>
      </c>
      <c r="N453" s="75">
        <f t="shared" si="59"/>
        <v>27</v>
      </c>
      <c r="O453" s="202">
        <f t="shared" si="60"/>
        <v>0</v>
      </c>
      <c r="P453" s="199">
        <f t="shared" si="57"/>
        <v>0</v>
      </c>
      <c r="Q453" s="203">
        <f t="shared" si="61"/>
        <v>78.600000000001216</v>
      </c>
      <c r="R453" s="160" t="s">
        <v>55</v>
      </c>
      <c r="S453" s="201">
        <f t="shared" si="62"/>
        <v>-6.6170388751033427E-3</v>
      </c>
    </row>
    <row r="454" spans="1:19">
      <c r="A454" s="196">
        <v>40625</v>
      </c>
      <c r="B454" s="122">
        <v>24.02</v>
      </c>
      <c r="C454" s="122">
        <v>24.02</v>
      </c>
      <c r="D454" s="122">
        <v>23.77</v>
      </c>
      <c r="E454" s="122">
        <v>24.01</v>
      </c>
      <c r="F454" s="122">
        <v>16.105726000000001</v>
      </c>
      <c r="G454" s="197">
        <v>98700</v>
      </c>
      <c r="H454" s="198">
        <f>IF(AND(E453&gt;=H453,E454&gt;=E453),E453*(1+'Trading Model'!$E$13),IF(AND(E454&lt;E453,E453&gt;=H453),E454*(1+'Trading Model'!$E$13),H453))</f>
        <v>27.698998950000004</v>
      </c>
      <c r="I454" s="198">
        <f>IF(K454&gt;0,E454*(1-'Trading Model'!E464),IF(E454&lt;I453,I453*(1-'Trading Model'!$E$14),I453))</f>
        <v>22.617551642624999</v>
      </c>
      <c r="J454" s="198">
        <f t="shared" si="63"/>
        <v>0</v>
      </c>
      <c r="K454" s="198">
        <f t="shared" si="58"/>
        <v>0</v>
      </c>
      <c r="L454" s="198">
        <f>COUNTIF(J454:K454,"&lt;&gt;0")*-'Trading Model'!$E$15</f>
        <v>0</v>
      </c>
      <c r="M454" s="198">
        <f t="shared" si="56"/>
        <v>0</v>
      </c>
      <c r="N454" s="75">
        <f t="shared" si="59"/>
        <v>27</v>
      </c>
      <c r="O454" s="202">
        <f t="shared" si="60"/>
        <v>0</v>
      </c>
      <c r="P454" s="199">
        <f t="shared" si="57"/>
        <v>0</v>
      </c>
      <c r="Q454" s="203">
        <f t="shared" si="61"/>
        <v>78.500000000001222</v>
      </c>
      <c r="R454" s="203" t="s">
        <v>55</v>
      </c>
      <c r="S454" s="201">
        <f t="shared" si="62"/>
        <v>-4.1631973355527041E-4</v>
      </c>
    </row>
    <row r="455" spans="1:19">
      <c r="A455" s="196">
        <v>40626</v>
      </c>
      <c r="B455" s="122">
        <v>24.209999</v>
      </c>
      <c r="C455" s="122">
        <v>24.48</v>
      </c>
      <c r="D455" s="122">
        <v>24.059999000000001</v>
      </c>
      <c r="E455" s="122">
        <v>24.459999</v>
      </c>
      <c r="F455" s="122">
        <v>16.407585000000001</v>
      </c>
      <c r="G455" s="197">
        <v>52300</v>
      </c>
      <c r="H455" s="198">
        <f>IF(AND(E454&gt;=H454,E455&gt;=E454),E454*(1+'Trading Model'!$E$13),IF(AND(E455&lt;E454,E454&gt;=H454),E455*(1+'Trading Model'!$E$13),H454))</f>
        <v>27.698998950000004</v>
      </c>
      <c r="I455" s="198">
        <f>IF(K455&gt;0,E455*(1-'Trading Model'!E465),IF(E455&lt;I454,I454*(1-'Trading Model'!$E$14),I454))</f>
        <v>22.617551642624999</v>
      </c>
      <c r="J455" s="198">
        <f t="shared" si="63"/>
        <v>0</v>
      </c>
      <c r="K455" s="198">
        <f t="shared" si="58"/>
        <v>0</v>
      </c>
      <c r="L455" s="198">
        <f>COUNTIF(J455:K455,"&lt;&gt;0")*-'Trading Model'!$E$15</f>
        <v>0</v>
      </c>
      <c r="M455" s="198">
        <f t="shared" si="56"/>
        <v>0</v>
      </c>
      <c r="N455" s="75">
        <f t="shared" si="59"/>
        <v>27</v>
      </c>
      <c r="O455" s="202">
        <f t="shared" si="60"/>
        <v>0</v>
      </c>
      <c r="P455" s="199">
        <f t="shared" si="57"/>
        <v>0</v>
      </c>
      <c r="Q455" s="203">
        <f t="shared" si="61"/>
        <v>78.500000000001222</v>
      </c>
      <c r="R455" s="203" t="s">
        <v>55</v>
      </c>
      <c r="S455" s="201">
        <f t="shared" si="62"/>
        <v>1.874214910453964E-2</v>
      </c>
    </row>
    <row r="456" spans="1:19">
      <c r="A456" s="196">
        <v>40627</v>
      </c>
      <c r="B456" s="122">
        <v>24.459999</v>
      </c>
      <c r="C456" s="122">
        <v>24.52</v>
      </c>
      <c r="D456" s="122">
        <v>24.059999000000001</v>
      </c>
      <c r="E456" s="122">
        <v>24.15</v>
      </c>
      <c r="F456" s="122">
        <v>16.199639999999999</v>
      </c>
      <c r="G456" s="197">
        <v>76400</v>
      </c>
      <c r="H456" s="198">
        <f>IF(AND(E455&gt;=H455,E456&gt;=E455),E455*(1+'Trading Model'!$E$13),IF(AND(E456&lt;E455,E455&gt;=H455),E456*(1+'Trading Model'!$E$13),H455))</f>
        <v>27.698998950000004</v>
      </c>
      <c r="I456" s="198">
        <f>IF(K456&gt;0,E456*(1-'Trading Model'!E466),IF(E456&lt;I455,I455*(1-'Trading Model'!$E$14),I455))</f>
        <v>22.617551642624999</v>
      </c>
      <c r="J456" s="198">
        <f t="shared" si="63"/>
        <v>0</v>
      </c>
      <c r="K456" s="198">
        <f t="shared" si="58"/>
        <v>0</v>
      </c>
      <c r="L456" s="198">
        <f>COUNTIF(J456:K456,"&lt;&gt;0")*-'Trading Model'!$E$15</f>
        <v>0</v>
      </c>
      <c r="M456" s="198">
        <f t="shared" si="56"/>
        <v>0</v>
      </c>
      <c r="N456" s="75">
        <f t="shared" si="59"/>
        <v>27</v>
      </c>
      <c r="O456" s="202">
        <f t="shared" si="60"/>
        <v>0</v>
      </c>
      <c r="P456" s="199">
        <f t="shared" si="57"/>
        <v>0</v>
      </c>
      <c r="Q456" s="203">
        <f t="shared" si="61"/>
        <v>78.400000000001228</v>
      </c>
      <c r="R456" s="203" t="s">
        <v>55</v>
      </c>
      <c r="S456" s="201">
        <f t="shared" si="62"/>
        <v>-1.267371270129658E-2</v>
      </c>
    </row>
    <row r="457" spans="1:19">
      <c r="A457" s="196">
        <v>40630</v>
      </c>
      <c r="B457" s="122">
        <v>24.299999</v>
      </c>
      <c r="C457" s="122">
        <v>24.57</v>
      </c>
      <c r="D457" s="122">
        <v>24.190000999999999</v>
      </c>
      <c r="E457" s="122">
        <v>24.43</v>
      </c>
      <c r="F457" s="122">
        <v>16.387459</v>
      </c>
      <c r="G457" s="197">
        <v>97400</v>
      </c>
      <c r="H457" s="198">
        <f>IF(AND(E456&gt;=H456,E457&gt;=E456),E456*(1+'Trading Model'!$E$13),IF(AND(E457&lt;E456,E456&gt;=H456),E457*(1+'Trading Model'!$E$13),H456))</f>
        <v>27.698998950000004</v>
      </c>
      <c r="I457" s="198">
        <f>IF(K457&gt;0,E457*(1-'Trading Model'!E467),IF(E457&lt;I456,I456*(1-'Trading Model'!$E$14),I456))</f>
        <v>22.617551642624999</v>
      </c>
      <c r="J457" s="198">
        <f t="shared" si="63"/>
        <v>0</v>
      </c>
      <c r="K457" s="198">
        <f t="shared" si="58"/>
        <v>0</v>
      </c>
      <c r="L457" s="198">
        <f>COUNTIF(J457:K457,"&lt;&gt;0")*-'Trading Model'!$E$15</f>
        <v>0</v>
      </c>
      <c r="M457" s="198">
        <f t="shared" si="56"/>
        <v>0</v>
      </c>
      <c r="N457" s="75">
        <f t="shared" si="59"/>
        <v>27</v>
      </c>
      <c r="O457" s="202">
        <f t="shared" si="60"/>
        <v>0</v>
      </c>
      <c r="P457" s="199">
        <f t="shared" si="57"/>
        <v>0</v>
      </c>
      <c r="Q457" s="203">
        <f t="shared" si="61"/>
        <v>78.400000000001228</v>
      </c>
      <c r="R457" s="201">
        <f>E457/B453-1</f>
        <v>8.6705618773972315E-3</v>
      </c>
      <c r="S457" s="201">
        <f t="shared" si="62"/>
        <v>1.1594202898550732E-2</v>
      </c>
    </row>
    <row r="458" spans="1:19">
      <c r="A458" s="196">
        <v>40631</v>
      </c>
      <c r="B458" s="122">
        <v>24.43</v>
      </c>
      <c r="C458" s="122">
        <v>24.51</v>
      </c>
      <c r="D458" s="122">
        <v>24.1</v>
      </c>
      <c r="E458" s="122">
        <v>24.49</v>
      </c>
      <c r="F458" s="122">
        <v>16.427706000000001</v>
      </c>
      <c r="G458" s="197">
        <v>116300</v>
      </c>
      <c r="H458" s="198">
        <f>IF(AND(E457&gt;=H457,E458&gt;=E457),E457*(1+'Trading Model'!$E$13),IF(AND(E458&lt;E457,E457&gt;=H457),E458*(1+'Trading Model'!$E$13),H457))</f>
        <v>27.698998950000004</v>
      </c>
      <c r="I458" s="198">
        <f>IF(K458&gt;0,E458*(1-'Trading Model'!E468),IF(E458&lt;I457,I457*(1-'Trading Model'!$E$14),I457))</f>
        <v>22.617551642624999</v>
      </c>
      <c r="J458" s="198">
        <f t="shared" si="63"/>
        <v>0</v>
      </c>
      <c r="K458" s="198">
        <f t="shared" si="58"/>
        <v>0</v>
      </c>
      <c r="L458" s="198">
        <f>COUNTIF(J458:K458,"&lt;&gt;0")*-'Trading Model'!$E$15</f>
        <v>0</v>
      </c>
      <c r="M458" s="198">
        <f t="shared" si="56"/>
        <v>0</v>
      </c>
      <c r="N458" s="75">
        <f t="shared" si="59"/>
        <v>27</v>
      </c>
      <c r="O458" s="202">
        <f t="shared" si="60"/>
        <v>0</v>
      </c>
      <c r="P458" s="199">
        <f t="shared" si="57"/>
        <v>0</v>
      </c>
      <c r="Q458" s="203">
        <f t="shared" si="61"/>
        <v>78.400000000001228</v>
      </c>
      <c r="R458" s="160" t="s">
        <v>55</v>
      </c>
      <c r="S458" s="201">
        <f t="shared" si="62"/>
        <v>2.4559967253376946E-3</v>
      </c>
    </row>
    <row r="459" spans="1:19">
      <c r="A459" s="196">
        <v>40632</v>
      </c>
      <c r="B459" s="122">
        <v>24.5</v>
      </c>
      <c r="C459" s="122">
        <v>24.93</v>
      </c>
      <c r="D459" s="122">
        <v>24.389999</v>
      </c>
      <c r="E459" s="122">
        <v>24.889999</v>
      </c>
      <c r="F459" s="122">
        <v>16.696021999999999</v>
      </c>
      <c r="G459" s="197">
        <v>85500</v>
      </c>
      <c r="H459" s="198">
        <f>IF(AND(E458&gt;=H458,E459&gt;=E458),E458*(1+'Trading Model'!$E$13),IF(AND(E459&lt;E458,E458&gt;=H458),E459*(1+'Trading Model'!$E$13),H458))</f>
        <v>27.698998950000004</v>
      </c>
      <c r="I459" s="198">
        <f>IF(K459&gt;0,E459*(1-'Trading Model'!E469),IF(E459&lt;I458,I458*(1-'Trading Model'!$E$14),I458))</f>
        <v>22.617551642624999</v>
      </c>
      <c r="J459" s="198">
        <f t="shared" si="63"/>
        <v>0</v>
      </c>
      <c r="K459" s="198">
        <f t="shared" si="58"/>
        <v>0</v>
      </c>
      <c r="L459" s="198">
        <f>COUNTIF(J459:K459,"&lt;&gt;0")*-'Trading Model'!$E$15</f>
        <v>0</v>
      </c>
      <c r="M459" s="198">
        <f t="shared" si="56"/>
        <v>0</v>
      </c>
      <c r="N459" s="75">
        <f t="shared" si="59"/>
        <v>27</v>
      </c>
      <c r="O459" s="202">
        <f t="shared" si="60"/>
        <v>0</v>
      </c>
      <c r="P459" s="199">
        <f t="shared" si="57"/>
        <v>0</v>
      </c>
      <c r="Q459" s="203">
        <f t="shared" si="61"/>
        <v>78.400000000001228</v>
      </c>
      <c r="R459" s="203" t="s">
        <v>55</v>
      </c>
      <c r="S459" s="201">
        <f t="shared" si="62"/>
        <v>1.6333156390363479E-2</v>
      </c>
    </row>
    <row r="460" spans="1:19">
      <c r="A460" s="196">
        <v>40633</v>
      </c>
      <c r="B460" s="122">
        <v>24.91</v>
      </c>
      <c r="C460" s="122">
        <v>25.4</v>
      </c>
      <c r="D460" s="122">
        <v>24.74</v>
      </c>
      <c r="E460" s="122">
        <v>24.799999</v>
      </c>
      <c r="F460" s="122">
        <v>16.635653999999999</v>
      </c>
      <c r="G460" s="197">
        <v>232300</v>
      </c>
      <c r="H460" s="198">
        <f>IF(AND(E459&gt;=H459,E460&gt;=E459),E459*(1+'Trading Model'!$E$13),IF(AND(E460&lt;E459,E459&gt;=H459),E460*(1+'Trading Model'!$E$13),H459))</f>
        <v>27.698998950000004</v>
      </c>
      <c r="I460" s="198">
        <f>IF(K460&gt;0,E460*(1-'Trading Model'!E470),IF(E460&lt;I459,I459*(1-'Trading Model'!$E$14),I459))</f>
        <v>22.617551642624999</v>
      </c>
      <c r="J460" s="198">
        <f t="shared" si="63"/>
        <v>0</v>
      </c>
      <c r="K460" s="198">
        <f t="shared" si="58"/>
        <v>0</v>
      </c>
      <c r="L460" s="198">
        <f>COUNTIF(J460:K460,"&lt;&gt;0")*-'Trading Model'!$E$15</f>
        <v>0</v>
      </c>
      <c r="M460" s="198">
        <f t="shared" si="56"/>
        <v>0</v>
      </c>
      <c r="N460" s="75">
        <f t="shared" si="59"/>
        <v>27</v>
      </c>
      <c r="O460" s="202">
        <f t="shared" si="60"/>
        <v>0</v>
      </c>
      <c r="P460" s="199">
        <f t="shared" si="57"/>
        <v>0</v>
      </c>
      <c r="Q460" s="203">
        <f t="shared" si="61"/>
        <v>78.300000000001234</v>
      </c>
      <c r="R460" s="203" t="s">
        <v>55</v>
      </c>
      <c r="S460" s="201">
        <f t="shared" si="62"/>
        <v>-3.6159101492932999E-3</v>
      </c>
    </row>
    <row r="461" spans="1:19">
      <c r="A461" s="196">
        <v>40634</v>
      </c>
      <c r="B461" s="122">
        <v>25.059999000000001</v>
      </c>
      <c r="C461" s="122">
        <v>25.51</v>
      </c>
      <c r="D461" s="122">
        <v>24.950001</v>
      </c>
      <c r="E461" s="122">
        <v>25.41</v>
      </c>
      <c r="F461" s="122">
        <v>17.044836</v>
      </c>
      <c r="G461" s="197">
        <v>112200</v>
      </c>
      <c r="H461" s="198">
        <f>IF(AND(E460&gt;=H460,E461&gt;=E460),E460*(1+'Trading Model'!$E$13),IF(AND(E461&lt;E460,E460&gt;=H460),E461*(1+'Trading Model'!$E$13),H460))</f>
        <v>27.698998950000004</v>
      </c>
      <c r="I461" s="198">
        <f>IF(K461&gt;0,E461*(1-'Trading Model'!E471),IF(E461&lt;I460,I460*(1-'Trading Model'!$E$14),I460))</f>
        <v>22.617551642624999</v>
      </c>
      <c r="J461" s="198">
        <f t="shared" si="63"/>
        <v>0</v>
      </c>
      <c r="K461" s="198">
        <f t="shared" si="58"/>
        <v>0</v>
      </c>
      <c r="L461" s="198">
        <f>COUNTIF(J461:K461,"&lt;&gt;0")*-'Trading Model'!$E$15</f>
        <v>0</v>
      </c>
      <c r="M461" s="198">
        <f t="shared" si="56"/>
        <v>0</v>
      </c>
      <c r="N461" s="75">
        <f t="shared" si="59"/>
        <v>27</v>
      </c>
      <c r="O461" s="202">
        <f t="shared" si="60"/>
        <v>0</v>
      </c>
      <c r="P461" s="199">
        <f t="shared" si="57"/>
        <v>0</v>
      </c>
      <c r="Q461" s="203">
        <f t="shared" si="61"/>
        <v>78.300000000001234</v>
      </c>
      <c r="R461" s="203" t="s">
        <v>55</v>
      </c>
      <c r="S461" s="201">
        <f t="shared" si="62"/>
        <v>2.4596815507936132E-2</v>
      </c>
    </row>
    <row r="462" spans="1:19">
      <c r="A462" s="196">
        <v>40637</v>
      </c>
      <c r="B462" s="122">
        <v>25.530000999999999</v>
      </c>
      <c r="C462" s="122">
        <v>25.76</v>
      </c>
      <c r="D462" s="122">
        <v>25.370000999999998</v>
      </c>
      <c r="E462" s="122">
        <v>25.700001</v>
      </c>
      <c r="F462" s="122">
        <v>17.239367000000001</v>
      </c>
      <c r="G462" s="197">
        <v>116600</v>
      </c>
      <c r="H462" s="198">
        <f>IF(AND(E461&gt;=H461,E462&gt;=E461),E461*(1+'Trading Model'!$E$13),IF(AND(E462&lt;E461,E461&gt;=H461),E462*(1+'Trading Model'!$E$13),H461))</f>
        <v>27.698998950000004</v>
      </c>
      <c r="I462" s="198">
        <f>IF(K462&gt;0,E462*(1-'Trading Model'!E472),IF(E462&lt;I461,I461*(1-'Trading Model'!$E$14),I461))</f>
        <v>22.617551642624999</v>
      </c>
      <c r="J462" s="198">
        <f t="shared" si="63"/>
        <v>0</v>
      </c>
      <c r="K462" s="198">
        <f t="shared" si="58"/>
        <v>0</v>
      </c>
      <c r="L462" s="198">
        <f>COUNTIF(J462:K462,"&lt;&gt;0")*-'Trading Model'!$E$15</f>
        <v>0</v>
      </c>
      <c r="M462" s="198">
        <f t="shared" si="56"/>
        <v>0</v>
      </c>
      <c r="N462" s="75">
        <f t="shared" si="59"/>
        <v>27</v>
      </c>
      <c r="O462" s="202">
        <f t="shared" si="60"/>
        <v>0</v>
      </c>
      <c r="P462" s="199">
        <f t="shared" si="57"/>
        <v>0</v>
      </c>
      <c r="Q462" s="203">
        <f t="shared" si="61"/>
        <v>78.300000000001234</v>
      </c>
      <c r="R462" s="201">
        <f>E462/B458-1</f>
        <v>5.1985304952926858E-2</v>
      </c>
      <c r="S462" s="201">
        <f t="shared" si="62"/>
        <v>1.1412868949232546E-2</v>
      </c>
    </row>
    <row r="463" spans="1:19">
      <c r="A463" s="196">
        <v>40638</v>
      </c>
      <c r="B463" s="122">
        <v>25.780000999999999</v>
      </c>
      <c r="C463" s="122">
        <v>25.940000999999999</v>
      </c>
      <c r="D463" s="122">
        <v>25.540001</v>
      </c>
      <c r="E463" s="122">
        <v>25.610001</v>
      </c>
      <c r="F463" s="122">
        <v>17.178996999999999</v>
      </c>
      <c r="G463" s="197">
        <v>78300</v>
      </c>
      <c r="H463" s="198">
        <f>IF(AND(E462&gt;=H462,E463&gt;=E462),E462*(1+'Trading Model'!$E$13),IF(AND(E463&lt;E462,E462&gt;=H462),E463*(1+'Trading Model'!$E$13),H462))</f>
        <v>27.698998950000004</v>
      </c>
      <c r="I463" s="198">
        <f>IF(K463&gt;0,E463*(1-'Trading Model'!E473),IF(E463&lt;I462,I462*(1-'Trading Model'!$E$14),I462))</f>
        <v>22.617551642624999</v>
      </c>
      <c r="J463" s="198">
        <f t="shared" si="63"/>
        <v>0</v>
      </c>
      <c r="K463" s="198">
        <f t="shared" si="58"/>
        <v>0</v>
      </c>
      <c r="L463" s="198">
        <f>COUNTIF(J463:K463,"&lt;&gt;0")*-'Trading Model'!$E$15</f>
        <v>0</v>
      </c>
      <c r="M463" s="198">
        <f t="shared" si="56"/>
        <v>0</v>
      </c>
      <c r="N463" s="75">
        <f t="shared" si="59"/>
        <v>27</v>
      </c>
      <c r="O463" s="202">
        <f t="shared" si="60"/>
        <v>0</v>
      </c>
      <c r="P463" s="199">
        <f t="shared" si="57"/>
        <v>0</v>
      </c>
      <c r="Q463" s="203">
        <f t="shared" si="61"/>
        <v>78.200000000001239</v>
      </c>
      <c r="R463" s="160" t="s">
        <v>55</v>
      </c>
      <c r="S463" s="201">
        <f t="shared" si="62"/>
        <v>-3.5019453890293706E-3</v>
      </c>
    </row>
    <row r="464" spans="1:19">
      <c r="A464" s="196">
        <v>40639</v>
      </c>
      <c r="B464" s="122">
        <v>25.860001</v>
      </c>
      <c r="C464" s="122">
        <v>25.9</v>
      </c>
      <c r="D464" s="122">
        <v>25.48</v>
      </c>
      <c r="E464" s="122">
        <v>25.639999</v>
      </c>
      <c r="F464" s="122">
        <v>17.199116</v>
      </c>
      <c r="G464" s="197">
        <v>81300</v>
      </c>
      <c r="H464" s="198">
        <f>IF(AND(E463&gt;=H463,E464&gt;=E463),E463*(1+'Trading Model'!$E$13),IF(AND(E464&lt;E463,E463&gt;=H463),E464*(1+'Trading Model'!$E$13),H463))</f>
        <v>27.698998950000004</v>
      </c>
      <c r="I464" s="198">
        <f>IF(K464&gt;0,E464*(1-'Trading Model'!E474),IF(E464&lt;I463,I463*(1-'Trading Model'!$E$14),I463))</f>
        <v>22.617551642624999</v>
      </c>
      <c r="J464" s="198">
        <f t="shared" si="63"/>
        <v>0</v>
      </c>
      <c r="K464" s="198">
        <f t="shared" si="58"/>
        <v>0</v>
      </c>
      <c r="L464" s="198">
        <f>COUNTIF(J464:K464,"&lt;&gt;0")*-'Trading Model'!$E$15</f>
        <v>0</v>
      </c>
      <c r="M464" s="198">
        <f t="shared" si="56"/>
        <v>0</v>
      </c>
      <c r="N464" s="75">
        <f t="shared" si="59"/>
        <v>27</v>
      </c>
      <c r="O464" s="202">
        <f t="shared" si="60"/>
        <v>0</v>
      </c>
      <c r="P464" s="199">
        <f t="shared" si="57"/>
        <v>0</v>
      </c>
      <c r="Q464" s="203">
        <f t="shared" si="61"/>
        <v>78.200000000001239</v>
      </c>
      <c r="R464" s="203" t="s">
        <v>55</v>
      </c>
      <c r="S464" s="201">
        <f t="shared" si="62"/>
        <v>1.1713392748402551E-3</v>
      </c>
    </row>
    <row r="465" spans="1:19">
      <c r="A465" s="196">
        <v>40640</v>
      </c>
      <c r="B465" s="122">
        <v>25.68</v>
      </c>
      <c r="C465" s="122">
        <v>25.9</v>
      </c>
      <c r="D465" s="122">
        <v>25.24</v>
      </c>
      <c r="E465" s="122">
        <v>25.379999000000002</v>
      </c>
      <c r="F465" s="122">
        <v>17.024713999999999</v>
      </c>
      <c r="G465" s="197">
        <v>113000</v>
      </c>
      <c r="H465" s="198">
        <f>IF(AND(E464&gt;=H464,E465&gt;=E464),E464*(1+'Trading Model'!$E$13),IF(AND(E465&lt;E464,E464&gt;=H464),E465*(1+'Trading Model'!$E$13),H464))</f>
        <v>27.698998950000004</v>
      </c>
      <c r="I465" s="198">
        <f>IF(K465&gt;0,E465*(1-'Trading Model'!E475),IF(E465&lt;I464,I464*(1-'Trading Model'!$E$14),I464))</f>
        <v>22.617551642624999</v>
      </c>
      <c r="J465" s="198">
        <f t="shared" si="63"/>
        <v>0</v>
      </c>
      <c r="K465" s="198">
        <f t="shared" si="58"/>
        <v>0</v>
      </c>
      <c r="L465" s="198">
        <f>COUNTIF(J465:K465,"&lt;&gt;0")*-'Trading Model'!$E$15</f>
        <v>0</v>
      </c>
      <c r="M465" s="198">
        <f t="shared" si="56"/>
        <v>0</v>
      </c>
      <c r="N465" s="75">
        <f t="shared" si="59"/>
        <v>27</v>
      </c>
      <c r="O465" s="202">
        <f t="shared" si="60"/>
        <v>0</v>
      </c>
      <c r="P465" s="199">
        <f t="shared" si="57"/>
        <v>0</v>
      </c>
      <c r="Q465" s="203">
        <f t="shared" si="61"/>
        <v>78.100000000001245</v>
      </c>
      <c r="R465" s="203" t="s">
        <v>55</v>
      </c>
      <c r="S465" s="201">
        <f t="shared" si="62"/>
        <v>-1.0140406011716174E-2</v>
      </c>
    </row>
    <row r="466" spans="1:19">
      <c r="A466" s="196">
        <v>40641</v>
      </c>
      <c r="B466" s="122">
        <v>25.610001</v>
      </c>
      <c r="C466" s="122">
        <v>25.76</v>
      </c>
      <c r="D466" s="122">
        <v>25.219999000000001</v>
      </c>
      <c r="E466" s="122">
        <v>25.459999</v>
      </c>
      <c r="F466" s="122">
        <v>17.078375000000001</v>
      </c>
      <c r="G466" s="197">
        <v>68900</v>
      </c>
      <c r="H466" s="198">
        <f>IF(AND(E465&gt;=H465,E466&gt;=E465),E465*(1+'Trading Model'!$E$13),IF(AND(E466&lt;E465,E465&gt;=H465),E466*(1+'Trading Model'!$E$13),H465))</f>
        <v>27.698998950000004</v>
      </c>
      <c r="I466" s="198">
        <f>IF(K466&gt;0,E466*(1-'Trading Model'!E476),IF(E466&lt;I465,I465*(1-'Trading Model'!$E$14),I465))</f>
        <v>22.617551642624999</v>
      </c>
      <c r="J466" s="198">
        <f t="shared" si="63"/>
        <v>0</v>
      </c>
      <c r="K466" s="198">
        <f t="shared" si="58"/>
        <v>0</v>
      </c>
      <c r="L466" s="198">
        <f>COUNTIF(J466:K466,"&lt;&gt;0")*-'Trading Model'!$E$15</f>
        <v>0</v>
      </c>
      <c r="M466" s="198">
        <f t="shared" si="56"/>
        <v>0</v>
      </c>
      <c r="N466" s="75">
        <f t="shared" si="59"/>
        <v>27</v>
      </c>
      <c r="O466" s="202">
        <f t="shared" si="60"/>
        <v>0</v>
      </c>
      <c r="P466" s="199">
        <f t="shared" si="57"/>
        <v>0</v>
      </c>
      <c r="Q466" s="203">
        <f t="shared" si="61"/>
        <v>78.100000000001245</v>
      </c>
      <c r="R466" s="203" t="s">
        <v>55</v>
      </c>
      <c r="S466" s="201">
        <f t="shared" si="62"/>
        <v>3.1520883826670065E-3</v>
      </c>
    </row>
    <row r="467" spans="1:19">
      <c r="A467" s="196">
        <v>40644</v>
      </c>
      <c r="B467" s="122">
        <v>25.57</v>
      </c>
      <c r="C467" s="122">
        <v>25.57</v>
      </c>
      <c r="D467" s="122">
        <v>25.139999</v>
      </c>
      <c r="E467" s="122">
        <v>25.23</v>
      </c>
      <c r="F467" s="122">
        <v>16.924092999999999</v>
      </c>
      <c r="G467" s="197">
        <v>55700</v>
      </c>
      <c r="H467" s="198">
        <f>IF(AND(E466&gt;=H466,E467&gt;=E466),E466*(1+'Trading Model'!$E$13),IF(AND(E467&lt;E466,E466&gt;=H466),E467*(1+'Trading Model'!$E$13),H466))</f>
        <v>27.698998950000004</v>
      </c>
      <c r="I467" s="198">
        <f>IF(K467&gt;0,E467*(1-'Trading Model'!E477),IF(E467&lt;I466,I466*(1-'Trading Model'!$E$14),I466))</f>
        <v>22.617551642624999</v>
      </c>
      <c r="J467" s="198">
        <f t="shared" si="63"/>
        <v>0</v>
      </c>
      <c r="K467" s="198">
        <f t="shared" si="58"/>
        <v>0</v>
      </c>
      <c r="L467" s="198">
        <f>COUNTIF(J467:K467,"&lt;&gt;0")*-'Trading Model'!$E$15</f>
        <v>0</v>
      </c>
      <c r="M467" s="198">
        <f t="shared" si="56"/>
        <v>0</v>
      </c>
      <c r="N467" s="75">
        <f t="shared" si="59"/>
        <v>27</v>
      </c>
      <c r="O467" s="202">
        <f t="shared" si="60"/>
        <v>0</v>
      </c>
      <c r="P467" s="199">
        <f t="shared" si="57"/>
        <v>0</v>
      </c>
      <c r="Q467" s="203">
        <f t="shared" si="61"/>
        <v>78.000000000001251</v>
      </c>
      <c r="R467" s="201">
        <f>E467/B463-1</f>
        <v>-2.1334405689123037E-2</v>
      </c>
      <c r="S467" s="201">
        <f t="shared" si="62"/>
        <v>-9.033739553564013E-3</v>
      </c>
    </row>
    <row r="468" spans="1:19">
      <c r="A468" s="196">
        <v>40645</v>
      </c>
      <c r="B468" s="122">
        <v>25.299999</v>
      </c>
      <c r="C468" s="122">
        <v>25.309999000000001</v>
      </c>
      <c r="D468" s="122">
        <v>24.93</v>
      </c>
      <c r="E468" s="122">
        <v>25.16</v>
      </c>
      <c r="F468" s="122">
        <v>16.877137999999999</v>
      </c>
      <c r="G468" s="197">
        <v>127600</v>
      </c>
      <c r="H468" s="198">
        <f>IF(AND(E467&gt;=H467,E468&gt;=E467),E467*(1+'Trading Model'!$E$13),IF(AND(E468&lt;E467,E467&gt;=H467),E468*(1+'Trading Model'!$E$13),H467))</f>
        <v>27.698998950000004</v>
      </c>
      <c r="I468" s="198">
        <f>IF(K468&gt;0,E468*(1-'Trading Model'!E478),IF(E468&lt;I467,I467*(1-'Trading Model'!$E$14),I467))</f>
        <v>22.617551642624999</v>
      </c>
      <c r="J468" s="198">
        <f t="shared" si="63"/>
        <v>0</v>
      </c>
      <c r="K468" s="198">
        <f t="shared" si="58"/>
        <v>0</v>
      </c>
      <c r="L468" s="198">
        <f>COUNTIF(J468:K468,"&lt;&gt;0")*-'Trading Model'!$E$15</f>
        <v>0</v>
      </c>
      <c r="M468" s="198">
        <f t="shared" si="56"/>
        <v>0</v>
      </c>
      <c r="N468" s="75">
        <f t="shared" si="59"/>
        <v>27</v>
      </c>
      <c r="O468" s="202">
        <f t="shared" si="60"/>
        <v>0</v>
      </c>
      <c r="P468" s="199">
        <f t="shared" si="57"/>
        <v>0</v>
      </c>
      <c r="Q468" s="203">
        <f t="shared" si="61"/>
        <v>77.900000000001256</v>
      </c>
      <c r="R468" s="160" t="s">
        <v>55</v>
      </c>
      <c r="S468" s="201">
        <f t="shared" si="62"/>
        <v>-2.7744748315498002E-3</v>
      </c>
    </row>
    <row r="469" spans="1:19">
      <c r="A469" s="196">
        <v>40646</v>
      </c>
      <c r="B469" s="122">
        <v>25.35</v>
      </c>
      <c r="C469" s="122">
        <v>25.35</v>
      </c>
      <c r="D469" s="122">
        <v>24.540001</v>
      </c>
      <c r="E469" s="122">
        <v>24.68</v>
      </c>
      <c r="F469" s="122">
        <v>16.555159</v>
      </c>
      <c r="G469" s="197">
        <v>303100</v>
      </c>
      <c r="H469" s="198">
        <f>IF(AND(E468&gt;=H468,E469&gt;=E468),E468*(1+'Trading Model'!$E$13),IF(AND(E469&lt;E468,E468&gt;=H468),E469*(1+'Trading Model'!$E$13),H468))</f>
        <v>27.698998950000004</v>
      </c>
      <c r="I469" s="198">
        <f>IF(K469&gt;0,E469*(1-'Trading Model'!E479),IF(E469&lt;I468,I468*(1-'Trading Model'!$E$14),I468))</f>
        <v>22.617551642624999</v>
      </c>
      <c r="J469" s="198">
        <f t="shared" si="63"/>
        <v>0</v>
      </c>
      <c r="K469" s="198">
        <f t="shared" si="58"/>
        <v>0</v>
      </c>
      <c r="L469" s="198">
        <f>COUNTIF(J469:K469,"&lt;&gt;0")*-'Trading Model'!$E$15</f>
        <v>0</v>
      </c>
      <c r="M469" s="198">
        <f t="shared" si="56"/>
        <v>0</v>
      </c>
      <c r="N469" s="75">
        <f t="shared" si="59"/>
        <v>27</v>
      </c>
      <c r="O469" s="202">
        <f t="shared" si="60"/>
        <v>0</v>
      </c>
      <c r="P469" s="199">
        <f t="shared" si="57"/>
        <v>0</v>
      </c>
      <c r="Q469" s="203">
        <f t="shared" si="61"/>
        <v>77.800000000001262</v>
      </c>
      <c r="R469" s="203" t="s">
        <v>55</v>
      </c>
      <c r="S469" s="201">
        <f t="shared" si="62"/>
        <v>-1.9077901430842648E-2</v>
      </c>
    </row>
    <row r="470" spans="1:19">
      <c r="A470" s="196">
        <v>40647</v>
      </c>
      <c r="B470" s="122">
        <v>23.440000999999999</v>
      </c>
      <c r="C470" s="122">
        <v>23.9</v>
      </c>
      <c r="D470" s="122">
        <v>23.24</v>
      </c>
      <c r="E470" s="122">
        <v>23.280000999999999</v>
      </c>
      <c r="F470" s="122">
        <v>16.377579000000001</v>
      </c>
      <c r="G470" s="197">
        <v>291200</v>
      </c>
      <c r="H470" s="198">
        <f>IF(AND(E469&gt;=H469,E470&gt;=E469),E469*(1+'Trading Model'!$E$13),IF(AND(E470&lt;E469,E469&gt;=H469),E470*(1+'Trading Model'!$E$13),H469))</f>
        <v>27.698998950000004</v>
      </c>
      <c r="I470" s="198">
        <f>IF(K470&gt;0,E470*(1-'Trading Model'!E480),IF(E470&lt;I469,I469*(1-'Trading Model'!$E$14),I469))</f>
        <v>22.617551642624999</v>
      </c>
      <c r="J470" s="198">
        <f t="shared" si="63"/>
        <v>0</v>
      </c>
      <c r="K470" s="198">
        <f t="shared" si="58"/>
        <v>0</v>
      </c>
      <c r="L470" s="198">
        <f>COUNTIF(J470:K470,"&lt;&gt;0")*-'Trading Model'!$E$15</f>
        <v>0</v>
      </c>
      <c r="M470" s="198">
        <f t="shared" si="56"/>
        <v>0</v>
      </c>
      <c r="N470" s="75">
        <f t="shared" si="59"/>
        <v>27</v>
      </c>
      <c r="O470" s="202">
        <f t="shared" si="60"/>
        <v>1.14758</v>
      </c>
      <c r="P470" s="199">
        <f t="shared" si="57"/>
        <v>1.14758</v>
      </c>
      <c r="Q470" s="203">
        <f t="shared" si="61"/>
        <v>77.700000000001268</v>
      </c>
      <c r="R470" s="203" t="s">
        <v>55</v>
      </c>
      <c r="S470" s="201">
        <f t="shared" si="62"/>
        <v>-5.6726053484602912E-2</v>
      </c>
    </row>
    <row r="471" spans="1:19">
      <c r="A471" s="196">
        <v>40648</v>
      </c>
      <c r="B471" s="122">
        <v>23.379999000000002</v>
      </c>
      <c r="C471" s="122">
        <v>23.459999</v>
      </c>
      <c r="D471" s="122">
        <v>22.9</v>
      </c>
      <c r="E471" s="122">
        <v>23.1</v>
      </c>
      <c r="F471" s="122">
        <v>16.250948000000001</v>
      </c>
      <c r="G471" s="197">
        <v>220200</v>
      </c>
      <c r="H471" s="198">
        <f>IF(AND(E470&gt;=H470,E471&gt;=E470),E470*(1+'Trading Model'!$E$13),IF(AND(E471&lt;E470,E470&gt;=H470),E471*(1+'Trading Model'!$E$13),H470))</f>
        <v>27.698998950000004</v>
      </c>
      <c r="I471" s="198">
        <f>IF(K471&gt;0,E471*(1-'Trading Model'!E481),IF(E471&lt;I470,I470*(1-'Trading Model'!$E$14),I470))</f>
        <v>22.617551642624999</v>
      </c>
      <c r="J471" s="198">
        <f t="shared" si="63"/>
        <v>0</v>
      </c>
      <c r="K471" s="198">
        <f t="shared" si="58"/>
        <v>0</v>
      </c>
      <c r="L471" s="198">
        <f>COUNTIF(J471:K471,"&lt;&gt;0")*-'Trading Model'!$E$15</f>
        <v>0</v>
      </c>
      <c r="M471" s="198">
        <f t="shared" si="56"/>
        <v>0</v>
      </c>
      <c r="N471" s="75">
        <f t="shared" si="59"/>
        <v>27</v>
      </c>
      <c r="O471" s="202">
        <f t="shared" si="60"/>
        <v>0</v>
      </c>
      <c r="P471" s="199">
        <f t="shared" si="57"/>
        <v>0</v>
      </c>
      <c r="Q471" s="203">
        <f t="shared" si="61"/>
        <v>77.600000000001273</v>
      </c>
      <c r="R471" s="203" t="s">
        <v>55</v>
      </c>
      <c r="S471" s="201">
        <f t="shared" si="62"/>
        <v>-7.7320013860823211E-3</v>
      </c>
    </row>
    <row r="472" spans="1:19">
      <c r="A472" s="196">
        <v>40651</v>
      </c>
      <c r="B472" s="122">
        <v>22.98</v>
      </c>
      <c r="C472" s="122">
        <v>23.01</v>
      </c>
      <c r="D472" s="122">
        <v>22.34</v>
      </c>
      <c r="E472" s="122">
        <v>22.34</v>
      </c>
      <c r="F472" s="122">
        <v>15.716284</v>
      </c>
      <c r="G472" s="197">
        <v>270700</v>
      </c>
      <c r="H472" s="198">
        <f>IF(AND(E471&gt;=H471,E472&gt;=E471),E471*(1+'Trading Model'!$E$13),IF(AND(E472&lt;E471,E471&gt;=H471),E472*(1+'Trading Model'!$E$13),H471))</f>
        <v>27.698998950000004</v>
      </c>
      <c r="I472" s="198">
        <f>IF(K472&gt;0,E472*(1-'Trading Model'!E482),IF(E472&lt;I471,I471*(1-'Trading Model'!$E$14),I471))</f>
        <v>21.486674060493748</v>
      </c>
      <c r="J472" s="198">
        <f t="shared" si="63"/>
        <v>-22.34</v>
      </c>
      <c r="K472" s="198">
        <f t="shared" si="58"/>
        <v>0</v>
      </c>
      <c r="L472" s="198">
        <f>COUNTIF(J472:K472,"&lt;&gt;0")*-'Trading Model'!$E$15</f>
        <v>-0.1</v>
      </c>
      <c r="M472" s="198">
        <f t="shared" si="56"/>
        <v>-22.44</v>
      </c>
      <c r="N472" s="75">
        <f t="shared" si="59"/>
        <v>28</v>
      </c>
      <c r="O472" s="202">
        <f t="shared" si="60"/>
        <v>0</v>
      </c>
      <c r="P472" s="199">
        <f t="shared" si="57"/>
        <v>0</v>
      </c>
      <c r="Q472" s="203">
        <f t="shared" si="61"/>
        <v>77.500000000001279</v>
      </c>
      <c r="R472" s="201">
        <f>E472/B468-1</f>
        <v>-0.11699601252948666</v>
      </c>
      <c r="S472" s="201">
        <f t="shared" si="62"/>
        <v>-3.2900432900432985E-2</v>
      </c>
    </row>
    <row r="473" spans="1:19">
      <c r="A473" s="196">
        <v>40652</v>
      </c>
      <c r="B473" s="122">
        <v>22.379999000000002</v>
      </c>
      <c r="C473" s="122">
        <v>23.01</v>
      </c>
      <c r="D473" s="122">
        <v>21.459999</v>
      </c>
      <c r="E473" s="122">
        <v>22.190000999999999</v>
      </c>
      <c r="F473" s="122">
        <v>15.610758000000001</v>
      </c>
      <c r="G473" s="197">
        <v>326200</v>
      </c>
      <c r="H473" s="198">
        <f>IF(AND(E472&gt;=H472,E473&gt;=E472),E472*(1+'Trading Model'!$E$13),IF(AND(E473&lt;E472,E472&gt;=H472),E473*(1+'Trading Model'!$E$13),H472))</f>
        <v>27.698998950000004</v>
      </c>
      <c r="I473" s="198">
        <f>IF(K473&gt;0,E473*(1-'Trading Model'!E483),IF(E473&lt;I472,I472*(1-'Trading Model'!$E$14),I472))</f>
        <v>21.486674060493748</v>
      </c>
      <c r="J473" s="198">
        <f t="shared" si="63"/>
        <v>0</v>
      </c>
      <c r="K473" s="198">
        <f t="shared" si="58"/>
        <v>0</v>
      </c>
      <c r="L473" s="198">
        <f>COUNTIF(J473:K473,"&lt;&gt;0")*-'Trading Model'!$E$15</f>
        <v>0</v>
      </c>
      <c r="M473" s="198">
        <f t="shared" si="56"/>
        <v>0</v>
      </c>
      <c r="N473" s="75">
        <f t="shared" si="59"/>
        <v>28</v>
      </c>
      <c r="O473" s="202">
        <f t="shared" si="60"/>
        <v>0</v>
      </c>
      <c r="P473" s="199">
        <f t="shared" si="57"/>
        <v>0</v>
      </c>
      <c r="Q473" s="203">
        <f t="shared" si="61"/>
        <v>77.400000000001285</v>
      </c>
      <c r="R473" s="160" t="s">
        <v>55</v>
      </c>
      <c r="S473" s="201">
        <f t="shared" si="62"/>
        <v>-6.7143688451208883E-3</v>
      </c>
    </row>
    <row r="474" spans="1:19">
      <c r="A474" s="196">
        <v>40653</v>
      </c>
      <c r="B474" s="122">
        <v>22.4</v>
      </c>
      <c r="C474" s="122">
        <v>22.559999000000001</v>
      </c>
      <c r="D474" s="122">
        <v>22.110001</v>
      </c>
      <c r="E474" s="122">
        <v>22.33</v>
      </c>
      <c r="F474" s="122">
        <v>15.709249</v>
      </c>
      <c r="G474" s="197">
        <v>191100</v>
      </c>
      <c r="H474" s="198">
        <f>IF(AND(E473&gt;=H473,E474&gt;=E473),E473*(1+'Trading Model'!$E$13),IF(AND(E474&lt;E473,E473&gt;=H473),E474*(1+'Trading Model'!$E$13),H473))</f>
        <v>27.698998950000004</v>
      </c>
      <c r="I474" s="198">
        <f>IF(K474&gt;0,E474*(1-'Trading Model'!E484),IF(E474&lt;I473,I473*(1-'Trading Model'!$E$14),I473))</f>
        <v>21.486674060493748</v>
      </c>
      <c r="J474" s="198">
        <f t="shared" si="63"/>
        <v>0</v>
      </c>
      <c r="K474" s="198">
        <f t="shared" si="58"/>
        <v>0</v>
      </c>
      <c r="L474" s="198">
        <f>COUNTIF(J474:K474,"&lt;&gt;0")*-'Trading Model'!$E$15</f>
        <v>0</v>
      </c>
      <c r="M474" s="198">
        <f t="shared" si="56"/>
        <v>0</v>
      </c>
      <c r="N474" s="75">
        <f t="shared" si="59"/>
        <v>28</v>
      </c>
      <c r="O474" s="202">
        <f t="shared" si="60"/>
        <v>0</v>
      </c>
      <c r="P474" s="199">
        <f t="shared" si="57"/>
        <v>0</v>
      </c>
      <c r="Q474" s="203">
        <f t="shared" si="61"/>
        <v>77.400000000001285</v>
      </c>
      <c r="R474" s="203" t="s">
        <v>55</v>
      </c>
      <c r="S474" s="201">
        <f t="shared" si="62"/>
        <v>6.3091029153174993E-3</v>
      </c>
    </row>
    <row r="475" spans="1:19">
      <c r="A475" s="196">
        <v>40654</v>
      </c>
      <c r="B475" s="122">
        <v>22.559999000000001</v>
      </c>
      <c r="C475" s="122">
        <v>22.83</v>
      </c>
      <c r="D475" s="122">
        <v>22.41</v>
      </c>
      <c r="E475" s="122">
        <v>22.629999000000002</v>
      </c>
      <c r="F475" s="122">
        <v>15.920301</v>
      </c>
      <c r="G475" s="197">
        <v>115000</v>
      </c>
      <c r="H475" s="198">
        <f>IF(AND(E474&gt;=H474,E475&gt;=E474),E474*(1+'Trading Model'!$E$13),IF(AND(E475&lt;E474,E474&gt;=H474),E475*(1+'Trading Model'!$E$13),H474))</f>
        <v>27.698998950000004</v>
      </c>
      <c r="I475" s="198">
        <f>IF(K475&gt;0,E475*(1-'Trading Model'!E485),IF(E475&lt;I474,I474*(1-'Trading Model'!$E$14),I474))</f>
        <v>21.486674060493748</v>
      </c>
      <c r="J475" s="198">
        <f t="shared" si="63"/>
        <v>0</v>
      </c>
      <c r="K475" s="198">
        <f t="shared" si="58"/>
        <v>0</v>
      </c>
      <c r="L475" s="198">
        <f>COUNTIF(J475:K475,"&lt;&gt;0")*-'Trading Model'!$E$15</f>
        <v>0</v>
      </c>
      <c r="M475" s="198">
        <f t="shared" si="56"/>
        <v>0</v>
      </c>
      <c r="N475" s="75">
        <f t="shared" si="59"/>
        <v>28</v>
      </c>
      <c r="O475" s="202">
        <f t="shared" si="60"/>
        <v>0</v>
      </c>
      <c r="P475" s="199">
        <f t="shared" si="57"/>
        <v>0</v>
      </c>
      <c r="Q475" s="203">
        <f t="shared" si="61"/>
        <v>77.400000000001285</v>
      </c>
      <c r="R475" s="203" t="s">
        <v>55</v>
      </c>
      <c r="S475" s="201">
        <f t="shared" si="62"/>
        <v>1.3434796238244617E-2</v>
      </c>
    </row>
    <row r="476" spans="1:19">
      <c r="A476" s="196">
        <v>40658</v>
      </c>
      <c r="B476" s="122">
        <v>22.75</v>
      </c>
      <c r="C476" s="122">
        <v>22.950001</v>
      </c>
      <c r="D476" s="122">
        <v>22.5</v>
      </c>
      <c r="E476" s="122">
        <v>22.700001</v>
      </c>
      <c r="F476" s="122">
        <v>15.96955</v>
      </c>
      <c r="G476" s="197">
        <v>116100</v>
      </c>
      <c r="H476" s="198">
        <f>IF(AND(E475&gt;=H475,E476&gt;=E475),E475*(1+'Trading Model'!$E$13),IF(AND(E476&lt;E475,E475&gt;=H475),E476*(1+'Trading Model'!$E$13),H475))</f>
        <v>27.698998950000004</v>
      </c>
      <c r="I476" s="198">
        <f>IF(K476&gt;0,E476*(1-'Trading Model'!E486),IF(E476&lt;I475,I475*(1-'Trading Model'!$E$14),I475))</f>
        <v>21.486674060493748</v>
      </c>
      <c r="J476" s="198">
        <f t="shared" si="63"/>
        <v>0</v>
      </c>
      <c r="K476" s="198">
        <f t="shared" si="58"/>
        <v>0</v>
      </c>
      <c r="L476" s="198">
        <f>COUNTIF(J476:K476,"&lt;&gt;0")*-'Trading Model'!$E$15</f>
        <v>0</v>
      </c>
      <c r="M476" s="198">
        <f t="shared" si="56"/>
        <v>0</v>
      </c>
      <c r="N476" s="75">
        <f t="shared" si="59"/>
        <v>28</v>
      </c>
      <c r="O476" s="202">
        <f t="shared" si="60"/>
        <v>0</v>
      </c>
      <c r="P476" s="199">
        <f t="shared" si="57"/>
        <v>0</v>
      </c>
      <c r="Q476" s="203">
        <f t="shared" si="61"/>
        <v>77.400000000001285</v>
      </c>
      <c r="R476" s="203" t="s">
        <v>55</v>
      </c>
      <c r="S476" s="201">
        <f t="shared" si="62"/>
        <v>3.0933275781408476E-3</v>
      </c>
    </row>
    <row r="477" spans="1:19">
      <c r="A477" s="196">
        <v>40659</v>
      </c>
      <c r="B477" s="122">
        <v>22.84</v>
      </c>
      <c r="C477" s="122">
        <v>22.84</v>
      </c>
      <c r="D477" s="122">
        <v>22.549999</v>
      </c>
      <c r="E477" s="122">
        <v>22.66</v>
      </c>
      <c r="F477" s="122">
        <v>15.941407</v>
      </c>
      <c r="G477" s="197">
        <v>151600</v>
      </c>
      <c r="H477" s="198">
        <f>IF(AND(E476&gt;=H476,E477&gt;=E476),E476*(1+'Trading Model'!$E$13),IF(AND(E477&lt;E476,E476&gt;=H476),E477*(1+'Trading Model'!$E$13),H476))</f>
        <v>27.698998950000004</v>
      </c>
      <c r="I477" s="198">
        <f>IF(K477&gt;0,E477*(1-'Trading Model'!E487),IF(E477&lt;I476,I476*(1-'Trading Model'!$E$14),I476))</f>
        <v>21.486674060493748</v>
      </c>
      <c r="J477" s="198">
        <f t="shared" si="63"/>
        <v>0</v>
      </c>
      <c r="K477" s="198">
        <f t="shared" si="58"/>
        <v>0</v>
      </c>
      <c r="L477" s="198">
        <f>COUNTIF(J477:K477,"&lt;&gt;0")*-'Trading Model'!$E$15</f>
        <v>0</v>
      </c>
      <c r="M477" s="198">
        <f t="shared" si="56"/>
        <v>0</v>
      </c>
      <c r="N477" s="75">
        <f t="shared" si="59"/>
        <v>28</v>
      </c>
      <c r="O477" s="202">
        <f t="shared" si="60"/>
        <v>0</v>
      </c>
      <c r="P477" s="199">
        <f t="shared" si="57"/>
        <v>0</v>
      </c>
      <c r="Q477" s="203">
        <f t="shared" si="61"/>
        <v>77.30000000000129</v>
      </c>
      <c r="R477" s="201">
        <f>E477/B473-1</f>
        <v>1.2511215929902342E-2</v>
      </c>
      <c r="S477" s="201">
        <f t="shared" si="62"/>
        <v>-1.7621585126802453E-3</v>
      </c>
    </row>
    <row r="478" spans="1:19">
      <c r="A478" s="196">
        <v>40660</v>
      </c>
      <c r="B478" s="122">
        <v>22.719999000000001</v>
      </c>
      <c r="C478" s="122">
        <v>22.82</v>
      </c>
      <c r="D478" s="122">
        <v>22.35</v>
      </c>
      <c r="E478" s="122">
        <v>22.66</v>
      </c>
      <c r="F478" s="122">
        <v>15.941407</v>
      </c>
      <c r="G478" s="197">
        <v>133000</v>
      </c>
      <c r="H478" s="198">
        <f>IF(AND(E477&gt;=H477,E478&gt;=E477),E477*(1+'Trading Model'!$E$13),IF(AND(E478&lt;E477,E477&gt;=H477),E478*(1+'Trading Model'!$E$13),H477))</f>
        <v>27.698998950000004</v>
      </c>
      <c r="I478" s="198">
        <f>IF(K478&gt;0,E478*(1-'Trading Model'!E488),IF(E478&lt;I477,I477*(1-'Trading Model'!$E$14),I477))</f>
        <v>21.486674060493748</v>
      </c>
      <c r="J478" s="198">
        <f t="shared" si="63"/>
        <v>0</v>
      </c>
      <c r="K478" s="198">
        <f t="shared" si="58"/>
        <v>0</v>
      </c>
      <c r="L478" s="198">
        <f>COUNTIF(J478:K478,"&lt;&gt;0")*-'Trading Model'!$E$15</f>
        <v>0</v>
      </c>
      <c r="M478" s="198">
        <f t="shared" si="56"/>
        <v>0</v>
      </c>
      <c r="N478" s="75">
        <f t="shared" si="59"/>
        <v>28</v>
      </c>
      <c r="O478" s="202">
        <f t="shared" si="60"/>
        <v>0</v>
      </c>
      <c r="P478" s="199">
        <f t="shared" si="57"/>
        <v>0</v>
      </c>
      <c r="Q478" s="203">
        <f t="shared" si="61"/>
        <v>77.30000000000129</v>
      </c>
      <c r="R478" s="160" t="s">
        <v>55</v>
      </c>
      <c r="S478" s="201">
        <f t="shared" si="62"/>
        <v>0</v>
      </c>
    </row>
    <row r="479" spans="1:19">
      <c r="A479" s="196">
        <v>40661</v>
      </c>
      <c r="B479" s="122">
        <v>22.66</v>
      </c>
      <c r="C479" s="122">
        <v>22.85</v>
      </c>
      <c r="D479" s="122">
        <v>22.33</v>
      </c>
      <c r="E479" s="122">
        <v>22.73</v>
      </c>
      <c r="F479" s="122">
        <v>15.99065</v>
      </c>
      <c r="G479" s="197">
        <v>87100</v>
      </c>
      <c r="H479" s="198">
        <f>IF(AND(E478&gt;=H478,E479&gt;=E478),E478*(1+'Trading Model'!$E$13),IF(AND(E479&lt;E478,E478&gt;=H478),E479*(1+'Trading Model'!$E$13),H478))</f>
        <v>27.698998950000004</v>
      </c>
      <c r="I479" s="198">
        <f>IF(K479&gt;0,E479*(1-'Trading Model'!E489),IF(E479&lt;I478,I478*(1-'Trading Model'!$E$14),I478))</f>
        <v>21.486674060493748</v>
      </c>
      <c r="J479" s="198">
        <f t="shared" si="63"/>
        <v>0</v>
      </c>
      <c r="K479" s="198">
        <f t="shared" si="58"/>
        <v>0</v>
      </c>
      <c r="L479" s="198">
        <f>COUNTIF(J479:K479,"&lt;&gt;0")*-'Trading Model'!$E$15</f>
        <v>0</v>
      </c>
      <c r="M479" s="198">
        <f t="shared" si="56"/>
        <v>0</v>
      </c>
      <c r="N479" s="75">
        <f t="shared" si="59"/>
        <v>28</v>
      </c>
      <c r="O479" s="202">
        <f t="shared" si="60"/>
        <v>0</v>
      </c>
      <c r="P479" s="199">
        <f t="shared" si="57"/>
        <v>0</v>
      </c>
      <c r="Q479" s="203">
        <f t="shared" si="61"/>
        <v>77.30000000000129</v>
      </c>
      <c r="R479" s="203" t="s">
        <v>55</v>
      </c>
      <c r="S479" s="201">
        <f t="shared" si="62"/>
        <v>3.0891438658429138E-3</v>
      </c>
    </row>
    <row r="480" spans="1:19">
      <c r="A480" s="196">
        <v>40662</v>
      </c>
      <c r="B480" s="122">
        <v>22.82</v>
      </c>
      <c r="C480" s="122">
        <v>22.870000999999998</v>
      </c>
      <c r="D480" s="122">
        <v>22.469999000000001</v>
      </c>
      <c r="E480" s="122">
        <v>22.82</v>
      </c>
      <c r="F480" s="122">
        <v>16.053965000000002</v>
      </c>
      <c r="G480" s="197">
        <v>95000</v>
      </c>
      <c r="H480" s="198">
        <f>IF(AND(E479&gt;=H479,E480&gt;=E479),E479*(1+'Trading Model'!$E$13),IF(AND(E480&lt;E479,E479&gt;=H479),E480*(1+'Trading Model'!$E$13),H479))</f>
        <v>27.698998950000004</v>
      </c>
      <c r="I480" s="198">
        <f>IF(K480&gt;0,E480*(1-'Trading Model'!E490),IF(E480&lt;I479,I479*(1-'Trading Model'!$E$14),I479))</f>
        <v>21.486674060493748</v>
      </c>
      <c r="J480" s="198">
        <f t="shared" si="63"/>
        <v>0</v>
      </c>
      <c r="K480" s="198">
        <f t="shared" si="58"/>
        <v>0</v>
      </c>
      <c r="L480" s="198">
        <f>COUNTIF(J480:K480,"&lt;&gt;0")*-'Trading Model'!$E$15</f>
        <v>0</v>
      </c>
      <c r="M480" s="198">
        <f t="shared" si="56"/>
        <v>0</v>
      </c>
      <c r="N480" s="75">
        <f t="shared" si="59"/>
        <v>28</v>
      </c>
      <c r="O480" s="202">
        <f t="shared" si="60"/>
        <v>0</v>
      </c>
      <c r="P480" s="199">
        <f t="shared" si="57"/>
        <v>0</v>
      </c>
      <c r="Q480" s="203">
        <f t="shared" si="61"/>
        <v>77.30000000000129</v>
      </c>
      <c r="R480" s="203" t="s">
        <v>55</v>
      </c>
      <c r="S480" s="201">
        <f t="shared" si="62"/>
        <v>3.959524857017227E-3</v>
      </c>
    </row>
    <row r="481" spans="1:19">
      <c r="A481" s="196">
        <v>40665</v>
      </c>
      <c r="B481" s="122">
        <v>22.77</v>
      </c>
      <c r="C481" s="122">
        <v>22.889999</v>
      </c>
      <c r="D481" s="122">
        <v>22.040001</v>
      </c>
      <c r="E481" s="122">
        <v>22.34</v>
      </c>
      <c r="F481" s="122">
        <v>15.716284</v>
      </c>
      <c r="G481" s="197">
        <v>284000</v>
      </c>
      <c r="H481" s="198">
        <f>IF(AND(E480&gt;=H480,E481&gt;=E480),E480*(1+'Trading Model'!$E$13),IF(AND(E481&lt;E480,E480&gt;=H480),E481*(1+'Trading Model'!$E$13),H480))</f>
        <v>27.698998950000004</v>
      </c>
      <c r="I481" s="198">
        <f>IF(K481&gt;0,E481*(1-'Trading Model'!E491),IF(E481&lt;I480,I480*(1-'Trading Model'!$E$14),I480))</f>
        <v>21.486674060493748</v>
      </c>
      <c r="J481" s="198">
        <f t="shared" si="63"/>
        <v>0</v>
      </c>
      <c r="K481" s="198">
        <f t="shared" si="58"/>
        <v>0</v>
      </c>
      <c r="L481" s="198">
        <f>COUNTIF(J481:K481,"&lt;&gt;0")*-'Trading Model'!$E$15</f>
        <v>0</v>
      </c>
      <c r="M481" s="198">
        <f t="shared" si="56"/>
        <v>0</v>
      </c>
      <c r="N481" s="75">
        <f t="shared" si="59"/>
        <v>28</v>
      </c>
      <c r="O481" s="202">
        <f t="shared" si="60"/>
        <v>0</v>
      </c>
      <c r="P481" s="199">
        <f t="shared" si="57"/>
        <v>0</v>
      </c>
      <c r="Q481" s="203">
        <f t="shared" si="61"/>
        <v>77.200000000001296</v>
      </c>
      <c r="R481" s="203" t="s">
        <v>55</v>
      </c>
      <c r="S481" s="201">
        <f t="shared" si="62"/>
        <v>-2.1034180543383019E-2</v>
      </c>
    </row>
    <row r="482" spans="1:19">
      <c r="A482" s="196">
        <v>40666</v>
      </c>
      <c r="B482" s="122">
        <v>22.32</v>
      </c>
      <c r="C482" s="122">
        <v>23.01</v>
      </c>
      <c r="D482" s="122">
        <v>22.110001</v>
      </c>
      <c r="E482" s="122">
        <v>23.01</v>
      </c>
      <c r="F482" s="122">
        <v>16.187633999999999</v>
      </c>
      <c r="G482" s="197">
        <v>141000</v>
      </c>
      <c r="H482" s="198">
        <f>IF(AND(E481&gt;=H481,E482&gt;=E481),E481*(1+'Trading Model'!$E$13),IF(AND(E482&lt;E481,E481&gt;=H481),E482*(1+'Trading Model'!$E$13),H481))</f>
        <v>27.698998950000004</v>
      </c>
      <c r="I482" s="198">
        <f>IF(K482&gt;0,E482*(1-'Trading Model'!E492),IF(E482&lt;I481,I481*(1-'Trading Model'!$E$14),I481))</f>
        <v>21.486674060493748</v>
      </c>
      <c r="J482" s="198">
        <f t="shared" si="63"/>
        <v>0</v>
      </c>
      <c r="K482" s="198">
        <f t="shared" si="58"/>
        <v>0</v>
      </c>
      <c r="L482" s="198">
        <f>COUNTIF(J482:K482,"&lt;&gt;0")*-'Trading Model'!$E$15</f>
        <v>0</v>
      </c>
      <c r="M482" s="198">
        <f t="shared" si="56"/>
        <v>0</v>
      </c>
      <c r="N482" s="75">
        <f t="shared" si="59"/>
        <v>28</v>
      </c>
      <c r="O482" s="202">
        <f t="shared" si="60"/>
        <v>0</v>
      </c>
      <c r="P482" s="199">
        <f t="shared" si="57"/>
        <v>0</v>
      </c>
      <c r="Q482" s="203">
        <f t="shared" si="61"/>
        <v>77.200000000001296</v>
      </c>
      <c r="R482" s="201">
        <f>E482/B478-1</f>
        <v>1.2764129082928122E-2</v>
      </c>
      <c r="S482" s="201">
        <f t="shared" si="62"/>
        <v>2.9991047448522989E-2</v>
      </c>
    </row>
    <row r="483" spans="1:19">
      <c r="A483" s="196">
        <v>40667</v>
      </c>
      <c r="B483" s="122">
        <v>23</v>
      </c>
      <c r="C483" s="122">
        <v>23.52</v>
      </c>
      <c r="D483" s="122">
        <v>22.809999000000001</v>
      </c>
      <c r="E483" s="122">
        <v>23.379999000000002</v>
      </c>
      <c r="F483" s="122">
        <v>16.447928999999998</v>
      </c>
      <c r="G483" s="197">
        <v>193000</v>
      </c>
      <c r="H483" s="198">
        <f>IF(AND(E482&gt;=H482,E483&gt;=E482),E482*(1+'Trading Model'!$E$13),IF(AND(E483&lt;E482,E482&gt;=H482),E483*(1+'Trading Model'!$E$13),H482))</f>
        <v>27.698998950000004</v>
      </c>
      <c r="I483" s="198">
        <f>IF(K483&gt;0,E483*(1-'Trading Model'!E493),IF(E483&lt;I482,I482*(1-'Trading Model'!$E$14),I482))</f>
        <v>21.486674060493748</v>
      </c>
      <c r="J483" s="198">
        <f t="shared" si="63"/>
        <v>0</v>
      </c>
      <c r="K483" s="198">
        <f t="shared" si="58"/>
        <v>0</v>
      </c>
      <c r="L483" s="198">
        <f>COUNTIF(J483:K483,"&lt;&gt;0")*-'Trading Model'!$E$15</f>
        <v>0</v>
      </c>
      <c r="M483" s="198">
        <f t="shared" si="56"/>
        <v>0</v>
      </c>
      <c r="N483" s="75">
        <f t="shared" si="59"/>
        <v>28</v>
      </c>
      <c r="O483" s="202">
        <f t="shared" si="60"/>
        <v>0</v>
      </c>
      <c r="P483" s="199">
        <f t="shared" si="57"/>
        <v>0</v>
      </c>
      <c r="Q483" s="203">
        <f t="shared" si="61"/>
        <v>77.200000000001296</v>
      </c>
      <c r="R483" s="160" t="s">
        <v>55</v>
      </c>
      <c r="S483" s="201">
        <f t="shared" si="62"/>
        <v>1.6079921773142214E-2</v>
      </c>
    </row>
    <row r="484" spans="1:19">
      <c r="A484" s="196">
        <v>40668</v>
      </c>
      <c r="B484" s="122">
        <v>23.309999000000001</v>
      </c>
      <c r="C484" s="122">
        <v>23.6</v>
      </c>
      <c r="D484" s="122">
        <v>23.25</v>
      </c>
      <c r="E484" s="122">
        <v>23.5</v>
      </c>
      <c r="F484" s="122">
        <v>16.532349</v>
      </c>
      <c r="G484" s="197">
        <v>211700</v>
      </c>
      <c r="H484" s="198">
        <f>IF(AND(E483&gt;=H483,E484&gt;=E483),E483*(1+'Trading Model'!$E$13),IF(AND(E484&lt;E483,E483&gt;=H483),E484*(1+'Trading Model'!$E$13),H483))</f>
        <v>27.698998950000004</v>
      </c>
      <c r="I484" s="198">
        <f>IF(K484&gt;0,E484*(1-'Trading Model'!E494),IF(E484&lt;I483,I483*(1-'Trading Model'!$E$14),I483))</f>
        <v>21.486674060493748</v>
      </c>
      <c r="J484" s="198">
        <f t="shared" si="63"/>
        <v>0</v>
      </c>
      <c r="K484" s="198">
        <f t="shared" si="58"/>
        <v>0</v>
      </c>
      <c r="L484" s="198">
        <f>COUNTIF(J484:K484,"&lt;&gt;0")*-'Trading Model'!$E$15</f>
        <v>0</v>
      </c>
      <c r="M484" s="198">
        <f t="shared" si="56"/>
        <v>0</v>
      </c>
      <c r="N484" s="75">
        <f t="shared" si="59"/>
        <v>28</v>
      </c>
      <c r="O484" s="202">
        <f t="shared" si="60"/>
        <v>0</v>
      </c>
      <c r="P484" s="199">
        <f t="shared" si="57"/>
        <v>0</v>
      </c>
      <c r="Q484" s="203">
        <f t="shared" si="61"/>
        <v>77.200000000001296</v>
      </c>
      <c r="R484" s="203" t="s">
        <v>55</v>
      </c>
      <c r="S484" s="201">
        <f t="shared" si="62"/>
        <v>5.1326349500697699E-3</v>
      </c>
    </row>
    <row r="485" spans="1:19">
      <c r="A485" s="196">
        <v>40669</v>
      </c>
      <c r="B485" s="122">
        <v>23.790001</v>
      </c>
      <c r="C485" s="122">
        <v>23.950001</v>
      </c>
      <c r="D485" s="122">
        <v>23.450001</v>
      </c>
      <c r="E485" s="122">
        <v>23.6</v>
      </c>
      <c r="F485" s="122">
        <v>16.602701</v>
      </c>
      <c r="G485" s="197">
        <v>159400</v>
      </c>
      <c r="H485" s="198">
        <f>IF(AND(E484&gt;=H484,E485&gt;=E484),E484*(1+'Trading Model'!$E$13),IF(AND(E485&lt;E484,E484&gt;=H484),E485*(1+'Trading Model'!$E$13),H484))</f>
        <v>27.698998950000004</v>
      </c>
      <c r="I485" s="198">
        <f>IF(K485&gt;0,E485*(1-'Trading Model'!E495),IF(E485&lt;I484,I484*(1-'Trading Model'!$E$14),I484))</f>
        <v>21.486674060493748</v>
      </c>
      <c r="J485" s="198">
        <f t="shared" si="63"/>
        <v>0</v>
      </c>
      <c r="K485" s="198">
        <f t="shared" si="58"/>
        <v>0</v>
      </c>
      <c r="L485" s="198">
        <f>COUNTIF(J485:K485,"&lt;&gt;0")*-'Trading Model'!$E$15</f>
        <v>0</v>
      </c>
      <c r="M485" s="198">
        <f t="shared" si="56"/>
        <v>0</v>
      </c>
      <c r="N485" s="75">
        <f t="shared" si="59"/>
        <v>28</v>
      </c>
      <c r="O485" s="202">
        <f t="shared" si="60"/>
        <v>0</v>
      </c>
      <c r="P485" s="199">
        <f t="shared" si="57"/>
        <v>0</v>
      </c>
      <c r="Q485" s="203">
        <f t="shared" si="61"/>
        <v>77.200000000001296</v>
      </c>
      <c r="R485" s="203" t="s">
        <v>55</v>
      </c>
      <c r="S485" s="201">
        <f t="shared" si="62"/>
        <v>4.2553191489362874E-3</v>
      </c>
    </row>
    <row r="486" spans="1:19">
      <c r="A486" s="196">
        <v>40672</v>
      </c>
      <c r="B486" s="122">
        <v>23.52</v>
      </c>
      <c r="C486" s="122">
        <v>23.799999</v>
      </c>
      <c r="D486" s="122">
        <v>23.43</v>
      </c>
      <c r="E486" s="122">
        <v>23.75</v>
      </c>
      <c r="F486" s="122">
        <v>16.708227000000001</v>
      </c>
      <c r="G486" s="197">
        <v>203000</v>
      </c>
      <c r="H486" s="198">
        <f>IF(AND(E485&gt;=H485,E486&gt;=E485),E485*(1+'Trading Model'!$E$13),IF(AND(E486&lt;E485,E485&gt;=H485),E486*(1+'Trading Model'!$E$13),H485))</f>
        <v>27.698998950000004</v>
      </c>
      <c r="I486" s="198">
        <f>IF(K486&gt;0,E486*(1-'Trading Model'!E496),IF(E486&lt;I485,I485*(1-'Trading Model'!$E$14),I485))</f>
        <v>21.486674060493748</v>
      </c>
      <c r="J486" s="198">
        <f t="shared" si="63"/>
        <v>0</v>
      </c>
      <c r="K486" s="198">
        <f t="shared" si="58"/>
        <v>0</v>
      </c>
      <c r="L486" s="198">
        <f>COUNTIF(J486:K486,"&lt;&gt;0")*-'Trading Model'!$E$15</f>
        <v>0</v>
      </c>
      <c r="M486" s="198">
        <f t="shared" si="56"/>
        <v>0</v>
      </c>
      <c r="N486" s="75">
        <f t="shared" si="59"/>
        <v>28</v>
      </c>
      <c r="O486" s="202">
        <f t="shared" si="60"/>
        <v>0</v>
      </c>
      <c r="P486" s="199">
        <f t="shared" si="57"/>
        <v>0</v>
      </c>
      <c r="Q486" s="203">
        <f t="shared" si="61"/>
        <v>77.200000000001296</v>
      </c>
      <c r="R486" s="203" t="s">
        <v>55</v>
      </c>
      <c r="S486" s="201">
        <f t="shared" si="62"/>
        <v>6.3559322033897026E-3</v>
      </c>
    </row>
    <row r="487" spans="1:19">
      <c r="A487" s="196">
        <v>40673</v>
      </c>
      <c r="B487" s="122">
        <v>23.93</v>
      </c>
      <c r="C487" s="122">
        <v>24.43</v>
      </c>
      <c r="D487" s="122">
        <v>23.73</v>
      </c>
      <c r="E487" s="122">
        <v>24.389999</v>
      </c>
      <c r="F487" s="122">
        <v>17.158470000000001</v>
      </c>
      <c r="G487" s="197">
        <v>226500</v>
      </c>
      <c r="H487" s="198">
        <f>IF(AND(E486&gt;=H486,E487&gt;=E486),E486*(1+'Trading Model'!$E$13),IF(AND(E487&lt;E486,E486&gt;=H486),E487*(1+'Trading Model'!$E$13),H486))</f>
        <v>27.698998950000004</v>
      </c>
      <c r="I487" s="198">
        <f>IF(K487&gt;0,E487*(1-'Trading Model'!E497),IF(E487&lt;I486,I486*(1-'Trading Model'!$E$14),I486))</f>
        <v>21.486674060493748</v>
      </c>
      <c r="J487" s="198">
        <f t="shared" si="63"/>
        <v>0</v>
      </c>
      <c r="K487" s="198">
        <f t="shared" si="58"/>
        <v>0</v>
      </c>
      <c r="L487" s="198">
        <f>COUNTIF(J487:K487,"&lt;&gt;0")*-'Trading Model'!$E$15</f>
        <v>0</v>
      </c>
      <c r="M487" s="198">
        <f t="shared" si="56"/>
        <v>0</v>
      </c>
      <c r="N487" s="75">
        <f t="shared" si="59"/>
        <v>28</v>
      </c>
      <c r="O487" s="202">
        <f t="shared" si="60"/>
        <v>0</v>
      </c>
      <c r="P487" s="199">
        <f t="shared" si="57"/>
        <v>0</v>
      </c>
      <c r="Q487" s="203">
        <f t="shared" si="61"/>
        <v>77.200000000001296</v>
      </c>
      <c r="R487" s="201">
        <f>E487/B483-1</f>
        <v>6.0434739130434734E-2</v>
      </c>
      <c r="S487" s="201">
        <f t="shared" si="62"/>
        <v>2.6947326315789555E-2</v>
      </c>
    </row>
    <row r="488" spans="1:19">
      <c r="A488" s="196">
        <v>40674</v>
      </c>
      <c r="B488" s="122">
        <v>24.450001</v>
      </c>
      <c r="C488" s="122">
        <v>24.49</v>
      </c>
      <c r="D488" s="122">
        <v>23.9</v>
      </c>
      <c r="E488" s="122">
        <v>24.18</v>
      </c>
      <c r="F488" s="122">
        <v>17.010735</v>
      </c>
      <c r="G488" s="197">
        <v>169100</v>
      </c>
      <c r="H488" s="198">
        <f>IF(AND(E487&gt;=H487,E488&gt;=E487),E487*(1+'Trading Model'!$E$13),IF(AND(E488&lt;E487,E487&gt;=H487),E488*(1+'Trading Model'!$E$13),H487))</f>
        <v>27.698998950000004</v>
      </c>
      <c r="I488" s="198">
        <f>IF(K488&gt;0,E488*(1-'Trading Model'!E498),IF(E488&lt;I487,I487*(1-'Trading Model'!$E$14),I487))</f>
        <v>21.486674060493748</v>
      </c>
      <c r="J488" s="198">
        <f t="shared" si="63"/>
        <v>0</v>
      </c>
      <c r="K488" s="198">
        <f t="shared" si="58"/>
        <v>0</v>
      </c>
      <c r="L488" s="198">
        <f>COUNTIF(J488:K488,"&lt;&gt;0")*-'Trading Model'!$E$15</f>
        <v>0</v>
      </c>
      <c r="M488" s="198">
        <f t="shared" si="56"/>
        <v>0</v>
      </c>
      <c r="N488" s="75">
        <f t="shared" si="59"/>
        <v>28</v>
      </c>
      <c r="O488" s="202">
        <f t="shared" si="60"/>
        <v>0</v>
      </c>
      <c r="P488" s="199">
        <f t="shared" si="57"/>
        <v>0</v>
      </c>
      <c r="Q488" s="203">
        <f t="shared" si="61"/>
        <v>77.100000000001302</v>
      </c>
      <c r="R488" s="160" t="s">
        <v>55</v>
      </c>
      <c r="S488" s="201">
        <f t="shared" si="62"/>
        <v>-8.6100454534664417E-3</v>
      </c>
    </row>
    <row r="489" spans="1:19">
      <c r="A489" s="196">
        <v>40675</v>
      </c>
      <c r="B489" s="122">
        <v>24.15</v>
      </c>
      <c r="C489" s="122">
        <v>24.58</v>
      </c>
      <c r="D489" s="122">
        <v>23.92</v>
      </c>
      <c r="E489" s="122">
        <v>24.4</v>
      </c>
      <c r="F489" s="122">
        <v>17.165503000000001</v>
      </c>
      <c r="G489" s="197">
        <v>183000</v>
      </c>
      <c r="H489" s="198">
        <f>IF(AND(E488&gt;=H488,E489&gt;=E488),E488*(1+'Trading Model'!$E$13),IF(AND(E489&lt;E488,E488&gt;=H488),E489*(1+'Trading Model'!$E$13),H488))</f>
        <v>27.698998950000004</v>
      </c>
      <c r="I489" s="198">
        <f>IF(K489&gt;0,E489*(1-'Trading Model'!E499),IF(E489&lt;I488,I488*(1-'Trading Model'!$E$14),I488))</f>
        <v>21.486674060493748</v>
      </c>
      <c r="J489" s="198">
        <f t="shared" si="63"/>
        <v>0</v>
      </c>
      <c r="K489" s="198">
        <f t="shared" si="58"/>
        <v>0</v>
      </c>
      <c r="L489" s="198">
        <f>COUNTIF(J489:K489,"&lt;&gt;0")*-'Trading Model'!$E$15</f>
        <v>0</v>
      </c>
      <c r="M489" s="198">
        <f t="shared" si="56"/>
        <v>0</v>
      </c>
      <c r="N489" s="75">
        <f t="shared" si="59"/>
        <v>28</v>
      </c>
      <c r="O489" s="202">
        <f t="shared" si="60"/>
        <v>0</v>
      </c>
      <c r="P489" s="199">
        <f t="shared" si="57"/>
        <v>0</v>
      </c>
      <c r="Q489" s="203">
        <f t="shared" si="61"/>
        <v>77.100000000001302</v>
      </c>
      <c r="R489" s="203" t="s">
        <v>55</v>
      </c>
      <c r="S489" s="201">
        <f t="shared" si="62"/>
        <v>9.0984284532671378E-3</v>
      </c>
    </row>
    <row r="490" spans="1:19">
      <c r="A490" s="196">
        <v>40676</v>
      </c>
      <c r="B490" s="122">
        <v>24.610001</v>
      </c>
      <c r="C490" s="122">
        <v>24.610001</v>
      </c>
      <c r="D490" s="122">
        <v>23.940000999999999</v>
      </c>
      <c r="E490" s="122">
        <v>24.18</v>
      </c>
      <c r="F490" s="122">
        <v>17.010735</v>
      </c>
      <c r="G490" s="197">
        <v>121400</v>
      </c>
      <c r="H490" s="198">
        <f>IF(AND(E489&gt;=H489,E490&gt;=E489),E489*(1+'Trading Model'!$E$13),IF(AND(E490&lt;E489,E489&gt;=H489),E490*(1+'Trading Model'!$E$13),H489))</f>
        <v>27.698998950000004</v>
      </c>
      <c r="I490" s="198">
        <f>IF(K490&gt;0,E490*(1-'Trading Model'!E500),IF(E490&lt;I489,I489*(1-'Trading Model'!$E$14),I489))</f>
        <v>21.486674060493748</v>
      </c>
      <c r="J490" s="198">
        <f t="shared" si="63"/>
        <v>0</v>
      </c>
      <c r="K490" s="198">
        <f t="shared" si="58"/>
        <v>0</v>
      </c>
      <c r="L490" s="198">
        <f>COUNTIF(J490:K490,"&lt;&gt;0")*-'Trading Model'!$E$15</f>
        <v>0</v>
      </c>
      <c r="M490" s="198">
        <f t="shared" si="56"/>
        <v>0</v>
      </c>
      <c r="N490" s="75">
        <f t="shared" si="59"/>
        <v>28</v>
      </c>
      <c r="O490" s="202">
        <f t="shared" si="60"/>
        <v>0</v>
      </c>
      <c r="P490" s="199">
        <f t="shared" si="57"/>
        <v>0</v>
      </c>
      <c r="Q490" s="203">
        <f t="shared" si="61"/>
        <v>77.000000000001307</v>
      </c>
      <c r="R490" s="203" t="s">
        <v>55</v>
      </c>
      <c r="S490" s="201">
        <f t="shared" si="62"/>
        <v>-9.0163934426229497E-3</v>
      </c>
    </row>
    <row r="491" spans="1:19">
      <c r="A491" s="196">
        <v>40679</v>
      </c>
      <c r="B491" s="122">
        <v>24.24</v>
      </c>
      <c r="C491" s="122">
        <v>24.4</v>
      </c>
      <c r="D491" s="122">
        <v>24</v>
      </c>
      <c r="E491" s="122">
        <v>24.059999000000001</v>
      </c>
      <c r="F491" s="122">
        <v>16.926310999999998</v>
      </c>
      <c r="G491" s="197">
        <v>116700</v>
      </c>
      <c r="H491" s="198">
        <f>IF(AND(E490&gt;=H490,E491&gt;=E490),E490*(1+'Trading Model'!$E$13),IF(AND(E491&lt;E490,E490&gt;=H490),E491*(1+'Trading Model'!$E$13),H490))</f>
        <v>27.698998950000004</v>
      </c>
      <c r="I491" s="198">
        <f>IF(K491&gt;0,E491*(1-'Trading Model'!E501),IF(E491&lt;I490,I490*(1-'Trading Model'!$E$14),I490))</f>
        <v>21.486674060493748</v>
      </c>
      <c r="J491" s="198">
        <f t="shared" si="63"/>
        <v>0</v>
      </c>
      <c r="K491" s="198">
        <f t="shared" si="58"/>
        <v>0</v>
      </c>
      <c r="L491" s="198">
        <f>COUNTIF(J491:K491,"&lt;&gt;0")*-'Trading Model'!$E$15</f>
        <v>0</v>
      </c>
      <c r="M491" s="198">
        <f t="shared" si="56"/>
        <v>0</v>
      </c>
      <c r="N491" s="75">
        <f t="shared" si="59"/>
        <v>28</v>
      </c>
      <c r="O491" s="202">
        <f t="shared" si="60"/>
        <v>0</v>
      </c>
      <c r="P491" s="199">
        <f t="shared" si="57"/>
        <v>0</v>
      </c>
      <c r="Q491" s="203">
        <f t="shared" si="61"/>
        <v>76.900000000001313</v>
      </c>
      <c r="R491" s="203" t="s">
        <v>55</v>
      </c>
      <c r="S491" s="201">
        <f t="shared" si="62"/>
        <v>-4.9628205128204872E-3</v>
      </c>
    </row>
    <row r="492" spans="1:19">
      <c r="A492" s="196">
        <v>40680</v>
      </c>
      <c r="B492" s="122">
        <v>24.049999</v>
      </c>
      <c r="C492" s="122">
        <v>24.459999</v>
      </c>
      <c r="D492" s="122">
        <v>24.02</v>
      </c>
      <c r="E492" s="122">
        <v>24.459999</v>
      </c>
      <c r="F492" s="122">
        <v>17.207713999999999</v>
      </c>
      <c r="G492" s="197">
        <v>127600</v>
      </c>
      <c r="H492" s="198">
        <f>IF(AND(E491&gt;=H491,E492&gt;=E491),E491*(1+'Trading Model'!$E$13),IF(AND(E492&lt;E491,E491&gt;=H491),E492*(1+'Trading Model'!$E$13),H491))</f>
        <v>27.698998950000004</v>
      </c>
      <c r="I492" s="198">
        <f>IF(K492&gt;0,E492*(1-'Trading Model'!E502),IF(E492&lt;I491,I491*(1-'Trading Model'!$E$14),I491))</f>
        <v>21.486674060493748</v>
      </c>
      <c r="J492" s="198">
        <f t="shared" si="63"/>
        <v>0</v>
      </c>
      <c r="K492" s="198">
        <f t="shared" si="58"/>
        <v>0</v>
      </c>
      <c r="L492" s="198">
        <f>COUNTIF(J492:K492,"&lt;&gt;0")*-'Trading Model'!$E$15</f>
        <v>0</v>
      </c>
      <c r="M492" s="198">
        <f t="shared" si="56"/>
        <v>0</v>
      </c>
      <c r="N492" s="75">
        <f t="shared" si="59"/>
        <v>28</v>
      </c>
      <c r="O492" s="202">
        <f t="shared" si="60"/>
        <v>0</v>
      </c>
      <c r="P492" s="199">
        <f t="shared" si="57"/>
        <v>0</v>
      </c>
      <c r="Q492" s="203">
        <f t="shared" si="61"/>
        <v>76.900000000001313</v>
      </c>
      <c r="R492" s="201">
        <f>E492/B488-1</f>
        <v>4.0891613869464827E-4</v>
      </c>
      <c r="S492" s="201">
        <f t="shared" si="62"/>
        <v>1.6625104597884688E-2</v>
      </c>
    </row>
    <row r="493" spans="1:19">
      <c r="A493" s="196">
        <v>40681</v>
      </c>
      <c r="B493" s="122">
        <v>24.559999000000001</v>
      </c>
      <c r="C493" s="122">
        <v>24.940000999999999</v>
      </c>
      <c r="D493" s="122">
        <v>24.5</v>
      </c>
      <c r="E493" s="122">
        <v>24.83</v>
      </c>
      <c r="F493" s="122">
        <v>17.468012000000002</v>
      </c>
      <c r="G493" s="197">
        <v>149500</v>
      </c>
      <c r="H493" s="198">
        <f>IF(AND(E492&gt;=H492,E493&gt;=E492),E492*(1+'Trading Model'!$E$13),IF(AND(E493&lt;E492,E492&gt;=H492),E493*(1+'Trading Model'!$E$13),H492))</f>
        <v>27.698998950000004</v>
      </c>
      <c r="I493" s="198">
        <f>IF(K493&gt;0,E493*(1-'Trading Model'!E503),IF(E493&lt;I492,I492*(1-'Trading Model'!$E$14),I492))</f>
        <v>21.486674060493748</v>
      </c>
      <c r="J493" s="198">
        <f t="shared" si="63"/>
        <v>0</v>
      </c>
      <c r="K493" s="198">
        <f t="shared" si="58"/>
        <v>0</v>
      </c>
      <c r="L493" s="198">
        <f>COUNTIF(J493:K493,"&lt;&gt;0")*-'Trading Model'!$E$15</f>
        <v>0</v>
      </c>
      <c r="M493" s="198">
        <f t="shared" si="56"/>
        <v>0</v>
      </c>
      <c r="N493" s="75">
        <f t="shared" si="59"/>
        <v>28</v>
      </c>
      <c r="O493" s="202">
        <f t="shared" si="60"/>
        <v>0</v>
      </c>
      <c r="P493" s="199">
        <f t="shared" si="57"/>
        <v>0</v>
      </c>
      <c r="Q493" s="203">
        <f t="shared" si="61"/>
        <v>76.900000000001313</v>
      </c>
      <c r="R493" s="160" t="s">
        <v>55</v>
      </c>
      <c r="S493" s="201">
        <f t="shared" si="62"/>
        <v>1.512677903216586E-2</v>
      </c>
    </row>
    <row r="494" spans="1:19">
      <c r="A494" s="196">
        <v>40682</v>
      </c>
      <c r="B494" s="122">
        <v>24.940000999999999</v>
      </c>
      <c r="C494" s="122">
        <v>25.07</v>
      </c>
      <c r="D494" s="122">
        <v>24.58</v>
      </c>
      <c r="E494" s="122">
        <v>24.68</v>
      </c>
      <c r="F494" s="122">
        <v>17.362483999999998</v>
      </c>
      <c r="G494" s="197">
        <v>174800</v>
      </c>
      <c r="H494" s="198">
        <f>IF(AND(E493&gt;=H493,E494&gt;=E493),E493*(1+'Trading Model'!$E$13),IF(AND(E494&lt;E493,E493&gt;=H493),E494*(1+'Trading Model'!$E$13),H493))</f>
        <v>27.698998950000004</v>
      </c>
      <c r="I494" s="198">
        <f>IF(K494&gt;0,E494*(1-'Trading Model'!E504),IF(E494&lt;I493,I493*(1-'Trading Model'!$E$14),I493))</f>
        <v>21.486674060493748</v>
      </c>
      <c r="J494" s="198">
        <f t="shared" si="63"/>
        <v>0</v>
      </c>
      <c r="K494" s="198">
        <f t="shared" si="58"/>
        <v>0</v>
      </c>
      <c r="L494" s="198">
        <f>COUNTIF(J494:K494,"&lt;&gt;0")*-'Trading Model'!$E$15</f>
        <v>0</v>
      </c>
      <c r="M494" s="198">
        <f t="shared" si="56"/>
        <v>0</v>
      </c>
      <c r="N494" s="75">
        <f t="shared" si="59"/>
        <v>28</v>
      </c>
      <c r="O494" s="202">
        <f t="shared" si="60"/>
        <v>0</v>
      </c>
      <c r="P494" s="199">
        <f t="shared" si="57"/>
        <v>0</v>
      </c>
      <c r="Q494" s="203">
        <f t="shared" si="61"/>
        <v>76.800000000001319</v>
      </c>
      <c r="R494" s="203" t="s">
        <v>55</v>
      </c>
      <c r="S494" s="201">
        <f t="shared" si="62"/>
        <v>-6.0410793395085927E-3</v>
      </c>
    </row>
    <row r="495" spans="1:19">
      <c r="A495" s="196">
        <v>40683</v>
      </c>
      <c r="B495" s="122">
        <v>24.76</v>
      </c>
      <c r="C495" s="122">
        <v>24.82</v>
      </c>
      <c r="D495" s="122">
        <v>24.389999</v>
      </c>
      <c r="E495" s="122">
        <v>24.76</v>
      </c>
      <c r="F495" s="122">
        <v>17.418766000000002</v>
      </c>
      <c r="G495" s="197">
        <v>83200</v>
      </c>
      <c r="H495" s="198">
        <f>IF(AND(E494&gt;=H494,E495&gt;=E494),E494*(1+'Trading Model'!$E$13),IF(AND(E495&lt;E494,E494&gt;=H494),E495*(1+'Trading Model'!$E$13),H494))</f>
        <v>27.698998950000004</v>
      </c>
      <c r="I495" s="198">
        <f>IF(K495&gt;0,E495*(1-'Trading Model'!E505),IF(E495&lt;I494,I494*(1-'Trading Model'!$E$14),I494))</f>
        <v>21.486674060493748</v>
      </c>
      <c r="J495" s="198">
        <f t="shared" si="63"/>
        <v>0</v>
      </c>
      <c r="K495" s="198">
        <f t="shared" si="58"/>
        <v>0</v>
      </c>
      <c r="L495" s="198">
        <f>COUNTIF(J495:K495,"&lt;&gt;0")*-'Trading Model'!$E$15</f>
        <v>0</v>
      </c>
      <c r="M495" s="198">
        <f t="shared" si="56"/>
        <v>0</v>
      </c>
      <c r="N495" s="75">
        <f t="shared" si="59"/>
        <v>28</v>
      </c>
      <c r="O495" s="202">
        <f t="shared" si="60"/>
        <v>0</v>
      </c>
      <c r="P495" s="199">
        <f t="shared" si="57"/>
        <v>0</v>
      </c>
      <c r="Q495" s="203">
        <f t="shared" si="61"/>
        <v>76.800000000001319</v>
      </c>
      <c r="R495" s="203" t="s">
        <v>55</v>
      </c>
      <c r="S495" s="201">
        <f t="shared" si="62"/>
        <v>3.2414910858995505E-3</v>
      </c>
    </row>
    <row r="496" spans="1:19">
      <c r="A496" s="196">
        <v>40686</v>
      </c>
      <c r="B496" s="122">
        <v>24.639999</v>
      </c>
      <c r="C496" s="122">
        <v>24.700001</v>
      </c>
      <c r="D496" s="122">
        <v>24.42</v>
      </c>
      <c r="E496" s="122">
        <v>24.59</v>
      </c>
      <c r="F496" s="122">
        <v>17.29917</v>
      </c>
      <c r="G496" s="197">
        <v>114600</v>
      </c>
      <c r="H496" s="198">
        <f>IF(AND(E495&gt;=H495,E496&gt;=E495),E495*(1+'Trading Model'!$E$13),IF(AND(E496&lt;E495,E495&gt;=H495),E496*(1+'Trading Model'!$E$13),H495))</f>
        <v>27.698998950000004</v>
      </c>
      <c r="I496" s="198">
        <f>IF(K496&gt;0,E496*(1-'Trading Model'!E506),IF(E496&lt;I495,I495*(1-'Trading Model'!$E$14),I495))</f>
        <v>21.486674060493748</v>
      </c>
      <c r="J496" s="198">
        <f t="shared" si="63"/>
        <v>0</v>
      </c>
      <c r="K496" s="198">
        <f t="shared" si="58"/>
        <v>0</v>
      </c>
      <c r="L496" s="198">
        <f>COUNTIF(J496:K496,"&lt;&gt;0")*-'Trading Model'!$E$15</f>
        <v>0</v>
      </c>
      <c r="M496" s="198">
        <f t="shared" si="56"/>
        <v>0</v>
      </c>
      <c r="N496" s="75">
        <f t="shared" si="59"/>
        <v>28</v>
      </c>
      <c r="O496" s="202">
        <f t="shared" si="60"/>
        <v>0</v>
      </c>
      <c r="P496" s="199">
        <f t="shared" si="57"/>
        <v>0</v>
      </c>
      <c r="Q496" s="203">
        <f t="shared" si="61"/>
        <v>76.700000000001324</v>
      </c>
      <c r="R496" s="203" t="s">
        <v>55</v>
      </c>
      <c r="S496" s="201">
        <f t="shared" si="62"/>
        <v>-6.8659127625202432E-3</v>
      </c>
    </row>
    <row r="497" spans="1:19">
      <c r="A497" s="196">
        <v>40687</v>
      </c>
      <c r="B497" s="122">
        <v>25.09</v>
      </c>
      <c r="C497" s="122">
        <v>25.09</v>
      </c>
      <c r="D497" s="122">
        <v>24.370000999999998</v>
      </c>
      <c r="E497" s="122">
        <v>24.6</v>
      </c>
      <c r="F497" s="122">
        <v>17.306206</v>
      </c>
      <c r="G497" s="197">
        <v>111600</v>
      </c>
      <c r="H497" s="198">
        <f>IF(AND(E496&gt;=H496,E497&gt;=E496),E496*(1+'Trading Model'!$E$13),IF(AND(E497&lt;E496,E496&gt;=H496),E497*(1+'Trading Model'!$E$13),H496))</f>
        <v>27.698998950000004</v>
      </c>
      <c r="I497" s="198">
        <f>IF(K497&gt;0,E497*(1-'Trading Model'!E507),IF(E497&lt;I496,I496*(1-'Trading Model'!$E$14),I496))</f>
        <v>21.486674060493748</v>
      </c>
      <c r="J497" s="198">
        <f t="shared" si="63"/>
        <v>0</v>
      </c>
      <c r="K497" s="198">
        <f t="shared" si="58"/>
        <v>0</v>
      </c>
      <c r="L497" s="198">
        <f>COUNTIF(J497:K497,"&lt;&gt;0")*-'Trading Model'!$E$15</f>
        <v>0</v>
      </c>
      <c r="M497" s="198">
        <f t="shared" si="56"/>
        <v>0</v>
      </c>
      <c r="N497" s="75">
        <f t="shared" si="59"/>
        <v>28</v>
      </c>
      <c r="O497" s="202">
        <f t="shared" si="60"/>
        <v>0</v>
      </c>
      <c r="P497" s="199">
        <f t="shared" si="57"/>
        <v>0</v>
      </c>
      <c r="Q497" s="203">
        <f t="shared" si="61"/>
        <v>76.700000000001324</v>
      </c>
      <c r="R497" s="201">
        <f>E497/B493-1</f>
        <v>1.6287052780417088E-3</v>
      </c>
      <c r="S497" s="201">
        <f t="shared" si="62"/>
        <v>4.0666937779598733E-4</v>
      </c>
    </row>
    <row r="498" spans="1:19">
      <c r="A498" s="196">
        <v>40688</v>
      </c>
      <c r="B498" s="122">
        <v>24.68</v>
      </c>
      <c r="C498" s="122">
        <v>24.84</v>
      </c>
      <c r="D498" s="122">
        <v>24.450001</v>
      </c>
      <c r="E498" s="122">
        <v>24.709999</v>
      </c>
      <c r="F498" s="122">
        <v>17.383589000000001</v>
      </c>
      <c r="G498" s="197">
        <v>77400</v>
      </c>
      <c r="H498" s="198">
        <f>IF(AND(E497&gt;=H497,E498&gt;=E497),E497*(1+'Trading Model'!$E$13),IF(AND(E498&lt;E497,E497&gt;=H497),E498*(1+'Trading Model'!$E$13),H497))</f>
        <v>27.698998950000004</v>
      </c>
      <c r="I498" s="198">
        <f>IF(K498&gt;0,E498*(1-'Trading Model'!E508),IF(E498&lt;I497,I497*(1-'Trading Model'!$E$14),I497))</f>
        <v>21.486674060493748</v>
      </c>
      <c r="J498" s="198">
        <f t="shared" si="63"/>
        <v>0</v>
      </c>
      <c r="K498" s="198">
        <f t="shared" si="58"/>
        <v>0</v>
      </c>
      <c r="L498" s="198">
        <f>COUNTIF(J498:K498,"&lt;&gt;0")*-'Trading Model'!$E$15</f>
        <v>0</v>
      </c>
      <c r="M498" s="198">
        <f t="shared" si="56"/>
        <v>0</v>
      </c>
      <c r="N498" s="75">
        <f t="shared" si="59"/>
        <v>28</v>
      </c>
      <c r="O498" s="202">
        <f t="shared" si="60"/>
        <v>0</v>
      </c>
      <c r="P498" s="199">
        <f t="shared" si="57"/>
        <v>0</v>
      </c>
      <c r="Q498" s="203">
        <f t="shared" si="61"/>
        <v>76.700000000001324</v>
      </c>
      <c r="R498" s="160" t="s">
        <v>55</v>
      </c>
      <c r="S498" s="201">
        <f t="shared" si="62"/>
        <v>4.471504065040488E-3</v>
      </c>
    </row>
    <row r="499" spans="1:19">
      <c r="A499" s="196">
        <v>40689</v>
      </c>
      <c r="B499" s="122">
        <v>24.629999000000002</v>
      </c>
      <c r="C499" s="122">
        <v>24.690000999999999</v>
      </c>
      <c r="D499" s="122">
        <v>24.299999</v>
      </c>
      <c r="E499" s="122">
        <v>24.540001</v>
      </c>
      <c r="F499" s="122">
        <v>17.263994</v>
      </c>
      <c r="G499" s="197">
        <v>128300</v>
      </c>
      <c r="H499" s="198">
        <f>IF(AND(E498&gt;=H498,E499&gt;=E498),E498*(1+'Trading Model'!$E$13),IF(AND(E499&lt;E498,E498&gt;=H498),E499*(1+'Trading Model'!$E$13),H498))</f>
        <v>27.698998950000004</v>
      </c>
      <c r="I499" s="198">
        <f>IF(K499&gt;0,E499*(1-'Trading Model'!E509),IF(E499&lt;I498,I498*(1-'Trading Model'!$E$14),I498))</f>
        <v>21.486674060493748</v>
      </c>
      <c r="J499" s="198">
        <f t="shared" si="63"/>
        <v>0</v>
      </c>
      <c r="K499" s="198">
        <f t="shared" si="58"/>
        <v>0</v>
      </c>
      <c r="L499" s="198">
        <f>COUNTIF(J499:K499,"&lt;&gt;0")*-'Trading Model'!$E$15</f>
        <v>0</v>
      </c>
      <c r="M499" s="198">
        <f t="shared" si="56"/>
        <v>0</v>
      </c>
      <c r="N499" s="75">
        <f t="shared" si="59"/>
        <v>28</v>
      </c>
      <c r="O499" s="202">
        <f t="shared" si="60"/>
        <v>0</v>
      </c>
      <c r="P499" s="199">
        <f t="shared" si="57"/>
        <v>0</v>
      </c>
      <c r="Q499" s="203">
        <f t="shared" si="61"/>
        <v>76.60000000000133</v>
      </c>
      <c r="R499" s="203" t="s">
        <v>55</v>
      </c>
      <c r="S499" s="201">
        <f t="shared" si="62"/>
        <v>-6.879725086188726E-3</v>
      </c>
    </row>
    <row r="500" spans="1:19">
      <c r="A500" s="196">
        <v>40690</v>
      </c>
      <c r="B500" s="122">
        <v>24.690000999999999</v>
      </c>
      <c r="C500" s="122">
        <v>24.75</v>
      </c>
      <c r="D500" s="122">
        <v>24.459999</v>
      </c>
      <c r="E500" s="122">
        <v>24.690000999999999</v>
      </c>
      <c r="F500" s="122">
        <v>17.369517999999999</v>
      </c>
      <c r="G500" s="197">
        <v>126800</v>
      </c>
      <c r="H500" s="198">
        <f>IF(AND(E499&gt;=H499,E500&gt;=E499),E499*(1+'Trading Model'!$E$13),IF(AND(E500&lt;E499,E499&gt;=H499),E500*(1+'Trading Model'!$E$13),H499))</f>
        <v>27.698998950000004</v>
      </c>
      <c r="I500" s="198">
        <f>IF(K500&gt;0,E500*(1-'Trading Model'!E510),IF(E500&lt;I499,I499*(1-'Trading Model'!$E$14),I499))</f>
        <v>21.486674060493748</v>
      </c>
      <c r="J500" s="198">
        <f t="shared" si="63"/>
        <v>0</v>
      </c>
      <c r="K500" s="198">
        <f t="shared" si="58"/>
        <v>0</v>
      </c>
      <c r="L500" s="198">
        <f>COUNTIF(J500:K500,"&lt;&gt;0")*-'Trading Model'!$E$15</f>
        <v>0</v>
      </c>
      <c r="M500" s="198">
        <f t="shared" si="56"/>
        <v>0</v>
      </c>
      <c r="N500" s="75">
        <f t="shared" si="59"/>
        <v>28</v>
      </c>
      <c r="O500" s="202">
        <f t="shared" si="60"/>
        <v>0</v>
      </c>
      <c r="P500" s="199">
        <f t="shared" si="57"/>
        <v>0</v>
      </c>
      <c r="Q500" s="203">
        <f t="shared" si="61"/>
        <v>76.60000000000133</v>
      </c>
      <c r="R500" s="203" t="s">
        <v>55</v>
      </c>
      <c r="S500" s="201">
        <f t="shared" si="62"/>
        <v>6.1124691885707794E-3</v>
      </c>
    </row>
    <row r="501" spans="1:19">
      <c r="A501" s="196">
        <v>40694</v>
      </c>
      <c r="B501" s="122">
        <v>24.5</v>
      </c>
      <c r="C501" s="122">
        <v>24.549999</v>
      </c>
      <c r="D501" s="122">
        <v>23.889999</v>
      </c>
      <c r="E501" s="122">
        <v>24.1</v>
      </c>
      <c r="F501" s="122">
        <v>16.954453999999998</v>
      </c>
      <c r="G501" s="197">
        <v>214100</v>
      </c>
      <c r="H501" s="198">
        <f>IF(AND(E500&gt;=H500,E501&gt;=E500),E500*(1+'Trading Model'!$E$13),IF(AND(E501&lt;E500,E500&gt;=H500),E501*(1+'Trading Model'!$E$13),H500))</f>
        <v>27.698998950000004</v>
      </c>
      <c r="I501" s="198">
        <f>IF(K501&gt;0,E501*(1-'Trading Model'!E511),IF(E501&lt;I500,I500*(1-'Trading Model'!$E$14),I500))</f>
        <v>21.486674060493748</v>
      </c>
      <c r="J501" s="198">
        <f t="shared" si="63"/>
        <v>0</v>
      </c>
      <c r="K501" s="198">
        <f t="shared" si="58"/>
        <v>0</v>
      </c>
      <c r="L501" s="198">
        <f>COUNTIF(J501:K501,"&lt;&gt;0")*-'Trading Model'!$E$15</f>
        <v>0</v>
      </c>
      <c r="M501" s="198">
        <f t="shared" si="56"/>
        <v>0</v>
      </c>
      <c r="N501" s="75">
        <f t="shared" si="59"/>
        <v>28</v>
      </c>
      <c r="O501" s="202">
        <f t="shared" si="60"/>
        <v>0</v>
      </c>
      <c r="P501" s="199">
        <f t="shared" si="57"/>
        <v>0</v>
      </c>
      <c r="Q501" s="203">
        <f t="shared" si="61"/>
        <v>76.500000000001336</v>
      </c>
      <c r="R501" s="203" t="s">
        <v>55</v>
      </c>
      <c r="S501" s="201">
        <f t="shared" si="62"/>
        <v>-2.3896353831658335E-2</v>
      </c>
    </row>
    <row r="502" spans="1:19">
      <c r="A502" s="196">
        <v>40695</v>
      </c>
      <c r="B502" s="122">
        <v>24.1</v>
      </c>
      <c r="C502" s="122">
        <v>24.1</v>
      </c>
      <c r="D502" s="122">
        <v>23.440000999999999</v>
      </c>
      <c r="E502" s="122">
        <v>23.48</v>
      </c>
      <c r="F502" s="122">
        <v>16.518277999999999</v>
      </c>
      <c r="G502" s="197">
        <v>155800</v>
      </c>
      <c r="H502" s="198">
        <f>IF(AND(E501&gt;=H501,E502&gt;=E501),E501*(1+'Trading Model'!$E$13),IF(AND(E502&lt;E501,E501&gt;=H501),E502*(1+'Trading Model'!$E$13),H501))</f>
        <v>27.698998950000004</v>
      </c>
      <c r="I502" s="198">
        <f>IF(K502&gt;0,E502*(1-'Trading Model'!E512),IF(E502&lt;I501,I501*(1-'Trading Model'!$E$14),I501))</f>
        <v>21.486674060493748</v>
      </c>
      <c r="J502" s="198">
        <f t="shared" si="63"/>
        <v>0</v>
      </c>
      <c r="K502" s="198">
        <f t="shared" si="58"/>
        <v>0</v>
      </c>
      <c r="L502" s="198">
        <f>COUNTIF(J502:K502,"&lt;&gt;0")*-'Trading Model'!$E$15</f>
        <v>0</v>
      </c>
      <c r="M502" s="198">
        <f t="shared" si="56"/>
        <v>0</v>
      </c>
      <c r="N502" s="75">
        <f t="shared" si="59"/>
        <v>28</v>
      </c>
      <c r="O502" s="202">
        <f t="shared" si="60"/>
        <v>0</v>
      </c>
      <c r="P502" s="199">
        <f t="shared" si="57"/>
        <v>0</v>
      </c>
      <c r="Q502" s="203">
        <f t="shared" si="61"/>
        <v>76.400000000001342</v>
      </c>
      <c r="R502" s="201">
        <f>E502/B498-1</f>
        <v>-4.8622366288492702E-2</v>
      </c>
      <c r="S502" s="201">
        <f t="shared" si="62"/>
        <v>-2.5726141078838194E-2</v>
      </c>
    </row>
    <row r="503" spans="1:19">
      <c r="A503" s="196">
        <v>40696</v>
      </c>
      <c r="B503" s="122">
        <v>23.48</v>
      </c>
      <c r="C503" s="122">
        <v>23.51</v>
      </c>
      <c r="D503" s="122">
        <v>23.15</v>
      </c>
      <c r="E503" s="122">
        <v>23.24</v>
      </c>
      <c r="F503" s="122">
        <v>16.349440000000001</v>
      </c>
      <c r="G503" s="197">
        <v>204400</v>
      </c>
      <c r="H503" s="198">
        <f>IF(AND(E502&gt;=H502,E503&gt;=E502),E502*(1+'Trading Model'!$E$13),IF(AND(E503&lt;E502,E502&gt;=H502),E503*(1+'Trading Model'!$E$13),H502))</f>
        <v>27.698998950000004</v>
      </c>
      <c r="I503" s="198">
        <f>IF(K503&gt;0,E503*(1-'Trading Model'!E513),IF(E503&lt;I502,I502*(1-'Trading Model'!$E$14),I502))</f>
        <v>21.486674060493748</v>
      </c>
      <c r="J503" s="198">
        <f t="shared" si="63"/>
        <v>0</v>
      </c>
      <c r="K503" s="198">
        <f t="shared" si="58"/>
        <v>0</v>
      </c>
      <c r="L503" s="198">
        <f>COUNTIF(J503:K503,"&lt;&gt;0")*-'Trading Model'!$E$15</f>
        <v>0</v>
      </c>
      <c r="M503" s="198">
        <f t="shared" si="56"/>
        <v>0</v>
      </c>
      <c r="N503" s="75">
        <f t="shared" si="59"/>
        <v>28</v>
      </c>
      <c r="O503" s="202">
        <f t="shared" si="60"/>
        <v>0</v>
      </c>
      <c r="P503" s="199">
        <f t="shared" si="57"/>
        <v>0</v>
      </c>
      <c r="Q503" s="203">
        <f t="shared" si="61"/>
        <v>76.300000000001347</v>
      </c>
      <c r="R503" s="160" t="s">
        <v>55</v>
      </c>
      <c r="S503" s="201">
        <f t="shared" si="62"/>
        <v>-1.0221465076661107E-2</v>
      </c>
    </row>
    <row r="504" spans="1:19">
      <c r="A504" s="196">
        <v>40697</v>
      </c>
      <c r="B504" s="122">
        <v>23.059999000000001</v>
      </c>
      <c r="C504" s="122">
        <v>23.16</v>
      </c>
      <c r="D504" s="122">
        <v>22.82</v>
      </c>
      <c r="E504" s="122">
        <v>22.85</v>
      </c>
      <c r="F504" s="122">
        <v>16.075073</v>
      </c>
      <c r="G504" s="197">
        <v>172500</v>
      </c>
      <c r="H504" s="198">
        <f>IF(AND(E503&gt;=H503,E504&gt;=E503),E503*(1+'Trading Model'!$E$13),IF(AND(E504&lt;E503,E503&gt;=H503),E504*(1+'Trading Model'!$E$13),H503))</f>
        <v>27.698998950000004</v>
      </c>
      <c r="I504" s="198">
        <f>IF(K504&gt;0,E504*(1-'Trading Model'!E514),IF(E504&lt;I503,I503*(1-'Trading Model'!$E$14),I503))</f>
        <v>21.486674060493748</v>
      </c>
      <c r="J504" s="198">
        <f t="shared" si="63"/>
        <v>0</v>
      </c>
      <c r="K504" s="198">
        <f t="shared" si="58"/>
        <v>0</v>
      </c>
      <c r="L504" s="198">
        <f>COUNTIF(J504:K504,"&lt;&gt;0")*-'Trading Model'!$E$15</f>
        <v>0</v>
      </c>
      <c r="M504" s="198">
        <f t="shared" si="56"/>
        <v>0</v>
      </c>
      <c r="N504" s="75">
        <f t="shared" si="59"/>
        <v>28</v>
      </c>
      <c r="O504" s="202">
        <f t="shared" si="60"/>
        <v>0</v>
      </c>
      <c r="P504" s="199">
        <f t="shared" si="57"/>
        <v>0</v>
      </c>
      <c r="Q504" s="203">
        <f t="shared" si="61"/>
        <v>76.200000000001353</v>
      </c>
      <c r="R504" s="203" t="s">
        <v>55</v>
      </c>
      <c r="S504" s="201">
        <f t="shared" si="62"/>
        <v>-1.6781411359724441E-2</v>
      </c>
    </row>
    <row r="505" spans="1:19">
      <c r="A505" s="196">
        <v>40700</v>
      </c>
      <c r="B505" s="122">
        <v>22.889999</v>
      </c>
      <c r="C505" s="122">
        <v>23.09</v>
      </c>
      <c r="D505" s="122">
        <v>22.57</v>
      </c>
      <c r="E505" s="122">
        <v>22.98</v>
      </c>
      <c r="F505" s="122">
        <v>16.166529000000001</v>
      </c>
      <c r="G505" s="197">
        <v>141400</v>
      </c>
      <c r="H505" s="198">
        <f>IF(AND(E504&gt;=H504,E505&gt;=E504),E504*(1+'Trading Model'!$E$13),IF(AND(E505&lt;E504,E504&gt;=H504),E505*(1+'Trading Model'!$E$13),H504))</f>
        <v>27.698998950000004</v>
      </c>
      <c r="I505" s="198">
        <f>IF(K505&gt;0,E505*(1-'Trading Model'!E515),IF(E505&lt;I504,I504*(1-'Trading Model'!$E$14),I504))</f>
        <v>21.486674060493748</v>
      </c>
      <c r="J505" s="198">
        <f t="shared" si="63"/>
        <v>0</v>
      </c>
      <c r="K505" s="198">
        <f t="shared" si="58"/>
        <v>0</v>
      </c>
      <c r="L505" s="198">
        <f>COUNTIF(J505:K505,"&lt;&gt;0")*-'Trading Model'!$E$15</f>
        <v>0</v>
      </c>
      <c r="M505" s="198">
        <f t="shared" si="56"/>
        <v>0</v>
      </c>
      <c r="N505" s="75">
        <f t="shared" si="59"/>
        <v>28</v>
      </c>
      <c r="O505" s="202">
        <f t="shared" si="60"/>
        <v>0</v>
      </c>
      <c r="P505" s="199">
        <f t="shared" si="57"/>
        <v>0</v>
      </c>
      <c r="Q505" s="203">
        <f t="shared" si="61"/>
        <v>76.200000000001353</v>
      </c>
      <c r="R505" s="203" t="s">
        <v>55</v>
      </c>
      <c r="S505" s="201">
        <f t="shared" si="62"/>
        <v>5.6892778993435922E-3</v>
      </c>
    </row>
    <row r="506" spans="1:19">
      <c r="A506" s="196">
        <v>40701</v>
      </c>
      <c r="B506" s="122">
        <v>23.219999000000001</v>
      </c>
      <c r="C506" s="122">
        <v>23.559999000000001</v>
      </c>
      <c r="D506" s="122">
        <v>23.01</v>
      </c>
      <c r="E506" s="122">
        <v>23.41</v>
      </c>
      <c r="F506" s="122">
        <v>16.469038000000001</v>
      </c>
      <c r="G506" s="197">
        <v>145900</v>
      </c>
      <c r="H506" s="198">
        <f>IF(AND(E505&gt;=H505,E506&gt;=E505),E505*(1+'Trading Model'!$E$13),IF(AND(E506&lt;E505,E505&gt;=H505),E506*(1+'Trading Model'!$E$13),H505))</f>
        <v>27.698998950000004</v>
      </c>
      <c r="I506" s="198">
        <f>IF(K506&gt;0,E506*(1-'Trading Model'!E516),IF(E506&lt;I505,I505*(1-'Trading Model'!$E$14),I505))</f>
        <v>21.486674060493748</v>
      </c>
      <c r="J506" s="198">
        <f t="shared" si="63"/>
        <v>0</v>
      </c>
      <c r="K506" s="198">
        <f t="shared" si="58"/>
        <v>0</v>
      </c>
      <c r="L506" s="198">
        <f>COUNTIF(J506:K506,"&lt;&gt;0")*-'Trading Model'!$E$15</f>
        <v>0</v>
      </c>
      <c r="M506" s="198">
        <f t="shared" si="56"/>
        <v>0</v>
      </c>
      <c r="N506" s="75">
        <f t="shared" si="59"/>
        <v>28</v>
      </c>
      <c r="O506" s="202">
        <f t="shared" si="60"/>
        <v>0</v>
      </c>
      <c r="P506" s="199">
        <f t="shared" si="57"/>
        <v>0</v>
      </c>
      <c r="Q506" s="203">
        <f t="shared" si="61"/>
        <v>76.200000000001353</v>
      </c>
      <c r="R506" s="203" t="s">
        <v>55</v>
      </c>
      <c r="S506" s="201">
        <f t="shared" si="62"/>
        <v>1.871192341166239E-2</v>
      </c>
    </row>
    <row r="507" spans="1:19">
      <c r="A507" s="196">
        <v>40702</v>
      </c>
      <c r="B507" s="122">
        <v>23.48</v>
      </c>
      <c r="C507" s="122">
        <v>23.549999</v>
      </c>
      <c r="D507" s="122">
        <v>23.139999</v>
      </c>
      <c r="E507" s="122">
        <v>23.23</v>
      </c>
      <c r="F507" s="122">
        <v>16.342404999999999</v>
      </c>
      <c r="G507" s="197">
        <v>155300</v>
      </c>
      <c r="H507" s="198">
        <f>IF(AND(E506&gt;=H506,E507&gt;=E506),E506*(1+'Trading Model'!$E$13),IF(AND(E507&lt;E506,E506&gt;=H506),E507*(1+'Trading Model'!$E$13),H506))</f>
        <v>27.698998950000004</v>
      </c>
      <c r="I507" s="198">
        <f>IF(K507&gt;0,E507*(1-'Trading Model'!E517),IF(E507&lt;I506,I506*(1-'Trading Model'!$E$14),I506))</f>
        <v>21.486674060493748</v>
      </c>
      <c r="J507" s="198">
        <f t="shared" si="63"/>
        <v>0</v>
      </c>
      <c r="K507" s="198">
        <f t="shared" si="58"/>
        <v>0</v>
      </c>
      <c r="L507" s="198">
        <f>COUNTIF(J507:K507,"&lt;&gt;0")*-'Trading Model'!$E$15</f>
        <v>0</v>
      </c>
      <c r="M507" s="198">
        <f t="shared" si="56"/>
        <v>0</v>
      </c>
      <c r="N507" s="75">
        <f t="shared" si="59"/>
        <v>28</v>
      </c>
      <c r="O507" s="202">
        <f t="shared" si="60"/>
        <v>0</v>
      </c>
      <c r="P507" s="199">
        <f t="shared" si="57"/>
        <v>0</v>
      </c>
      <c r="Q507" s="203">
        <f t="shared" si="61"/>
        <v>76.100000000001359</v>
      </c>
      <c r="R507" s="201">
        <f>E507/B503-1</f>
        <v>-1.0647359454855176E-2</v>
      </c>
      <c r="S507" s="201">
        <f t="shared" si="62"/>
        <v>-7.6890217855617449E-3</v>
      </c>
    </row>
    <row r="508" spans="1:19">
      <c r="A508" s="196">
        <v>40703</v>
      </c>
      <c r="B508" s="122">
        <v>23.35</v>
      </c>
      <c r="C508" s="122">
        <v>23.709999</v>
      </c>
      <c r="D508" s="122">
        <v>23.26</v>
      </c>
      <c r="E508" s="122">
        <v>23.65</v>
      </c>
      <c r="F508" s="122">
        <v>16.637875000000001</v>
      </c>
      <c r="G508" s="197">
        <v>103100</v>
      </c>
      <c r="H508" s="198">
        <f>IF(AND(E507&gt;=H507,E508&gt;=E507),E507*(1+'Trading Model'!$E$13),IF(AND(E508&lt;E507,E507&gt;=H507),E508*(1+'Trading Model'!$E$13),H507))</f>
        <v>27.698998950000004</v>
      </c>
      <c r="I508" s="198">
        <f>IF(K508&gt;0,E508*(1-'Trading Model'!E518),IF(E508&lt;I507,I507*(1-'Trading Model'!$E$14),I507))</f>
        <v>21.486674060493748</v>
      </c>
      <c r="J508" s="198">
        <f t="shared" si="63"/>
        <v>0</v>
      </c>
      <c r="K508" s="198">
        <f t="shared" si="58"/>
        <v>0</v>
      </c>
      <c r="L508" s="198">
        <f>COUNTIF(J508:K508,"&lt;&gt;0")*-'Trading Model'!$E$15</f>
        <v>0</v>
      </c>
      <c r="M508" s="198">
        <f t="shared" si="56"/>
        <v>0</v>
      </c>
      <c r="N508" s="75">
        <f t="shared" si="59"/>
        <v>28</v>
      </c>
      <c r="O508" s="202">
        <f t="shared" si="60"/>
        <v>0</v>
      </c>
      <c r="P508" s="199">
        <f t="shared" si="57"/>
        <v>0</v>
      </c>
      <c r="Q508" s="203">
        <f t="shared" si="61"/>
        <v>76.100000000001359</v>
      </c>
      <c r="R508" s="160" t="s">
        <v>55</v>
      </c>
      <c r="S508" s="201">
        <f t="shared" si="62"/>
        <v>1.8080068876452859E-2</v>
      </c>
    </row>
    <row r="509" spans="1:19">
      <c r="A509" s="196">
        <v>40704</v>
      </c>
      <c r="B509" s="122">
        <v>23.67</v>
      </c>
      <c r="C509" s="122">
        <v>23.940000999999999</v>
      </c>
      <c r="D509" s="122">
        <v>23.32</v>
      </c>
      <c r="E509" s="122">
        <v>23.700001</v>
      </c>
      <c r="F509" s="122">
        <v>16.673051999999998</v>
      </c>
      <c r="G509" s="197">
        <v>185700</v>
      </c>
      <c r="H509" s="198">
        <f>IF(AND(E508&gt;=H508,E509&gt;=E508),E508*(1+'Trading Model'!$E$13),IF(AND(E509&lt;E508,E508&gt;=H508),E509*(1+'Trading Model'!$E$13),H508))</f>
        <v>27.698998950000004</v>
      </c>
      <c r="I509" s="198">
        <f>IF(K509&gt;0,E509*(1-'Trading Model'!E519),IF(E509&lt;I508,I508*(1-'Trading Model'!$E$14),I508))</f>
        <v>21.486674060493748</v>
      </c>
      <c r="J509" s="198">
        <f t="shared" si="63"/>
        <v>0</v>
      </c>
      <c r="K509" s="198">
        <f t="shared" si="58"/>
        <v>0</v>
      </c>
      <c r="L509" s="198">
        <f>COUNTIF(J509:K509,"&lt;&gt;0")*-'Trading Model'!$E$15</f>
        <v>0</v>
      </c>
      <c r="M509" s="198">
        <f t="shared" si="56"/>
        <v>0</v>
      </c>
      <c r="N509" s="75">
        <f t="shared" si="59"/>
        <v>28</v>
      </c>
      <c r="O509" s="202">
        <f t="shared" si="60"/>
        <v>0</v>
      </c>
      <c r="P509" s="199">
        <f t="shared" si="57"/>
        <v>0</v>
      </c>
      <c r="Q509" s="203">
        <f t="shared" si="61"/>
        <v>76.100000000001359</v>
      </c>
      <c r="R509" s="203" t="s">
        <v>55</v>
      </c>
      <c r="S509" s="201">
        <f t="shared" si="62"/>
        <v>2.1142071881607993E-3</v>
      </c>
    </row>
    <row r="510" spans="1:19">
      <c r="A510" s="196">
        <v>40707</v>
      </c>
      <c r="B510" s="122">
        <v>23.92</v>
      </c>
      <c r="C510" s="122">
        <v>24.040001</v>
      </c>
      <c r="D510" s="122">
        <v>23.73</v>
      </c>
      <c r="E510" s="122">
        <v>23.91</v>
      </c>
      <c r="F510" s="122">
        <v>16.820786999999999</v>
      </c>
      <c r="G510" s="197">
        <v>141800</v>
      </c>
      <c r="H510" s="198">
        <f>IF(AND(E509&gt;=H509,E510&gt;=E509),E509*(1+'Trading Model'!$E$13),IF(AND(E510&lt;E509,E509&gt;=H509),E510*(1+'Trading Model'!$E$13),H509))</f>
        <v>27.698998950000004</v>
      </c>
      <c r="I510" s="198">
        <f>IF(K510&gt;0,E510*(1-'Trading Model'!E520),IF(E510&lt;I509,I509*(1-'Trading Model'!$E$14),I509))</f>
        <v>21.486674060493748</v>
      </c>
      <c r="J510" s="198">
        <f t="shared" si="63"/>
        <v>0</v>
      </c>
      <c r="K510" s="198">
        <f t="shared" si="58"/>
        <v>0</v>
      </c>
      <c r="L510" s="198">
        <f>COUNTIF(J510:K510,"&lt;&gt;0")*-'Trading Model'!$E$15</f>
        <v>0</v>
      </c>
      <c r="M510" s="198">
        <f t="shared" si="56"/>
        <v>0</v>
      </c>
      <c r="N510" s="75">
        <f t="shared" si="59"/>
        <v>28</v>
      </c>
      <c r="O510" s="202">
        <f t="shared" si="60"/>
        <v>0</v>
      </c>
      <c r="P510" s="199">
        <f t="shared" si="57"/>
        <v>0</v>
      </c>
      <c r="Q510" s="203">
        <f t="shared" si="61"/>
        <v>76.100000000001359</v>
      </c>
      <c r="R510" s="203" t="s">
        <v>55</v>
      </c>
      <c r="S510" s="201">
        <f t="shared" si="62"/>
        <v>8.860716925708223E-3</v>
      </c>
    </row>
    <row r="511" spans="1:19">
      <c r="A511" s="196">
        <v>40708</v>
      </c>
      <c r="B511" s="122">
        <v>24.18</v>
      </c>
      <c r="C511" s="122">
        <v>24.700001</v>
      </c>
      <c r="D511" s="122">
        <v>24.18</v>
      </c>
      <c r="E511" s="122">
        <v>24.65</v>
      </c>
      <c r="F511" s="122">
        <v>17.341380999999998</v>
      </c>
      <c r="G511" s="197">
        <v>200300</v>
      </c>
      <c r="H511" s="198">
        <f>IF(AND(E510&gt;=H510,E511&gt;=E510),E510*(1+'Trading Model'!$E$13),IF(AND(E511&lt;E510,E510&gt;=H510),E511*(1+'Trading Model'!$E$13),H510))</f>
        <v>27.698998950000004</v>
      </c>
      <c r="I511" s="198">
        <f>IF(K511&gt;0,E511*(1-'Trading Model'!E521),IF(E511&lt;I510,I510*(1-'Trading Model'!$E$14),I510))</f>
        <v>21.486674060493748</v>
      </c>
      <c r="J511" s="198">
        <f t="shared" si="63"/>
        <v>0</v>
      </c>
      <c r="K511" s="198">
        <f t="shared" si="58"/>
        <v>0</v>
      </c>
      <c r="L511" s="198">
        <f>COUNTIF(J511:K511,"&lt;&gt;0")*-'Trading Model'!$E$15</f>
        <v>0</v>
      </c>
      <c r="M511" s="198">
        <f t="shared" si="56"/>
        <v>0</v>
      </c>
      <c r="N511" s="75">
        <f t="shared" si="59"/>
        <v>28</v>
      </c>
      <c r="O511" s="202">
        <f t="shared" si="60"/>
        <v>0</v>
      </c>
      <c r="P511" s="199">
        <f t="shared" si="57"/>
        <v>0</v>
      </c>
      <c r="Q511" s="203">
        <f t="shared" si="61"/>
        <v>76.100000000001359</v>
      </c>
      <c r="R511" s="203" t="s">
        <v>55</v>
      </c>
      <c r="S511" s="201">
        <f t="shared" si="62"/>
        <v>3.0949393559180249E-2</v>
      </c>
    </row>
    <row r="512" spans="1:19">
      <c r="A512" s="196">
        <v>40709</v>
      </c>
      <c r="B512" s="122">
        <v>24.57</v>
      </c>
      <c r="C512" s="122">
        <v>24.860001</v>
      </c>
      <c r="D512" s="122">
        <v>24.309999000000001</v>
      </c>
      <c r="E512" s="122">
        <v>24.469999000000001</v>
      </c>
      <c r="F512" s="122">
        <v>17.214748</v>
      </c>
      <c r="G512" s="197">
        <v>155300</v>
      </c>
      <c r="H512" s="198">
        <f>IF(AND(E511&gt;=H511,E512&gt;=E511),E511*(1+'Trading Model'!$E$13),IF(AND(E512&lt;E511,E511&gt;=H511),E512*(1+'Trading Model'!$E$13),H511))</f>
        <v>27.698998950000004</v>
      </c>
      <c r="I512" s="198">
        <f>IF(K512&gt;0,E512*(1-'Trading Model'!E522),IF(E512&lt;I511,I511*(1-'Trading Model'!$E$14),I511))</f>
        <v>21.486674060493748</v>
      </c>
      <c r="J512" s="198">
        <f t="shared" si="63"/>
        <v>0</v>
      </c>
      <c r="K512" s="198">
        <f t="shared" si="58"/>
        <v>0</v>
      </c>
      <c r="L512" s="198">
        <f>COUNTIF(J512:K512,"&lt;&gt;0")*-'Trading Model'!$E$15</f>
        <v>0</v>
      </c>
      <c r="M512" s="198">
        <f t="shared" si="56"/>
        <v>0</v>
      </c>
      <c r="N512" s="75">
        <f t="shared" si="59"/>
        <v>28</v>
      </c>
      <c r="O512" s="202">
        <f t="shared" si="60"/>
        <v>0</v>
      </c>
      <c r="P512" s="199">
        <f t="shared" si="57"/>
        <v>0</v>
      </c>
      <c r="Q512" s="203">
        <f t="shared" si="61"/>
        <v>76.000000000001364</v>
      </c>
      <c r="R512" s="201">
        <f>E512/B508-1</f>
        <v>4.7965695931477592E-2</v>
      </c>
      <c r="S512" s="201">
        <f t="shared" si="62"/>
        <v>-7.3022718052737634E-3</v>
      </c>
    </row>
    <row r="513" spans="1:19">
      <c r="A513" s="196">
        <v>40710</v>
      </c>
      <c r="B513" s="122">
        <v>24.52</v>
      </c>
      <c r="C513" s="122">
        <v>24.620000999999998</v>
      </c>
      <c r="D513" s="122">
        <v>23.85</v>
      </c>
      <c r="E513" s="122">
        <v>24.049999</v>
      </c>
      <c r="F513" s="122">
        <v>16.919277000000001</v>
      </c>
      <c r="G513" s="197">
        <v>171200</v>
      </c>
      <c r="H513" s="198">
        <f>IF(AND(E512&gt;=H512,E513&gt;=E512),E512*(1+'Trading Model'!$E$13),IF(AND(E513&lt;E512,E512&gt;=H512),E513*(1+'Trading Model'!$E$13),H512))</f>
        <v>27.698998950000004</v>
      </c>
      <c r="I513" s="198">
        <f>IF(K513&gt;0,E513*(1-'Trading Model'!E523),IF(E513&lt;I512,I512*(1-'Trading Model'!$E$14),I512))</f>
        <v>21.486674060493748</v>
      </c>
      <c r="J513" s="198">
        <f t="shared" si="63"/>
        <v>0</v>
      </c>
      <c r="K513" s="198">
        <f t="shared" si="58"/>
        <v>0</v>
      </c>
      <c r="L513" s="198">
        <f>COUNTIF(J513:K513,"&lt;&gt;0")*-'Trading Model'!$E$15</f>
        <v>0</v>
      </c>
      <c r="M513" s="198">
        <f t="shared" si="56"/>
        <v>0</v>
      </c>
      <c r="N513" s="75">
        <f t="shared" si="59"/>
        <v>28</v>
      </c>
      <c r="O513" s="202">
        <f t="shared" si="60"/>
        <v>0</v>
      </c>
      <c r="P513" s="199">
        <f t="shared" si="57"/>
        <v>0</v>
      </c>
      <c r="Q513" s="203">
        <f t="shared" si="61"/>
        <v>75.90000000000137</v>
      </c>
      <c r="R513" s="160" t="s">
        <v>55</v>
      </c>
      <c r="S513" s="201">
        <f t="shared" si="62"/>
        <v>-1.7163874833014958E-2</v>
      </c>
    </row>
    <row r="514" spans="1:19">
      <c r="A514" s="196">
        <v>40711</v>
      </c>
      <c r="B514" s="122">
        <v>24.48</v>
      </c>
      <c r="C514" s="122">
        <v>24.969999000000001</v>
      </c>
      <c r="D514" s="122">
        <v>24.35</v>
      </c>
      <c r="E514" s="122">
        <v>24.91</v>
      </c>
      <c r="F514" s="122">
        <v>17.524291999999999</v>
      </c>
      <c r="G514" s="197">
        <v>728200</v>
      </c>
      <c r="H514" s="198">
        <f>IF(AND(E513&gt;=H513,E514&gt;=E513),E513*(1+'Trading Model'!$E$13),IF(AND(E514&lt;E513,E513&gt;=H513),E514*(1+'Trading Model'!$E$13),H513))</f>
        <v>27.698998950000004</v>
      </c>
      <c r="I514" s="198">
        <f>IF(K514&gt;0,E514*(1-'Trading Model'!E524),IF(E514&lt;I513,I513*(1-'Trading Model'!$E$14),I513))</f>
        <v>21.486674060493748</v>
      </c>
      <c r="J514" s="198">
        <f t="shared" si="63"/>
        <v>0</v>
      </c>
      <c r="K514" s="198">
        <f t="shared" si="58"/>
        <v>0</v>
      </c>
      <c r="L514" s="198">
        <f>COUNTIF(J514:K514,"&lt;&gt;0")*-'Trading Model'!$E$15</f>
        <v>0</v>
      </c>
      <c r="M514" s="198">
        <f t="shared" si="56"/>
        <v>0</v>
      </c>
      <c r="N514" s="75">
        <f t="shared" si="59"/>
        <v>28</v>
      </c>
      <c r="O514" s="202">
        <f t="shared" si="60"/>
        <v>0</v>
      </c>
      <c r="P514" s="199">
        <f t="shared" si="57"/>
        <v>0</v>
      </c>
      <c r="Q514" s="203">
        <f t="shared" si="61"/>
        <v>75.90000000000137</v>
      </c>
      <c r="R514" s="203" t="s">
        <v>55</v>
      </c>
      <c r="S514" s="201">
        <f t="shared" si="62"/>
        <v>3.5758878825733031E-2</v>
      </c>
    </row>
    <row r="515" spans="1:19">
      <c r="A515" s="196">
        <v>40714</v>
      </c>
      <c r="B515" s="122">
        <v>24.799999</v>
      </c>
      <c r="C515" s="122">
        <v>25.799999</v>
      </c>
      <c r="D515" s="122">
        <v>24.68</v>
      </c>
      <c r="E515" s="122">
        <v>25.77</v>
      </c>
      <c r="F515" s="122">
        <v>18.129303</v>
      </c>
      <c r="G515" s="197">
        <v>378800</v>
      </c>
      <c r="H515" s="198">
        <f>IF(AND(E514&gt;=H514,E515&gt;=E514),E514*(1+'Trading Model'!$E$13),IF(AND(E515&lt;E514,E514&gt;=H514),E515*(1+'Trading Model'!$E$13),H514))</f>
        <v>27.698998950000004</v>
      </c>
      <c r="I515" s="198">
        <f>IF(K515&gt;0,E515*(1-'Trading Model'!E525),IF(E515&lt;I514,I514*(1-'Trading Model'!$E$14),I514))</f>
        <v>21.486674060493748</v>
      </c>
      <c r="J515" s="198">
        <f t="shared" si="63"/>
        <v>0</v>
      </c>
      <c r="K515" s="198">
        <f t="shared" si="58"/>
        <v>0</v>
      </c>
      <c r="L515" s="198">
        <f>COUNTIF(J515:K515,"&lt;&gt;0")*-'Trading Model'!$E$15</f>
        <v>0</v>
      </c>
      <c r="M515" s="198">
        <f t="shared" ref="M515:M578" si="64">SUM(J515:L515)</f>
        <v>0</v>
      </c>
      <c r="N515" s="75">
        <f t="shared" si="59"/>
        <v>28</v>
      </c>
      <c r="O515" s="202">
        <f t="shared" si="60"/>
        <v>0</v>
      </c>
      <c r="P515" s="199">
        <f t="shared" ref="P515:P578" si="65">IFERROR(VLOOKUP(A515,Dividends,2,FALSE),$U$1)</f>
        <v>0</v>
      </c>
      <c r="Q515" s="203">
        <f t="shared" si="61"/>
        <v>75.90000000000137</v>
      </c>
      <c r="R515" s="203" t="s">
        <v>55</v>
      </c>
      <c r="S515" s="201">
        <f t="shared" si="62"/>
        <v>3.45242874347651E-2</v>
      </c>
    </row>
    <row r="516" spans="1:19">
      <c r="A516" s="196">
        <v>40715</v>
      </c>
      <c r="B516" s="122">
        <v>26.01</v>
      </c>
      <c r="C516" s="122">
        <v>26.209999</v>
      </c>
      <c r="D516" s="122">
        <v>25.709999</v>
      </c>
      <c r="E516" s="122">
        <v>25.790001</v>
      </c>
      <c r="F516" s="122">
        <v>18.143373</v>
      </c>
      <c r="G516" s="197">
        <v>187400</v>
      </c>
      <c r="H516" s="198">
        <f>IF(AND(E515&gt;=H515,E516&gt;=E515),E515*(1+'Trading Model'!$E$13),IF(AND(E516&lt;E515,E515&gt;=H515),E516*(1+'Trading Model'!$E$13),H515))</f>
        <v>27.698998950000004</v>
      </c>
      <c r="I516" s="198">
        <f>IF(K516&gt;0,E516*(1-'Trading Model'!E526),IF(E516&lt;I515,I515*(1-'Trading Model'!$E$14),I515))</f>
        <v>21.486674060493748</v>
      </c>
      <c r="J516" s="198">
        <f t="shared" si="63"/>
        <v>0</v>
      </c>
      <c r="K516" s="198">
        <f t="shared" ref="K516:K579" si="66">IF(E516&gt;=H516,E516,0)</f>
        <v>0</v>
      </c>
      <c r="L516" s="198">
        <f>COUNTIF(J516:K516,"&lt;&gt;0")*-'Trading Model'!$E$15</f>
        <v>0</v>
      </c>
      <c r="M516" s="198">
        <f t="shared" si="64"/>
        <v>0</v>
      </c>
      <c r="N516" s="75">
        <f t="shared" ref="N516:N579" si="67">IF(AND(J516&lt;0,K516&gt;0),N515,(IF(J516&lt;0,N515+1,IF(K516&gt;0,N515+1,N515))))</f>
        <v>28</v>
      </c>
      <c r="O516" s="202">
        <f t="shared" ref="O516:O579" si="68">P516</f>
        <v>0</v>
      </c>
      <c r="P516" s="199">
        <f t="shared" si="65"/>
        <v>0</v>
      </c>
      <c r="Q516" s="203">
        <f t="shared" ref="Q516:Q579" si="69">IF(E516&lt;E515,Q515-0.1,Q515)</f>
        <v>75.90000000000137</v>
      </c>
      <c r="R516" s="203" t="s">
        <v>55</v>
      </c>
      <c r="S516" s="201">
        <f t="shared" ref="S516:S579" si="70">E516/E515-1</f>
        <v>7.7613504074514061E-4</v>
      </c>
    </row>
    <row r="517" spans="1:19">
      <c r="A517" s="196">
        <v>40716</v>
      </c>
      <c r="B517" s="122">
        <v>25.709999</v>
      </c>
      <c r="C517" s="122">
        <v>25.93</v>
      </c>
      <c r="D517" s="122">
        <v>25.379999000000002</v>
      </c>
      <c r="E517" s="122">
        <v>25.440000999999999</v>
      </c>
      <c r="F517" s="122">
        <v>17.897145999999999</v>
      </c>
      <c r="G517" s="197">
        <v>159200</v>
      </c>
      <c r="H517" s="198">
        <f>IF(AND(E516&gt;=H516,E517&gt;=E516),E516*(1+'Trading Model'!$E$13),IF(AND(E517&lt;E516,E516&gt;=H516),E517*(1+'Trading Model'!$E$13),H516))</f>
        <v>27.698998950000004</v>
      </c>
      <c r="I517" s="198">
        <f>IF(K517&gt;0,E517*(1-'Trading Model'!E527),IF(E517&lt;I516,I516*(1-'Trading Model'!$E$14),I516))</f>
        <v>21.486674060493748</v>
      </c>
      <c r="J517" s="198">
        <f t="shared" ref="J517:J580" si="71">IF(E517&gt;=H517,-E517,IF(E517&lt;=I516,-E517,0))</f>
        <v>0</v>
      </c>
      <c r="K517" s="198">
        <f t="shared" si="66"/>
        <v>0</v>
      </c>
      <c r="L517" s="198">
        <f>COUNTIF(J517:K517,"&lt;&gt;0")*-'Trading Model'!$E$15</f>
        <v>0</v>
      </c>
      <c r="M517" s="198">
        <f t="shared" si="64"/>
        <v>0</v>
      </c>
      <c r="N517" s="75">
        <f t="shared" si="67"/>
        <v>28</v>
      </c>
      <c r="O517" s="202">
        <f t="shared" si="68"/>
        <v>0</v>
      </c>
      <c r="P517" s="199">
        <f t="shared" si="65"/>
        <v>0</v>
      </c>
      <c r="Q517" s="203">
        <f t="shared" si="69"/>
        <v>75.800000000001376</v>
      </c>
      <c r="R517" s="201">
        <f>E517/B513-1</f>
        <v>3.7520432300162998E-2</v>
      </c>
      <c r="S517" s="201">
        <f t="shared" si="70"/>
        <v>-1.3571151082933275E-2</v>
      </c>
    </row>
    <row r="518" spans="1:19">
      <c r="A518" s="196">
        <v>40717</v>
      </c>
      <c r="B518" s="122">
        <v>25.27</v>
      </c>
      <c r="C518" s="122">
        <v>25.59</v>
      </c>
      <c r="D518" s="122">
        <v>24.92</v>
      </c>
      <c r="E518" s="122">
        <v>25.57</v>
      </c>
      <c r="F518" s="122">
        <v>17.988602</v>
      </c>
      <c r="G518" s="197">
        <v>136100</v>
      </c>
      <c r="H518" s="198">
        <f>IF(AND(E517&gt;=H517,E518&gt;=E517),E517*(1+'Trading Model'!$E$13),IF(AND(E518&lt;E517,E517&gt;=H517),E518*(1+'Trading Model'!$E$13),H517))</f>
        <v>27.698998950000004</v>
      </c>
      <c r="I518" s="198">
        <f>IF(K518&gt;0,E518*(1-'Trading Model'!E528),IF(E518&lt;I517,I517*(1-'Trading Model'!$E$14),I517))</f>
        <v>21.486674060493748</v>
      </c>
      <c r="J518" s="198">
        <f t="shared" si="71"/>
        <v>0</v>
      </c>
      <c r="K518" s="198">
        <f t="shared" si="66"/>
        <v>0</v>
      </c>
      <c r="L518" s="198">
        <f>COUNTIF(J518:K518,"&lt;&gt;0")*-'Trading Model'!$E$15</f>
        <v>0</v>
      </c>
      <c r="M518" s="198">
        <f t="shared" si="64"/>
        <v>0</v>
      </c>
      <c r="N518" s="75">
        <f t="shared" si="67"/>
        <v>28</v>
      </c>
      <c r="O518" s="202">
        <f t="shared" si="68"/>
        <v>0</v>
      </c>
      <c r="P518" s="199">
        <f t="shared" si="65"/>
        <v>0</v>
      </c>
      <c r="Q518" s="203">
        <f t="shared" si="69"/>
        <v>75.800000000001376</v>
      </c>
      <c r="R518" s="160" t="s">
        <v>55</v>
      </c>
      <c r="S518" s="201">
        <f t="shared" si="70"/>
        <v>5.1100233840399856E-3</v>
      </c>
    </row>
    <row r="519" spans="1:19">
      <c r="A519" s="196">
        <v>40718</v>
      </c>
      <c r="B519" s="122">
        <v>25.74</v>
      </c>
      <c r="C519" s="122">
        <v>25.74</v>
      </c>
      <c r="D519" s="122">
        <v>25.15</v>
      </c>
      <c r="E519" s="122">
        <v>25.299999</v>
      </c>
      <c r="F519" s="122">
        <v>17.798660000000002</v>
      </c>
      <c r="G519" s="197">
        <v>91600</v>
      </c>
      <c r="H519" s="198">
        <f>IF(AND(E518&gt;=H518,E519&gt;=E518),E518*(1+'Trading Model'!$E$13),IF(AND(E519&lt;E518,E518&gt;=H518),E519*(1+'Trading Model'!$E$13),H518))</f>
        <v>27.698998950000004</v>
      </c>
      <c r="I519" s="198">
        <f>IF(K519&gt;0,E519*(1-'Trading Model'!E529),IF(E519&lt;I518,I518*(1-'Trading Model'!$E$14),I518))</f>
        <v>21.486674060493748</v>
      </c>
      <c r="J519" s="198">
        <f t="shared" si="71"/>
        <v>0</v>
      </c>
      <c r="K519" s="198">
        <f t="shared" si="66"/>
        <v>0</v>
      </c>
      <c r="L519" s="198">
        <f>COUNTIF(J519:K519,"&lt;&gt;0")*-'Trading Model'!$E$15</f>
        <v>0</v>
      </c>
      <c r="M519" s="198">
        <f t="shared" si="64"/>
        <v>0</v>
      </c>
      <c r="N519" s="75">
        <f t="shared" si="67"/>
        <v>28</v>
      </c>
      <c r="O519" s="202">
        <f t="shared" si="68"/>
        <v>0</v>
      </c>
      <c r="P519" s="199">
        <f t="shared" si="65"/>
        <v>0</v>
      </c>
      <c r="Q519" s="203">
        <f t="shared" si="69"/>
        <v>75.700000000001381</v>
      </c>
      <c r="R519" s="203" t="s">
        <v>55</v>
      </c>
      <c r="S519" s="201">
        <f t="shared" si="70"/>
        <v>-1.0559288228392694E-2</v>
      </c>
    </row>
    <row r="520" spans="1:19">
      <c r="A520" s="196">
        <v>40721</v>
      </c>
      <c r="B520" s="122">
        <v>25.41</v>
      </c>
      <c r="C520" s="122">
        <v>25.870000999999998</v>
      </c>
      <c r="D520" s="122">
        <v>25.200001</v>
      </c>
      <c r="E520" s="122">
        <v>25.799999</v>
      </c>
      <c r="F520" s="122">
        <v>18.150407999999999</v>
      </c>
      <c r="G520" s="197">
        <v>129600</v>
      </c>
      <c r="H520" s="198">
        <f>IF(AND(E519&gt;=H519,E520&gt;=E519),E519*(1+'Trading Model'!$E$13),IF(AND(E520&lt;E519,E519&gt;=H519),E520*(1+'Trading Model'!$E$13),H519))</f>
        <v>27.698998950000004</v>
      </c>
      <c r="I520" s="198">
        <f>IF(K520&gt;0,E520*(1-'Trading Model'!E530),IF(E520&lt;I519,I519*(1-'Trading Model'!$E$14),I519))</f>
        <v>21.486674060493748</v>
      </c>
      <c r="J520" s="198">
        <f t="shared" si="71"/>
        <v>0</v>
      </c>
      <c r="K520" s="198">
        <f t="shared" si="66"/>
        <v>0</v>
      </c>
      <c r="L520" s="198">
        <f>COUNTIF(J520:K520,"&lt;&gt;0")*-'Trading Model'!$E$15</f>
        <v>0</v>
      </c>
      <c r="M520" s="198">
        <f t="shared" si="64"/>
        <v>0</v>
      </c>
      <c r="N520" s="75">
        <f t="shared" si="67"/>
        <v>28</v>
      </c>
      <c r="O520" s="202">
        <f t="shared" si="68"/>
        <v>0</v>
      </c>
      <c r="P520" s="199">
        <f t="shared" si="65"/>
        <v>0</v>
      </c>
      <c r="Q520" s="203">
        <f t="shared" si="69"/>
        <v>75.700000000001381</v>
      </c>
      <c r="R520" s="203" t="s">
        <v>55</v>
      </c>
      <c r="S520" s="201">
        <f t="shared" si="70"/>
        <v>1.9762846630942521E-2</v>
      </c>
    </row>
    <row r="521" spans="1:19">
      <c r="A521" s="196">
        <v>40722</v>
      </c>
      <c r="B521" s="122">
        <v>25.790001</v>
      </c>
      <c r="C521" s="122">
        <v>26.190000999999999</v>
      </c>
      <c r="D521" s="122">
        <v>25.790001</v>
      </c>
      <c r="E521" s="122">
        <v>25.950001</v>
      </c>
      <c r="F521" s="122">
        <v>18.255938</v>
      </c>
      <c r="G521" s="197">
        <v>133300</v>
      </c>
      <c r="H521" s="198">
        <f>IF(AND(E520&gt;=H520,E521&gt;=E520),E520*(1+'Trading Model'!$E$13),IF(AND(E521&lt;E520,E520&gt;=H520),E521*(1+'Trading Model'!$E$13),H520))</f>
        <v>27.698998950000004</v>
      </c>
      <c r="I521" s="198">
        <f>IF(K521&gt;0,E521*(1-'Trading Model'!E531),IF(E521&lt;I520,I520*(1-'Trading Model'!$E$14),I520))</f>
        <v>21.486674060493748</v>
      </c>
      <c r="J521" s="198">
        <f t="shared" si="71"/>
        <v>0</v>
      </c>
      <c r="K521" s="198">
        <f t="shared" si="66"/>
        <v>0</v>
      </c>
      <c r="L521" s="198">
        <f>COUNTIF(J521:K521,"&lt;&gt;0")*-'Trading Model'!$E$15</f>
        <v>0</v>
      </c>
      <c r="M521" s="198">
        <f t="shared" si="64"/>
        <v>0</v>
      </c>
      <c r="N521" s="75">
        <f t="shared" si="67"/>
        <v>28</v>
      </c>
      <c r="O521" s="202">
        <f t="shared" si="68"/>
        <v>0</v>
      </c>
      <c r="P521" s="199">
        <f t="shared" si="65"/>
        <v>0</v>
      </c>
      <c r="Q521" s="203">
        <f t="shared" si="69"/>
        <v>75.700000000001381</v>
      </c>
      <c r="R521" s="203" t="s">
        <v>55</v>
      </c>
      <c r="S521" s="201">
        <f t="shared" si="70"/>
        <v>5.8140312331020905E-3</v>
      </c>
    </row>
    <row r="522" spans="1:19">
      <c r="A522" s="196">
        <v>40723</v>
      </c>
      <c r="B522" s="122">
        <v>26.1</v>
      </c>
      <c r="C522" s="122">
        <v>26.23</v>
      </c>
      <c r="D522" s="122">
        <v>25.860001</v>
      </c>
      <c r="E522" s="122">
        <v>26.030000999999999</v>
      </c>
      <c r="F522" s="122">
        <v>18.312215999999999</v>
      </c>
      <c r="G522" s="197">
        <v>138600</v>
      </c>
      <c r="H522" s="198">
        <f>IF(AND(E521&gt;=H521,E522&gt;=E521),E521*(1+'Trading Model'!$E$13),IF(AND(E522&lt;E521,E521&gt;=H521),E522*(1+'Trading Model'!$E$13),H521))</f>
        <v>27.698998950000004</v>
      </c>
      <c r="I522" s="198">
        <f>IF(K522&gt;0,E522*(1-'Trading Model'!E532),IF(E522&lt;I521,I521*(1-'Trading Model'!$E$14),I521))</f>
        <v>21.486674060493748</v>
      </c>
      <c r="J522" s="198">
        <f t="shared" si="71"/>
        <v>0</v>
      </c>
      <c r="K522" s="198">
        <f t="shared" si="66"/>
        <v>0</v>
      </c>
      <c r="L522" s="198">
        <f>COUNTIF(J522:K522,"&lt;&gt;0")*-'Trading Model'!$E$15</f>
        <v>0</v>
      </c>
      <c r="M522" s="198">
        <f t="shared" si="64"/>
        <v>0</v>
      </c>
      <c r="N522" s="75">
        <f t="shared" si="67"/>
        <v>28</v>
      </c>
      <c r="O522" s="202">
        <f t="shared" si="68"/>
        <v>0</v>
      </c>
      <c r="P522" s="199">
        <f t="shared" si="65"/>
        <v>0</v>
      </c>
      <c r="Q522" s="203">
        <f t="shared" si="69"/>
        <v>75.700000000001381</v>
      </c>
      <c r="R522" s="201">
        <f>E522/B518-1</f>
        <v>3.0075227542540439E-2</v>
      </c>
      <c r="S522" s="201">
        <f t="shared" si="70"/>
        <v>3.0828515189651462E-3</v>
      </c>
    </row>
    <row r="523" spans="1:19">
      <c r="A523" s="196">
        <v>40724</v>
      </c>
      <c r="B523" s="122">
        <v>26.200001</v>
      </c>
      <c r="C523" s="122">
        <v>26.309999000000001</v>
      </c>
      <c r="D523" s="122">
        <v>25.85</v>
      </c>
      <c r="E523" s="122">
        <v>26.059999000000001</v>
      </c>
      <c r="F523" s="122">
        <v>18.333321000000002</v>
      </c>
      <c r="G523" s="197">
        <v>219600</v>
      </c>
      <c r="H523" s="198">
        <f>IF(AND(E522&gt;=H522,E523&gt;=E522),E522*(1+'Trading Model'!$E$13),IF(AND(E523&lt;E522,E522&gt;=H522),E523*(1+'Trading Model'!$E$13),H522))</f>
        <v>27.698998950000004</v>
      </c>
      <c r="I523" s="198">
        <f>IF(K523&gt;0,E523*(1-'Trading Model'!E533),IF(E523&lt;I522,I522*(1-'Trading Model'!$E$14),I522))</f>
        <v>21.486674060493748</v>
      </c>
      <c r="J523" s="198">
        <f t="shared" si="71"/>
        <v>0</v>
      </c>
      <c r="K523" s="198">
        <f t="shared" si="66"/>
        <v>0</v>
      </c>
      <c r="L523" s="198">
        <f>COUNTIF(J523:K523,"&lt;&gt;0")*-'Trading Model'!$E$15</f>
        <v>0</v>
      </c>
      <c r="M523" s="198">
        <f t="shared" si="64"/>
        <v>0</v>
      </c>
      <c r="N523" s="75">
        <f t="shared" si="67"/>
        <v>28</v>
      </c>
      <c r="O523" s="202">
        <f t="shared" si="68"/>
        <v>0</v>
      </c>
      <c r="P523" s="199">
        <f t="shared" si="65"/>
        <v>0</v>
      </c>
      <c r="Q523" s="203">
        <f t="shared" si="69"/>
        <v>75.700000000001381</v>
      </c>
      <c r="R523" s="160" t="s">
        <v>55</v>
      </c>
      <c r="S523" s="201">
        <f t="shared" si="70"/>
        <v>1.1524394486193135E-3</v>
      </c>
    </row>
    <row r="524" spans="1:19">
      <c r="A524" s="196">
        <v>40725</v>
      </c>
      <c r="B524" s="122">
        <v>26.26</v>
      </c>
      <c r="C524" s="122">
        <v>26.709999</v>
      </c>
      <c r="D524" s="122">
        <v>26.15</v>
      </c>
      <c r="E524" s="122">
        <v>26.68</v>
      </c>
      <c r="F524" s="122">
        <v>18.769490999999999</v>
      </c>
      <c r="G524" s="197">
        <v>186500</v>
      </c>
      <c r="H524" s="198">
        <f>IF(AND(E523&gt;=H523,E524&gt;=E523),E523*(1+'Trading Model'!$E$13),IF(AND(E524&lt;E523,E523&gt;=H523),E524*(1+'Trading Model'!$E$13),H523))</f>
        <v>27.698998950000004</v>
      </c>
      <c r="I524" s="198">
        <f>IF(K524&gt;0,E524*(1-'Trading Model'!E534),IF(E524&lt;I523,I523*(1-'Trading Model'!$E$14),I523))</f>
        <v>21.486674060493748</v>
      </c>
      <c r="J524" s="198">
        <f t="shared" si="71"/>
        <v>0</v>
      </c>
      <c r="K524" s="198">
        <f t="shared" si="66"/>
        <v>0</v>
      </c>
      <c r="L524" s="198">
        <f>COUNTIF(J524:K524,"&lt;&gt;0")*-'Trading Model'!$E$15</f>
        <v>0</v>
      </c>
      <c r="M524" s="198">
        <f t="shared" si="64"/>
        <v>0</v>
      </c>
      <c r="N524" s="75">
        <f t="shared" si="67"/>
        <v>28</v>
      </c>
      <c r="O524" s="202">
        <f t="shared" si="68"/>
        <v>0</v>
      </c>
      <c r="P524" s="199">
        <f t="shared" si="65"/>
        <v>0</v>
      </c>
      <c r="Q524" s="203">
        <f t="shared" si="69"/>
        <v>75.700000000001381</v>
      </c>
      <c r="R524" s="203" t="s">
        <v>55</v>
      </c>
      <c r="S524" s="201">
        <f t="shared" si="70"/>
        <v>2.3791290245252839E-2</v>
      </c>
    </row>
    <row r="525" spans="1:19">
      <c r="A525" s="196">
        <v>40729</v>
      </c>
      <c r="B525" s="122">
        <v>26.9</v>
      </c>
      <c r="C525" s="122">
        <v>26.9</v>
      </c>
      <c r="D525" s="122">
        <v>26.41</v>
      </c>
      <c r="E525" s="122">
        <v>26.58</v>
      </c>
      <c r="F525" s="122">
        <v>18.699144</v>
      </c>
      <c r="G525" s="197">
        <v>192200</v>
      </c>
      <c r="H525" s="198">
        <f>IF(AND(E524&gt;=H524,E525&gt;=E524),E524*(1+'Trading Model'!$E$13),IF(AND(E525&lt;E524,E524&gt;=H524),E525*(1+'Trading Model'!$E$13),H524))</f>
        <v>27.698998950000004</v>
      </c>
      <c r="I525" s="198">
        <f>IF(K525&gt;0,E525*(1-'Trading Model'!E535),IF(E525&lt;I524,I524*(1-'Trading Model'!$E$14),I524))</f>
        <v>21.486674060493748</v>
      </c>
      <c r="J525" s="198">
        <f t="shared" si="71"/>
        <v>0</v>
      </c>
      <c r="K525" s="198">
        <f t="shared" si="66"/>
        <v>0</v>
      </c>
      <c r="L525" s="198">
        <f>COUNTIF(J525:K525,"&lt;&gt;0")*-'Trading Model'!$E$15</f>
        <v>0</v>
      </c>
      <c r="M525" s="198">
        <f t="shared" si="64"/>
        <v>0</v>
      </c>
      <c r="N525" s="75">
        <f t="shared" si="67"/>
        <v>28</v>
      </c>
      <c r="O525" s="202">
        <f t="shared" si="68"/>
        <v>0</v>
      </c>
      <c r="P525" s="199">
        <f t="shared" si="65"/>
        <v>0</v>
      </c>
      <c r="Q525" s="203">
        <f t="shared" si="69"/>
        <v>75.600000000001387</v>
      </c>
      <c r="R525" s="203" t="s">
        <v>55</v>
      </c>
      <c r="S525" s="201">
        <f t="shared" si="70"/>
        <v>-3.7481259370315545E-3</v>
      </c>
    </row>
    <row r="526" spans="1:19">
      <c r="A526" s="196">
        <v>40730</v>
      </c>
      <c r="B526" s="122">
        <v>26.549999</v>
      </c>
      <c r="C526" s="122">
        <v>26.719999000000001</v>
      </c>
      <c r="D526" s="122">
        <v>26.42</v>
      </c>
      <c r="E526" s="122">
        <v>26.59</v>
      </c>
      <c r="F526" s="122">
        <v>18.706181000000001</v>
      </c>
      <c r="G526" s="197">
        <v>174900</v>
      </c>
      <c r="H526" s="198">
        <f>IF(AND(E525&gt;=H525,E526&gt;=E525),E525*(1+'Trading Model'!$E$13),IF(AND(E526&lt;E525,E525&gt;=H525),E526*(1+'Trading Model'!$E$13),H525))</f>
        <v>27.698998950000004</v>
      </c>
      <c r="I526" s="198">
        <f>IF(K526&gt;0,E526*(1-'Trading Model'!E536),IF(E526&lt;I525,I525*(1-'Trading Model'!$E$14),I525))</f>
        <v>21.486674060493748</v>
      </c>
      <c r="J526" s="198">
        <f t="shared" si="71"/>
        <v>0</v>
      </c>
      <c r="K526" s="198">
        <f t="shared" si="66"/>
        <v>0</v>
      </c>
      <c r="L526" s="198">
        <f>COUNTIF(J526:K526,"&lt;&gt;0")*-'Trading Model'!$E$15</f>
        <v>0</v>
      </c>
      <c r="M526" s="198">
        <f t="shared" si="64"/>
        <v>0</v>
      </c>
      <c r="N526" s="75">
        <f t="shared" si="67"/>
        <v>28</v>
      </c>
      <c r="O526" s="202">
        <f t="shared" si="68"/>
        <v>0</v>
      </c>
      <c r="P526" s="199">
        <f t="shared" si="65"/>
        <v>0</v>
      </c>
      <c r="Q526" s="203">
        <f t="shared" si="69"/>
        <v>75.600000000001387</v>
      </c>
      <c r="R526" s="203" t="s">
        <v>55</v>
      </c>
      <c r="S526" s="201">
        <f t="shared" si="70"/>
        <v>3.7622272385262612E-4</v>
      </c>
    </row>
    <row r="527" spans="1:19">
      <c r="A527" s="196">
        <v>40731</v>
      </c>
      <c r="B527" s="122">
        <v>26.799999</v>
      </c>
      <c r="C527" s="122">
        <v>26.799999</v>
      </c>
      <c r="D527" s="122">
        <v>26.129999000000002</v>
      </c>
      <c r="E527" s="122">
        <v>26.24</v>
      </c>
      <c r="F527" s="122">
        <v>18.459951</v>
      </c>
      <c r="G527" s="197">
        <v>181900</v>
      </c>
      <c r="H527" s="198">
        <f>IF(AND(E526&gt;=H526,E527&gt;=E526),E526*(1+'Trading Model'!$E$13),IF(AND(E527&lt;E526,E526&gt;=H526),E527*(1+'Trading Model'!$E$13),H526))</f>
        <v>27.698998950000004</v>
      </c>
      <c r="I527" s="198">
        <f>IF(K527&gt;0,E527*(1-'Trading Model'!E537),IF(E527&lt;I526,I526*(1-'Trading Model'!$E$14),I526))</f>
        <v>21.486674060493748</v>
      </c>
      <c r="J527" s="198">
        <f t="shared" si="71"/>
        <v>0</v>
      </c>
      <c r="K527" s="198">
        <f t="shared" si="66"/>
        <v>0</v>
      </c>
      <c r="L527" s="198">
        <f>COUNTIF(J527:K527,"&lt;&gt;0")*-'Trading Model'!$E$15</f>
        <v>0</v>
      </c>
      <c r="M527" s="198">
        <f t="shared" si="64"/>
        <v>0</v>
      </c>
      <c r="N527" s="75">
        <f t="shared" si="67"/>
        <v>28</v>
      </c>
      <c r="O527" s="202">
        <f t="shared" si="68"/>
        <v>0</v>
      </c>
      <c r="P527" s="199">
        <f t="shared" si="65"/>
        <v>0</v>
      </c>
      <c r="Q527" s="203">
        <f t="shared" si="69"/>
        <v>75.500000000001393</v>
      </c>
      <c r="R527" s="201">
        <f>E527/B523-1</f>
        <v>1.5266793310426685E-3</v>
      </c>
      <c r="S527" s="201">
        <f t="shared" si="70"/>
        <v>-1.3162843174125638E-2</v>
      </c>
    </row>
    <row r="528" spans="1:19">
      <c r="A528" s="196">
        <v>40732</v>
      </c>
      <c r="B528" s="122">
        <v>26.1</v>
      </c>
      <c r="C528" s="122">
        <v>26.42</v>
      </c>
      <c r="D528" s="122">
        <v>25.860001</v>
      </c>
      <c r="E528" s="122">
        <v>26.139999</v>
      </c>
      <c r="F528" s="122">
        <v>18.389600999999999</v>
      </c>
      <c r="G528" s="197">
        <v>131900</v>
      </c>
      <c r="H528" s="198">
        <f>IF(AND(E527&gt;=H527,E528&gt;=E527),E527*(1+'Trading Model'!$E$13),IF(AND(E528&lt;E527,E527&gt;=H527),E528*(1+'Trading Model'!$E$13),H527))</f>
        <v>27.698998950000004</v>
      </c>
      <c r="I528" s="198">
        <f>IF(K528&gt;0,E528*(1-'Trading Model'!E538),IF(E528&lt;I527,I527*(1-'Trading Model'!$E$14),I527))</f>
        <v>21.486674060493748</v>
      </c>
      <c r="J528" s="198">
        <f t="shared" si="71"/>
        <v>0</v>
      </c>
      <c r="K528" s="198">
        <f t="shared" si="66"/>
        <v>0</v>
      </c>
      <c r="L528" s="198">
        <f>COUNTIF(J528:K528,"&lt;&gt;0")*-'Trading Model'!$E$15</f>
        <v>0</v>
      </c>
      <c r="M528" s="198">
        <f t="shared" si="64"/>
        <v>0</v>
      </c>
      <c r="N528" s="75">
        <f t="shared" si="67"/>
        <v>28</v>
      </c>
      <c r="O528" s="202">
        <f t="shared" si="68"/>
        <v>0</v>
      </c>
      <c r="P528" s="199">
        <f t="shared" si="65"/>
        <v>0</v>
      </c>
      <c r="Q528" s="203">
        <f t="shared" si="69"/>
        <v>75.400000000001398</v>
      </c>
      <c r="R528" s="160" t="s">
        <v>55</v>
      </c>
      <c r="S528" s="201">
        <f t="shared" si="70"/>
        <v>-3.8110137195122018E-3</v>
      </c>
    </row>
    <row r="529" spans="1:19">
      <c r="A529" s="196">
        <v>40735</v>
      </c>
      <c r="B529" s="122">
        <v>25.5</v>
      </c>
      <c r="C529" s="122">
        <v>25.93</v>
      </c>
      <c r="D529" s="122">
        <v>25.34</v>
      </c>
      <c r="E529" s="122">
        <v>25.49</v>
      </c>
      <c r="F529" s="122">
        <v>17.932327000000001</v>
      </c>
      <c r="G529" s="197">
        <v>104300</v>
      </c>
      <c r="H529" s="198">
        <f>IF(AND(E528&gt;=H528,E529&gt;=E528),E528*(1+'Trading Model'!$E$13),IF(AND(E529&lt;E528,E528&gt;=H528),E529*(1+'Trading Model'!$E$13),H528))</f>
        <v>27.698998950000004</v>
      </c>
      <c r="I529" s="198">
        <f>IF(K529&gt;0,E529*(1-'Trading Model'!E539),IF(E529&lt;I528,I528*(1-'Trading Model'!$E$14),I528))</f>
        <v>21.486674060493748</v>
      </c>
      <c r="J529" s="198">
        <f t="shared" si="71"/>
        <v>0</v>
      </c>
      <c r="K529" s="198">
        <f t="shared" si="66"/>
        <v>0</v>
      </c>
      <c r="L529" s="198">
        <f>COUNTIF(J529:K529,"&lt;&gt;0")*-'Trading Model'!$E$15</f>
        <v>0</v>
      </c>
      <c r="M529" s="198">
        <f t="shared" si="64"/>
        <v>0</v>
      </c>
      <c r="N529" s="75">
        <f t="shared" si="67"/>
        <v>28</v>
      </c>
      <c r="O529" s="202">
        <f t="shared" si="68"/>
        <v>0</v>
      </c>
      <c r="P529" s="199">
        <f t="shared" si="65"/>
        <v>0</v>
      </c>
      <c r="Q529" s="203">
        <f t="shared" si="69"/>
        <v>75.300000000001404</v>
      </c>
      <c r="R529" s="203" t="s">
        <v>55</v>
      </c>
      <c r="S529" s="201">
        <f t="shared" si="70"/>
        <v>-2.4866068281027887E-2</v>
      </c>
    </row>
    <row r="530" spans="1:19">
      <c r="A530" s="196">
        <v>40736</v>
      </c>
      <c r="B530" s="122">
        <v>25.52</v>
      </c>
      <c r="C530" s="122">
        <v>25.809999000000001</v>
      </c>
      <c r="D530" s="122">
        <v>25.07</v>
      </c>
      <c r="E530" s="122">
        <v>25.389999</v>
      </c>
      <c r="F530" s="122">
        <v>17.861975000000001</v>
      </c>
      <c r="G530" s="197">
        <v>136600</v>
      </c>
      <c r="H530" s="198">
        <f>IF(AND(E529&gt;=H529,E530&gt;=E529),E529*(1+'Trading Model'!$E$13),IF(AND(E530&lt;E529,E529&gt;=H529),E530*(1+'Trading Model'!$E$13),H529))</f>
        <v>27.698998950000004</v>
      </c>
      <c r="I530" s="198">
        <f>IF(K530&gt;0,E530*(1-'Trading Model'!E540),IF(E530&lt;I529,I529*(1-'Trading Model'!$E$14),I529))</f>
        <v>21.486674060493748</v>
      </c>
      <c r="J530" s="198">
        <f t="shared" si="71"/>
        <v>0</v>
      </c>
      <c r="K530" s="198">
        <f t="shared" si="66"/>
        <v>0</v>
      </c>
      <c r="L530" s="198">
        <f>COUNTIF(J530:K530,"&lt;&gt;0")*-'Trading Model'!$E$15</f>
        <v>0</v>
      </c>
      <c r="M530" s="198">
        <f t="shared" si="64"/>
        <v>0</v>
      </c>
      <c r="N530" s="75">
        <f t="shared" si="67"/>
        <v>28</v>
      </c>
      <c r="O530" s="202">
        <f t="shared" si="68"/>
        <v>0</v>
      </c>
      <c r="P530" s="199">
        <f t="shared" si="65"/>
        <v>0</v>
      </c>
      <c r="Q530" s="203">
        <f t="shared" si="69"/>
        <v>75.20000000000141</v>
      </c>
      <c r="R530" s="203" t="s">
        <v>55</v>
      </c>
      <c r="S530" s="201">
        <f t="shared" si="70"/>
        <v>-3.9231463318948334E-3</v>
      </c>
    </row>
    <row r="531" spans="1:19">
      <c r="A531" s="196">
        <v>40737</v>
      </c>
      <c r="B531" s="122">
        <v>25.57</v>
      </c>
      <c r="C531" s="122">
        <v>25.809999000000001</v>
      </c>
      <c r="D531" s="122">
        <v>25</v>
      </c>
      <c r="E531" s="122">
        <v>25.370000999999998</v>
      </c>
      <c r="F531" s="122">
        <v>17.847904</v>
      </c>
      <c r="G531" s="197">
        <v>229100</v>
      </c>
      <c r="H531" s="198">
        <f>IF(AND(E530&gt;=H530,E531&gt;=E530),E530*(1+'Trading Model'!$E$13),IF(AND(E531&lt;E530,E530&gt;=H530),E531*(1+'Trading Model'!$E$13),H530))</f>
        <v>27.698998950000004</v>
      </c>
      <c r="I531" s="198">
        <f>IF(K531&gt;0,E531*(1-'Trading Model'!E541),IF(E531&lt;I530,I530*(1-'Trading Model'!$E$14),I530))</f>
        <v>21.486674060493748</v>
      </c>
      <c r="J531" s="198">
        <f t="shared" si="71"/>
        <v>0</v>
      </c>
      <c r="K531" s="198">
        <f t="shared" si="66"/>
        <v>0</v>
      </c>
      <c r="L531" s="198">
        <f>COUNTIF(J531:K531,"&lt;&gt;0")*-'Trading Model'!$E$15</f>
        <v>0</v>
      </c>
      <c r="M531" s="198">
        <f t="shared" si="64"/>
        <v>0</v>
      </c>
      <c r="N531" s="75">
        <f t="shared" si="67"/>
        <v>28</v>
      </c>
      <c r="O531" s="202">
        <f t="shared" si="68"/>
        <v>0</v>
      </c>
      <c r="P531" s="199">
        <f t="shared" si="65"/>
        <v>0</v>
      </c>
      <c r="Q531" s="203">
        <f t="shared" si="69"/>
        <v>75.100000000001415</v>
      </c>
      <c r="R531" s="203" t="s">
        <v>55</v>
      </c>
      <c r="S531" s="201">
        <f t="shared" si="70"/>
        <v>-7.8763295737038774E-4</v>
      </c>
    </row>
    <row r="532" spans="1:19">
      <c r="A532" s="196">
        <v>40738</v>
      </c>
      <c r="B532" s="122">
        <v>25.49</v>
      </c>
      <c r="C532" s="122">
        <v>25.690000999999999</v>
      </c>
      <c r="D532" s="122">
        <v>25.18</v>
      </c>
      <c r="E532" s="122">
        <v>25.41</v>
      </c>
      <c r="F532" s="122">
        <v>17.876042999999999</v>
      </c>
      <c r="G532" s="197">
        <v>308800</v>
      </c>
      <c r="H532" s="198">
        <f>IF(AND(E531&gt;=H531,E532&gt;=E531),E531*(1+'Trading Model'!$E$13),IF(AND(E532&lt;E531,E531&gt;=H531),E532*(1+'Trading Model'!$E$13),H531))</f>
        <v>27.698998950000004</v>
      </c>
      <c r="I532" s="198">
        <f>IF(K532&gt;0,E532*(1-'Trading Model'!E542),IF(E532&lt;I531,I531*(1-'Trading Model'!$E$14),I531))</f>
        <v>21.486674060493748</v>
      </c>
      <c r="J532" s="198">
        <f t="shared" si="71"/>
        <v>0</v>
      </c>
      <c r="K532" s="198">
        <f t="shared" si="66"/>
        <v>0</v>
      </c>
      <c r="L532" s="198">
        <f>COUNTIF(J532:K532,"&lt;&gt;0")*-'Trading Model'!$E$15</f>
        <v>0</v>
      </c>
      <c r="M532" s="198">
        <f t="shared" si="64"/>
        <v>0</v>
      </c>
      <c r="N532" s="75">
        <f t="shared" si="67"/>
        <v>28</v>
      </c>
      <c r="O532" s="202">
        <f t="shared" si="68"/>
        <v>0</v>
      </c>
      <c r="P532" s="199">
        <f t="shared" si="65"/>
        <v>0</v>
      </c>
      <c r="Q532" s="203">
        <f t="shared" si="69"/>
        <v>75.100000000001415</v>
      </c>
      <c r="R532" s="201">
        <f>E532/B528-1</f>
        <v>-2.6436781609195492E-2</v>
      </c>
      <c r="S532" s="201">
        <f t="shared" si="70"/>
        <v>1.5766258739997596E-3</v>
      </c>
    </row>
    <row r="533" spans="1:19">
      <c r="A533" s="196">
        <v>40739</v>
      </c>
      <c r="B533" s="122">
        <v>25.540001</v>
      </c>
      <c r="C533" s="122">
        <v>25.73</v>
      </c>
      <c r="D533" s="122">
        <v>25.24</v>
      </c>
      <c r="E533" s="122">
        <v>25.66</v>
      </c>
      <c r="F533" s="122">
        <v>18.051918000000001</v>
      </c>
      <c r="G533" s="197">
        <v>206900</v>
      </c>
      <c r="H533" s="198">
        <f>IF(AND(E532&gt;=H532,E533&gt;=E532),E532*(1+'Trading Model'!$E$13),IF(AND(E533&lt;E532,E532&gt;=H532),E533*(1+'Trading Model'!$E$13),H532))</f>
        <v>27.698998950000004</v>
      </c>
      <c r="I533" s="198">
        <f>IF(K533&gt;0,E533*(1-'Trading Model'!E543),IF(E533&lt;I532,I532*(1-'Trading Model'!$E$14),I532))</f>
        <v>21.486674060493748</v>
      </c>
      <c r="J533" s="198">
        <f t="shared" si="71"/>
        <v>0</v>
      </c>
      <c r="K533" s="198">
        <f t="shared" si="66"/>
        <v>0</v>
      </c>
      <c r="L533" s="198">
        <f>COUNTIF(J533:K533,"&lt;&gt;0")*-'Trading Model'!$E$15</f>
        <v>0</v>
      </c>
      <c r="M533" s="198">
        <f t="shared" si="64"/>
        <v>0</v>
      </c>
      <c r="N533" s="75">
        <f t="shared" si="67"/>
        <v>28</v>
      </c>
      <c r="O533" s="202">
        <f t="shared" si="68"/>
        <v>0</v>
      </c>
      <c r="P533" s="199">
        <f t="shared" si="65"/>
        <v>0</v>
      </c>
      <c r="Q533" s="203">
        <f t="shared" si="69"/>
        <v>75.100000000001415</v>
      </c>
      <c r="R533" s="160" t="s">
        <v>55</v>
      </c>
      <c r="S533" s="201">
        <f t="shared" si="70"/>
        <v>9.838646202282586E-3</v>
      </c>
    </row>
    <row r="534" spans="1:19">
      <c r="A534" s="196">
        <v>40742</v>
      </c>
      <c r="B534" s="122">
        <v>25.66</v>
      </c>
      <c r="C534" s="122">
        <v>25.700001</v>
      </c>
      <c r="D534" s="122">
        <v>24.9</v>
      </c>
      <c r="E534" s="122">
        <v>24.98</v>
      </c>
      <c r="F534" s="122">
        <v>17.573537999999999</v>
      </c>
      <c r="G534" s="197">
        <v>138500</v>
      </c>
      <c r="H534" s="198">
        <f>IF(AND(E533&gt;=H533,E534&gt;=E533),E533*(1+'Trading Model'!$E$13),IF(AND(E534&lt;E533,E533&gt;=H533),E534*(1+'Trading Model'!$E$13),H533))</f>
        <v>27.698998950000004</v>
      </c>
      <c r="I534" s="198">
        <f>IF(K534&gt;0,E534*(1-'Trading Model'!E544),IF(E534&lt;I533,I533*(1-'Trading Model'!$E$14),I533))</f>
        <v>21.486674060493748</v>
      </c>
      <c r="J534" s="198">
        <f t="shared" si="71"/>
        <v>0</v>
      </c>
      <c r="K534" s="198">
        <f t="shared" si="66"/>
        <v>0</v>
      </c>
      <c r="L534" s="198">
        <f>COUNTIF(J534:K534,"&lt;&gt;0")*-'Trading Model'!$E$15</f>
        <v>0</v>
      </c>
      <c r="M534" s="198">
        <f t="shared" si="64"/>
        <v>0</v>
      </c>
      <c r="N534" s="75">
        <f t="shared" si="67"/>
        <v>28</v>
      </c>
      <c r="O534" s="202">
        <f t="shared" si="68"/>
        <v>0</v>
      </c>
      <c r="P534" s="199">
        <f t="shared" si="65"/>
        <v>0</v>
      </c>
      <c r="Q534" s="203">
        <f t="shared" si="69"/>
        <v>75.000000000001421</v>
      </c>
      <c r="R534" s="203" t="s">
        <v>55</v>
      </c>
      <c r="S534" s="201">
        <f t="shared" si="70"/>
        <v>-2.6500389711613392E-2</v>
      </c>
    </row>
    <row r="535" spans="1:19">
      <c r="A535" s="196">
        <v>40743</v>
      </c>
      <c r="B535" s="122">
        <v>25.09</v>
      </c>
      <c r="C535" s="122">
        <v>25.23</v>
      </c>
      <c r="D535" s="122">
        <v>24.639999</v>
      </c>
      <c r="E535" s="122">
        <v>24.780000999999999</v>
      </c>
      <c r="F535" s="122">
        <v>17.432835000000001</v>
      </c>
      <c r="G535" s="197">
        <v>227200</v>
      </c>
      <c r="H535" s="198">
        <f>IF(AND(E534&gt;=H534,E535&gt;=E534),E534*(1+'Trading Model'!$E$13),IF(AND(E535&lt;E534,E534&gt;=H534),E535*(1+'Trading Model'!$E$13),H534))</f>
        <v>27.698998950000004</v>
      </c>
      <c r="I535" s="198">
        <f>IF(K535&gt;0,E535*(1-'Trading Model'!E545),IF(E535&lt;I534,I534*(1-'Trading Model'!$E$14),I534))</f>
        <v>21.486674060493748</v>
      </c>
      <c r="J535" s="198">
        <f t="shared" si="71"/>
        <v>0</v>
      </c>
      <c r="K535" s="198">
        <f t="shared" si="66"/>
        <v>0</v>
      </c>
      <c r="L535" s="198">
        <f>COUNTIF(J535:K535,"&lt;&gt;0")*-'Trading Model'!$E$15</f>
        <v>0</v>
      </c>
      <c r="M535" s="198">
        <f t="shared" si="64"/>
        <v>0</v>
      </c>
      <c r="N535" s="75">
        <f t="shared" si="67"/>
        <v>28</v>
      </c>
      <c r="O535" s="202">
        <f t="shared" si="68"/>
        <v>0</v>
      </c>
      <c r="P535" s="199">
        <f t="shared" si="65"/>
        <v>0</v>
      </c>
      <c r="Q535" s="203">
        <f t="shared" si="69"/>
        <v>74.900000000001427</v>
      </c>
      <c r="R535" s="203" t="s">
        <v>55</v>
      </c>
      <c r="S535" s="201">
        <f t="shared" si="70"/>
        <v>-8.0063650920737528E-3</v>
      </c>
    </row>
    <row r="536" spans="1:19">
      <c r="A536" s="196">
        <v>40744</v>
      </c>
      <c r="B536" s="122">
        <v>25.209999</v>
      </c>
      <c r="C536" s="122">
        <v>25.35</v>
      </c>
      <c r="D536" s="122">
        <v>24.85</v>
      </c>
      <c r="E536" s="122">
        <v>25.08</v>
      </c>
      <c r="F536" s="122">
        <v>17.643888</v>
      </c>
      <c r="G536" s="197">
        <v>144100</v>
      </c>
      <c r="H536" s="198">
        <f>IF(AND(E535&gt;=H535,E536&gt;=E535),E535*(1+'Trading Model'!$E$13),IF(AND(E536&lt;E535,E535&gt;=H535),E536*(1+'Trading Model'!$E$13),H535))</f>
        <v>27.698998950000004</v>
      </c>
      <c r="I536" s="198">
        <f>IF(K536&gt;0,E536*(1-'Trading Model'!E546),IF(E536&lt;I535,I535*(1-'Trading Model'!$E$14),I535))</f>
        <v>21.486674060493748</v>
      </c>
      <c r="J536" s="198">
        <f t="shared" si="71"/>
        <v>0</v>
      </c>
      <c r="K536" s="198">
        <f t="shared" si="66"/>
        <v>0</v>
      </c>
      <c r="L536" s="198">
        <f>COUNTIF(J536:K536,"&lt;&gt;0")*-'Trading Model'!$E$15</f>
        <v>0</v>
      </c>
      <c r="M536" s="198">
        <f t="shared" si="64"/>
        <v>0</v>
      </c>
      <c r="N536" s="75">
        <f t="shared" si="67"/>
        <v>28</v>
      </c>
      <c r="O536" s="202">
        <f t="shared" si="68"/>
        <v>0</v>
      </c>
      <c r="P536" s="199">
        <f t="shared" si="65"/>
        <v>0</v>
      </c>
      <c r="Q536" s="203">
        <f t="shared" si="69"/>
        <v>74.900000000001427</v>
      </c>
      <c r="R536" s="203" t="s">
        <v>55</v>
      </c>
      <c r="S536" s="201">
        <f t="shared" si="70"/>
        <v>1.2106496686582036E-2</v>
      </c>
    </row>
    <row r="537" spans="1:19">
      <c r="A537" s="196">
        <v>40745</v>
      </c>
      <c r="B537" s="122">
        <v>25.309999000000001</v>
      </c>
      <c r="C537" s="122">
        <v>26.32</v>
      </c>
      <c r="D537" s="122">
        <v>25.18</v>
      </c>
      <c r="E537" s="122">
        <v>26.08</v>
      </c>
      <c r="F537" s="122">
        <v>18.347393</v>
      </c>
      <c r="G537" s="197">
        <v>393600</v>
      </c>
      <c r="H537" s="198">
        <f>IF(AND(E536&gt;=H536,E537&gt;=E536),E536*(1+'Trading Model'!$E$13),IF(AND(E537&lt;E536,E536&gt;=H536),E537*(1+'Trading Model'!$E$13),H536))</f>
        <v>27.698998950000004</v>
      </c>
      <c r="I537" s="198">
        <f>IF(K537&gt;0,E537*(1-'Trading Model'!E547),IF(E537&lt;I536,I536*(1-'Trading Model'!$E$14),I536))</f>
        <v>21.486674060493748</v>
      </c>
      <c r="J537" s="198">
        <f t="shared" si="71"/>
        <v>0</v>
      </c>
      <c r="K537" s="198">
        <f t="shared" si="66"/>
        <v>0</v>
      </c>
      <c r="L537" s="198">
        <f>COUNTIF(J537:K537,"&lt;&gt;0")*-'Trading Model'!$E$15</f>
        <v>0</v>
      </c>
      <c r="M537" s="198">
        <f t="shared" si="64"/>
        <v>0</v>
      </c>
      <c r="N537" s="75">
        <f t="shared" si="67"/>
        <v>28</v>
      </c>
      <c r="O537" s="202">
        <f t="shared" si="68"/>
        <v>0</v>
      </c>
      <c r="P537" s="199">
        <f t="shared" si="65"/>
        <v>0</v>
      </c>
      <c r="Q537" s="203">
        <f t="shared" si="69"/>
        <v>74.900000000001427</v>
      </c>
      <c r="R537" s="201">
        <f>E537/B533-1</f>
        <v>2.114326463808669E-2</v>
      </c>
      <c r="S537" s="201">
        <f t="shared" si="70"/>
        <v>3.9872408293460948E-2</v>
      </c>
    </row>
    <row r="538" spans="1:19">
      <c r="A538" s="196">
        <v>40746</v>
      </c>
      <c r="B538" s="122">
        <v>26.139999</v>
      </c>
      <c r="C538" s="122">
        <v>26.139999</v>
      </c>
      <c r="D538" s="122">
        <v>25.629999000000002</v>
      </c>
      <c r="E538" s="122">
        <v>26.040001</v>
      </c>
      <c r="F538" s="122">
        <v>18.319254000000001</v>
      </c>
      <c r="G538" s="197">
        <v>176000</v>
      </c>
      <c r="H538" s="198">
        <f>IF(AND(E537&gt;=H537,E538&gt;=E537),E537*(1+'Trading Model'!$E$13),IF(AND(E538&lt;E537,E537&gt;=H537),E538*(1+'Trading Model'!$E$13),H537))</f>
        <v>27.698998950000004</v>
      </c>
      <c r="I538" s="198">
        <f>IF(K538&gt;0,E538*(1-'Trading Model'!E548),IF(E538&lt;I537,I537*(1-'Trading Model'!$E$14),I537))</f>
        <v>21.486674060493748</v>
      </c>
      <c r="J538" s="198">
        <f t="shared" si="71"/>
        <v>0</v>
      </c>
      <c r="K538" s="198">
        <f t="shared" si="66"/>
        <v>0</v>
      </c>
      <c r="L538" s="198">
        <f>COUNTIF(J538:K538,"&lt;&gt;0")*-'Trading Model'!$E$15</f>
        <v>0</v>
      </c>
      <c r="M538" s="198">
        <f t="shared" si="64"/>
        <v>0</v>
      </c>
      <c r="N538" s="75">
        <f t="shared" si="67"/>
        <v>28</v>
      </c>
      <c r="O538" s="202">
        <f t="shared" si="68"/>
        <v>0</v>
      </c>
      <c r="P538" s="199">
        <f t="shared" si="65"/>
        <v>0</v>
      </c>
      <c r="Q538" s="203">
        <f t="shared" si="69"/>
        <v>74.800000000001432</v>
      </c>
      <c r="R538" s="160" t="s">
        <v>55</v>
      </c>
      <c r="S538" s="201">
        <f t="shared" si="70"/>
        <v>-1.5337039877300063E-3</v>
      </c>
    </row>
    <row r="539" spans="1:19">
      <c r="A539" s="196">
        <v>40749</v>
      </c>
      <c r="B539" s="122">
        <v>26</v>
      </c>
      <c r="C539" s="122">
        <v>26.120000999999998</v>
      </c>
      <c r="D539" s="122">
        <v>25.639999</v>
      </c>
      <c r="E539" s="122">
        <v>25.700001</v>
      </c>
      <c r="F539" s="122">
        <v>18.080061000000001</v>
      </c>
      <c r="G539" s="197">
        <v>126400</v>
      </c>
      <c r="H539" s="198">
        <f>IF(AND(E538&gt;=H538,E539&gt;=E538),E538*(1+'Trading Model'!$E$13),IF(AND(E539&lt;E538,E538&gt;=H538),E539*(1+'Trading Model'!$E$13),H538))</f>
        <v>27.698998950000004</v>
      </c>
      <c r="I539" s="198">
        <f>IF(K539&gt;0,E539*(1-'Trading Model'!E549),IF(E539&lt;I538,I538*(1-'Trading Model'!$E$14),I538))</f>
        <v>21.486674060493748</v>
      </c>
      <c r="J539" s="198">
        <f t="shared" si="71"/>
        <v>0</v>
      </c>
      <c r="K539" s="198">
        <f t="shared" si="66"/>
        <v>0</v>
      </c>
      <c r="L539" s="198">
        <f>COUNTIF(J539:K539,"&lt;&gt;0")*-'Trading Model'!$E$15</f>
        <v>0</v>
      </c>
      <c r="M539" s="198">
        <f t="shared" si="64"/>
        <v>0</v>
      </c>
      <c r="N539" s="75">
        <f t="shared" si="67"/>
        <v>28</v>
      </c>
      <c r="O539" s="202">
        <f t="shared" si="68"/>
        <v>0</v>
      </c>
      <c r="P539" s="199">
        <f t="shared" si="65"/>
        <v>0</v>
      </c>
      <c r="Q539" s="203">
        <f t="shared" si="69"/>
        <v>74.700000000001438</v>
      </c>
      <c r="R539" s="203" t="s">
        <v>55</v>
      </c>
      <c r="S539" s="201">
        <f t="shared" si="70"/>
        <v>-1.3056835136066258E-2</v>
      </c>
    </row>
    <row r="540" spans="1:19">
      <c r="A540" s="196">
        <v>40750</v>
      </c>
      <c r="B540" s="122">
        <v>25.82</v>
      </c>
      <c r="C540" s="122">
        <v>25.940000999999999</v>
      </c>
      <c r="D540" s="122">
        <v>25.639999</v>
      </c>
      <c r="E540" s="122">
        <v>25.93</v>
      </c>
      <c r="F540" s="122">
        <v>18.241866999999999</v>
      </c>
      <c r="G540" s="197">
        <v>166600</v>
      </c>
      <c r="H540" s="198">
        <f>IF(AND(E539&gt;=H539,E540&gt;=E539),E539*(1+'Trading Model'!$E$13),IF(AND(E540&lt;E539,E539&gt;=H539),E540*(1+'Trading Model'!$E$13),H539))</f>
        <v>27.698998950000004</v>
      </c>
      <c r="I540" s="198">
        <f>IF(K540&gt;0,E540*(1-'Trading Model'!E550),IF(E540&lt;I539,I539*(1-'Trading Model'!$E$14),I539))</f>
        <v>21.486674060493748</v>
      </c>
      <c r="J540" s="198">
        <f t="shared" si="71"/>
        <v>0</v>
      </c>
      <c r="K540" s="198">
        <f t="shared" si="66"/>
        <v>0</v>
      </c>
      <c r="L540" s="198">
        <f>COUNTIF(J540:K540,"&lt;&gt;0")*-'Trading Model'!$E$15</f>
        <v>0</v>
      </c>
      <c r="M540" s="198">
        <f t="shared" si="64"/>
        <v>0</v>
      </c>
      <c r="N540" s="75">
        <f t="shared" si="67"/>
        <v>28</v>
      </c>
      <c r="O540" s="202">
        <f t="shared" si="68"/>
        <v>0</v>
      </c>
      <c r="P540" s="199">
        <f t="shared" si="65"/>
        <v>0</v>
      </c>
      <c r="Q540" s="203">
        <f t="shared" si="69"/>
        <v>74.700000000001438</v>
      </c>
      <c r="R540" s="203" t="s">
        <v>55</v>
      </c>
      <c r="S540" s="201">
        <f t="shared" si="70"/>
        <v>8.9493770836817088E-3</v>
      </c>
    </row>
    <row r="541" spans="1:19">
      <c r="A541" s="196">
        <v>40751</v>
      </c>
      <c r="B541" s="122">
        <v>25.9</v>
      </c>
      <c r="C541" s="122">
        <v>25.91</v>
      </c>
      <c r="D541" s="122">
        <v>25.1</v>
      </c>
      <c r="E541" s="122">
        <v>25.280000999999999</v>
      </c>
      <c r="F541" s="122">
        <v>17.784590000000001</v>
      </c>
      <c r="G541" s="197">
        <v>181400</v>
      </c>
      <c r="H541" s="198">
        <f>IF(AND(E540&gt;=H540,E541&gt;=E540),E540*(1+'Trading Model'!$E$13),IF(AND(E541&lt;E540,E540&gt;=H540),E541*(1+'Trading Model'!$E$13),H540))</f>
        <v>27.698998950000004</v>
      </c>
      <c r="I541" s="198">
        <f>IF(K541&gt;0,E541*(1-'Trading Model'!E551),IF(E541&lt;I540,I540*(1-'Trading Model'!$E$14),I540))</f>
        <v>21.486674060493748</v>
      </c>
      <c r="J541" s="198">
        <f t="shared" si="71"/>
        <v>0</v>
      </c>
      <c r="K541" s="198">
        <f t="shared" si="66"/>
        <v>0</v>
      </c>
      <c r="L541" s="198">
        <f>COUNTIF(J541:K541,"&lt;&gt;0")*-'Trading Model'!$E$15</f>
        <v>0</v>
      </c>
      <c r="M541" s="198">
        <f t="shared" si="64"/>
        <v>0</v>
      </c>
      <c r="N541" s="75">
        <f t="shared" si="67"/>
        <v>28</v>
      </c>
      <c r="O541" s="202">
        <f t="shared" si="68"/>
        <v>0</v>
      </c>
      <c r="P541" s="199">
        <f t="shared" si="65"/>
        <v>0</v>
      </c>
      <c r="Q541" s="203">
        <f t="shared" si="69"/>
        <v>74.600000000001444</v>
      </c>
      <c r="R541" s="203" t="s">
        <v>55</v>
      </c>
      <c r="S541" s="201">
        <f t="shared" si="70"/>
        <v>-2.5067450829155513E-2</v>
      </c>
    </row>
    <row r="542" spans="1:19">
      <c r="A542" s="196">
        <v>40752</v>
      </c>
      <c r="B542" s="122">
        <v>25.27</v>
      </c>
      <c r="C542" s="122">
        <v>25.75</v>
      </c>
      <c r="D542" s="122">
        <v>25.16</v>
      </c>
      <c r="E542" s="122">
        <v>25.190000999999999</v>
      </c>
      <c r="F542" s="122">
        <v>17.721274999999999</v>
      </c>
      <c r="G542" s="197">
        <v>185500</v>
      </c>
      <c r="H542" s="198">
        <f>IF(AND(E541&gt;=H541,E542&gt;=E541),E541*(1+'Trading Model'!$E$13),IF(AND(E542&lt;E541,E541&gt;=H541),E542*(1+'Trading Model'!$E$13),H541))</f>
        <v>27.698998950000004</v>
      </c>
      <c r="I542" s="198">
        <f>IF(K542&gt;0,E542*(1-'Trading Model'!E552),IF(E542&lt;I541,I541*(1-'Trading Model'!$E$14),I541))</f>
        <v>21.486674060493748</v>
      </c>
      <c r="J542" s="198">
        <f t="shared" si="71"/>
        <v>0</v>
      </c>
      <c r="K542" s="198">
        <f t="shared" si="66"/>
        <v>0</v>
      </c>
      <c r="L542" s="198">
        <f>COUNTIF(J542:K542,"&lt;&gt;0")*-'Trading Model'!$E$15</f>
        <v>0</v>
      </c>
      <c r="M542" s="198">
        <f t="shared" si="64"/>
        <v>0</v>
      </c>
      <c r="N542" s="75">
        <f t="shared" si="67"/>
        <v>28</v>
      </c>
      <c r="O542" s="202">
        <f t="shared" si="68"/>
        <v>0</v>
      </c>
      <c r="P542" s="199">
        <f t="shared" si="65"/>
        <v>0</v>
      </c>
      <c r="Q542" s="203">
        <f t="shared" si="69"/>
        <v>74.50000000000145</v>
      </c>
      <c r="R542" s="201">
        <f>E542/B538-1</f>
        <v>-3.6342694580822288E-2</v>
      </c>
      <c r="S542" s="201">
        <f t="shared" si="70"/>
        <v>-3.5601264414506506E-3</v>
      </c>
    </row>
    <row r="543" spans="1:19">
      <c r="A543" s="196">
        <v>40753</v>
      </c>
      <c r="B543" s="122">
        <v>25.110001</v>
      </c>
      <c r="C543" s="122">
        <v>25.5</v>
      </c>
      <c r="D543" s="122">
        <v>24.940000999999999</v>
      </c>
      <c r="E543" s="122">
        <v>25.290001</v>
      </c>
      <c r="F543" s="122">
        <v>17.791623999999999</v>
      </c>
      <c r="G543" s="197">
        <v>171200</v>
      </c>
      <c r="H543" s="198">
        <f>IF(AND(E542&gt;=H542,E543&gt;=E542),E542*(1+'Trading Model'!$E$13),IF(AND(E543&lt;E542,E542&gt;=H542),E543*(1+'Trading Model'!$E$13),H542))</f>
        <v>27.698998950000004</v>
      </c>
      <c r="I543" s="198">
        <f>IF(K543&gt;0,E543*(1-'Trading Model'!E553),IF(E543&lt;I542,I542*(1-'Trading Model'!$E$14),I542))</f>
        <v>21.486674060493748</v>
      </c>
      <c r="J543" s="198">
        <f t="shared" si="71"/>
        <v>0</v>
      </c>
      <c r="K543" s="198">
        <f t="shared" si="66"/>
        <v>0</v>
      </c>
      <c r="L543" s="198">
        <f>COUNTIF(J543:K543,"&lt;&gt;0")*-'Trading Model'!$E$15</f>
        <v>0</v>
      </c>
      <c r="M543" s="198">
        <f t="shared" si="64"/>
        <v>0</v>
      </c>
      <c r="N543" s="75">
        <f t="shared" si="67"/>
        <v>28</v>
      </c>
      <c r="O543" s="202">
        <f t="shared" si="68"/>
        <v>0</v>
      </c>
      <c r="P543" s="199">
        <f t="shared" si="65"/>
        <v>0</v>
      </c>
      <c r="Q543" s="203">
        <f t="shared" si="69"/>
        <v>74.50000000000145</v>
      </c>
      <c r="R543" s="160" t="s">
        <v>55</v>
      </c>
      <c r="S543" s="201">
        <f t="shared" si="70"/>
        <v>3.9698291397447516E-3</v>
      </c>
    </row>
    <row r="544" spans="1:19">
      <c r="A544" s="196">
        <v>40756</v>
      </c>
      <c r="B544" s="122">
        <v>25.780000999999999</v>
      </c>
      <c r="C544" s="122">
        <v>25.879999000000002</v>
      </c>
      <c r="D544" s="122">
        <v>25.209999</v>
      </c>
      <c r="E544" s="122">
        <v>25.559999000000001</v>
      </c>
      <c r="F544" s="122">
        <v>17.981569</v>
      </c>
      <c r="G544" s="197">
        <v>195300</v>
      </c>
      <c r="H544" s="198">
        <f>IF(AND(E543&gt;=H543,E544&gt;=E543),E543*(1+'Trading Model'!$E$13),IF(AND(E544&lt;E543,E543&gt;=H543),E544*(1+'Trading Model'!$E$13),H543))</f>
        <v>27.698998950000004</v>
      </c>
      <c r="I544" s="198">
        <f>IF(K544&gt;0,E544*(1-'Trading Model'!E554),IF(E544&lt;I543,I543*(1-'Trading Model'!$E$14),I543))</f>
        <v>21.486674060493748</v>
      </c>
      <c r="J544" s="198">
        <f t="shared" si="71"/>
        <v>0</v>
      </c>
      <c r="K544" s="198">
        <f t="shared" si="66"/>
        <v>0</v>
      </c>
      <c r="L544" s="198">
        <f>COUNTIF(J544:K544,"&lt;&gt;0")*-'Trading Model'!$E$15</f>
        <v>0</v>
      </c>
      <c r="M544" s="198">
        <f t="shared" si="64"/>
        <v>0</v>
      </c>
      <c r="N544" s="75">
        <f t="shared" si="67"/>
        <v>28</v>
      </c>
      <c r="O544" s="202">
        <f t="shared" si="68"/>
        <v>0</v>
      </c>
      <c r="P544" s="199">
        <f t="shared" si="65"/>
        <v>0</v>
      </c>
      <c r="Q544" s="203">
        <f t="shared" si="69"/>
        <v>74.50000000000145</v>
      </c>
      <c r="R544" s="203" t="s">
        <v>55</v>
      </c>
      <c r="S544" s="201">
        <f t="shared" si="70"/>
        <v>1.0676077078842328E-2</v>
      </c>
    </row>
    <row r="545" spans="1:19">
      <c r="A545" s="196">
        <v>40757</v>
      </c>
      <c r="B545" s="122">
        <v>25.5</v>
      </c>
      <c r="C545" s="122">
        <v>25.99</v>
      </c>
      <c r="D545" s="122">
        <v>25.5</v>
      </c>
      <c r="E545" s="122">
        <v>25.73</v>
      </c>
      <c r="F545" s="122">
        <v>18.101168000000001</v>
      </c>
      <c r="G545" s="197">
        <v>301000</v>
      </c>
      <c r="H545" s="198">
        <f>IF(AND(E544&gt;=H544,E545&gt;=E544),E544*(1+'Trading Model'!$E$13),IF(AND(E545&lt;E544,E544&gt;=H544),E545*(1+'Trading Model'!$E$13),H544))</f>
        <v>27.698998950000004</v>
      </c>
      <c r="I545" s="198">
        <f>IF(K545&gt;0,E545*(1-'Trading Model'!E555),IF(E545&lt;I544,I544*(1-'Trading Model'!$E$14),I544))</f>
        <v>21.486674060493748</v>
      </c>
      <c r="J545" s="198">
        <f t="shared" si="71"/>
        <v>0</v>
      </c>
      <c r="K545" s="198">
        <f t="shared" si="66"/>
        <v>0</v>
      </c>
      <c r="L545" s="198">
        <f>COUNTIF(J545:K545,"&lt;&gt;0")*-'Trading Model'!$E$15</f>
        <v>0</v>
      </c>
      <c r="M545" s="198">
        <f t="shared" si="64"/>
        <v>0</v>
      </c>
      <c r="N545" s="75">
        <f t="shared" si="67"/>
        <v>28</v>
      </c>
      <c r="O545" s="202">
        <f t="shared" si="68"/>
        <v>0</v>
      </c>
      <c r="P545" s="199">
        <f t="shared" si="65"/>
        <v>0</v>
      </c>
      <c r="Q545" s="203">
        <f t="shared" si="69"/>
        <v>74.50000000000145</v>
      </c>
      <c r="R545" s="203" t="s">
        <v>55</v>
      </c>
      <c r="S545" s="201">
        <f t="shared" si="70"/>
        <v>6.6510565982416114E-3</v>
      </c>
    </row>
    <row r="546" spans="1:19">
      <c r="A546" s="196">
        <v>40758</v>
      </c>
      <c r="B546" s="122">
        <v>25.889999</v>
      </c>
      <c r="C546" s="122">
        <v>25.9</v>
      </c>
      <c r="D546" s="122">
        <v>25.200001</v>
      </c>
      <c r="E546" s="122">
        <v>25.440000999999999</v>
      </c>
      <c r="F546" s="122">
        <v>17.897145999999999</v>
      </c>
      <c r="G546" s="197">
        <v>197900</v>
      </c>
      <c r="H546" s="198">
        <f>IF(AND(E545&gt;=H545,E546&gt;=E545),E545*(1+'Trading Model'!$E$13),IF(AND(E546&lt;E545,E545&gt;=H545),E546*(1+'Trading Model'!$E$13),H545))</f>
        <v>27.698998950000004</v>
      </c>
      <c r="I546" s="198">
        <f>IF(K546&gt;0,E546*(1-'Trading Model'!E556),IF(E546&lt;I545,I545*(1-'Trading Model'!$E$14),I545))</f>
        <v>21.486674060493748</v>
      </c>
      <c r="J546" s="198">
        <f t="shared" si="71"/>
        <v>0</v>
      </c>
      <c r="K546" s="198">
        <f t="shared" si="66"/>
        <v>0</v>
      </c>
      <c r="L546" s="198">
        <f>COUNTIF(J546:K546,"&lt;&gt;0")*-'Trading Model'!$E$15</f>
        <v>0</v>
      </c>
      <c r="M546" s="198">
        <f t="shared" si="64"/>
        <v>0</v>
      </c>
      <c r="N546" s="75">
        <f t="shared" si="67"/>
        <v>28</v>
      </c>
      <c r="O546" s="202">
        <f t="shared" si="68"/>
        <v>0</v>
      </c>
      <c r="P546" s="199">
        <f t="shared" si="65"/>
        <v>0</v>
      </c>
      <c r="Q546" s="203">
        <f t="shared" si="69"/>
        <v>74.400000000001455</v>
      </c>
      <c r="R546" s="203" t="s">
        <v>55</v>
      </c>
      <c r="S546" s="201">
        <f t="shared" si="70"/>
        <v>-1.1270851146521599E-2</v>
      </c>
    </row>
    <row r="547" spans="1:19">
      <c r="A547" s="196">
        <v>40759</v>
      </c>
      <c r="B547" s="122">
        <v>25.209999</v>
      </c>
      <c r="C547" s="122">
        <v>25.290001</v>
      </c>
      <c r="D547" s="122">
        <v>23.879999000000002</v>
      </c>
      <c r="E547" s="122">
        <v>24.059999000000001</v>
      </c>
      <c r="F547" s="122">
        <v>16.926310999999998</v>
      </c>
      <c r="G547" s="197">
        <v>378900</v>
      </c>
      <c r="H547" s="198">
        <f>IF(AND(E546&gt;=H546,E547&gt;=E546),E546*(1+'Trading Model'!$E$13),IF(AND(E547&lt;E546,E546&gt;=H546),E547*(1+'Trading Model'!$E$13),H546))</f>
        <v>27.698998950000004</v>
      </c>
      <c r="I547" s="198">
        <f>IF(K547&gt;0,E547*(1-'Trading Model'!E557),IF(E547&lt;I546,I546*(1-'Trading Model'!$E$14),I546))</f>
        <v>21.486674060493748</v>
      </c>
      <c r="J547" s="198">
        <f t="shared" si="71"/>
        <v>0</v>
      </c>
      <c r="K547" s="198">
        <f t="shared" si="66"/>
        <v>0</v>
      </c>
      <c r="L547" s="198">
        <f>COUNTIF(J547:K547,"&lt;&gt;0")*-'Trading Model'!$E$15</f>
        <v>0</v>
      </c>
      <c r="M547" s="198">
        <f t="shared" si="64"/>
        <v>0</v>
      </c>
      <c r="N547" s="75">
        <f t="shared" si="67"/>
        <v>28</v>
      </c>
      <c r="O547" s="202">
        <f t="shared" si="68"/>
        <v>0</v>
      </c>
      <c r="P547" s="199">
        <f t="shared" si="65"/>
        <v>0</v>
      </c>
      <c r="Q547" s="203">
        <f t="shared" si="69"/>
        <v>74.300000000001461</v>
      </c>
      <c r="R547" s="201">
        <f>E547/B543-1</f>
        <v>-4.1816087542170921E-2</v>
      </c>
      <c r="S547" s="201">
        <f t="shared" si="70"/>
        <v>-5.4245359502933854E-2</v>
      </c>
    </row>
    <row r="548" spans="1:19">
      <c r="A548" s="196">
        <v>40760</v>
      </c>
      <c r="B548" s="122">
        <v>24.049999</v>
      </c>
      <c r="C548" s="122">
        <v>24.42</v>
      </c>
      <c r="D548" s="122">
        <v>23.299999</v>
      </c>
      <c r="E548" s="122">
        <v>24.200001</v>
      </c>
      <c r="F548" s="122">
        <v>17.024805000000001</v>
      </c>
      <c r="G548" s="197">
        <v>322600</v>
      </c>
      <c r="H548" s="198">
        <f>IF(AND(E547&gt;=H547,E548&gt;=E547),E547*(1+'Trading Model'!$E$13),IF(AND(E548&lt;E547,E547&gt;=H547),E548*(1+'Trading Model'!$E$13),H547))</f>
        <v>27.698998950000004</v>
      </c>
      <c r="I548" s="198">
        <f>IF(K548&gt;0,E548*(1-'Trading Model'!E558),IF(E548&lt;I547,I547*(1-'Trading Model'!$E$14),I547))</f>
        <v>21.486674060493748</v>
      </c>
      <c r="J548" s="198">
        <f t="shared" si="71"/>
        <v>0</v>
      </c>
      <c r="K548" s="198">
        <f t="shared" si="66"/>
        <v>0</v>
      </c>
      <c r="L548" s="198">
        <f>COUNTIF(J548:K548,"&lt;&gt;0")*-'Trading Model'!$E$15</f>
        <v>0</v>
      </c>
      <c r="M548" s="198">
        <f t="shared" si="64"/>
        <v>0</v>
      </c>
      <c r="N548" s="75">
        <f t="shared" si="67"/>
        <v>28</v>
      </c>
      <c r="O548" s="202">
        <f t="shared" si="68"/>
        <v>0</v>
      </c>
      <c r="P548" s="199">
        <f t="shared" si="65"/>
        <v>0</v>
      </c>
      <c r="Q548" s="203">
        <f t="shared" si="69"/>
        <v>74.300000000001461</v>
      </c>
      <c r="R548" s="160" t="s">
        <v>55</v>
      </c>
      <c r="S548" s="201">
        <f t="shared" si="70"/>
        <v>5.8188697347825169E-3</v>
      </c>
    </row>
    <row r="549" spans="1:19">
      <c r="A549" s="196">
        <v>40763</v>
      </c>
      <c r="B549" s="122">
        <v>23.73</v>
      </c>
      <c r="C549" s="122">
        <v>23.76</v>
      </c>
      <c r="D549" s="122">
        <v>22.02</v>
      </c>
      <c r="E549" s="122">
        <v>22.040001</v>
      </c>
      <c r="F549" s="122">
        <v>15.505233</v>
      </c>
      <c r="G549" s="197">
        <v>352400</v>
      </c>
      <c r="H549" s="198">
        <f>IF(AND(E548&gt;=H548,E549&gt;=E548),E548*(1+'Trading Model'!$E$13),IF(AND(E549&lt;E548,E548&gt;=H548),E549*(1+'Trading Model'!$E$13),H548))</f>
        <v>27.698998950000004</v>
      </c>
      <c r="I549" s="198">
        <f>IF(K549&gt;0,E549*(1-'Trading Model'!E559),IF(E549&lt;I548,I548*(1-'Trading Model'!$E$14),I548))</f>
        <v>21.486674060493748</v>
      </c>
      <c r="J549" s="198">
        <f t="shared" si="71"/>
        <v>0</v>
      </c>
      <c r="K549" s="198">
        <f t="shared" si="66"/>
        <v>0</v>
      </c>
      <c r="L549" s="198">
        <f>COUNTIF(J549:K549,"&lt;&gt;0")*-'Trading Model'!$E$15</f>
        <v>0</v>
      </c>
      <c r="M549" s="198">
        <f t="shared" si="64"/>
        <v>0</v>
      </c>
      <c r="N549" s="75">
        <f t="shared" si="67"/>
        <v>28</v>
      </c>
      <c r="O549" s="202">
        <f t="shared" si="68"/>
        <v>0</v>
      </c>
      <c r="P549" s="199">
        <f t="shared" si="65"/>
        <v>0</v>
      </c>
      <c r="Q549" s="203">
        <f t="shared" si="69"/>
        <v>74.200000000001467</v>
      </c>
      <c r="R549" s="203" t="s">
        <v>55</v>
      </c>
      <c r="S549" s="201">
        <f t="shared" si="70"/>
        <v>-8.9256194658834942E-2</v>
      </c>
    </row>
    <row r="550" spans="1:19">
      <c r="A550" s="196">
        <v>40764</v>
      </c>
      <c r="B550" s="122">
        <v>22.27</v>
      </c>
      <c r="C550" s="122">
        <v>23.32</v>
      </c>
      <c r="D550" s="122">
        <v>22.040001</v>
      </c>
      <c r="E550" s="122">
        <v>23.32</v>
      </c>
      <c r="F550" s="122">
        <v>16.405719999999999</v>
      </c>
      <c r="G550" s="197">
        <v>479500</v>
      </c>
      <c r="H550" s="198">
        <f>IF(AND(E549&gt;=H549,E550&gt;=E549),E549*(1+'Trading Model'!$E$13),IF(AND(E550&lt;E549,E549&gt;=H549),E550*(1+'Trading Model'!$E$13),H549))</f>
        <v>27.698998950000004</v>
      </c>
      <c r="I550" s="198">
        <f>IF(K550&gt;0,E550*(1-'Trading Model'!E560),IF(E550&lt;I549,I549*(1-'Trading Model'!$E$14),I549))</f>
        <v>21.486674060493748</v>
      </c>
      <c r="J550" s="198">
        <f t="shared" si="71"/>
        <v>0</v>
      </c>
      <c r="K550" s="198">
        <f t="shared" si="66"/>
        <v>0</v>
      </c>
      <c r="L550" s="198">
        <f>COUNTIF(J550:K550,"&lt;&gt;0")*-'Trading Model'!$E$15</f>
        <v>0</v>
      </c>
      <c r="M550" s="198">
        <f t="shared" si="64"/>
        <v>0</v>
      </c>
      <c r="N550" s="75">
        <f t="shared" si="67"/>
        <v>28</v>
      </c>
      <c r="O550" s="202">
        <f t="shared" si="68"/>
        <v>0</v>
      </c>
      <c r="P550" s="199">
        <f t="shared" si="65"/>
        <v>0</v>
      </c>
      <c r="Q550" s="203">
        <f t="shared" si="69"/>
        <v>74.200000000001467</v>
      </c>
      <c r="R550" s="203" t="s">
        <v>55</v>
      </c>
      <c r="S550" s="201">
        <f t="shared" si="70"/>
        <v>5.8076177038286048E-2</v>
      </c>
    </row>
    <row r="551" spans="1:19">
      <c r="A551" s="196">
        <v>40765</v>
      </c>
      <c r="B551" s="122">
        <v>23.17</v>
      </c>
      <c r="C551" s="122">
        <v>23.190000999999999</v>
      </c>
      <c r="D551" s="122">
        <v>22.440000999999999</v>
      </c>
      <c r="E551" s="122">
        <v>22.549999</v>
      </c>
      <c r="F551" s="122">
        <v>15.864022</v>
      </c>
      <c r="G551" s="197">
        <v>232400</v>
      </c>
      <c r="H551" s="198">
        <f>IF(AND(E550&gt;=H550,E551&gt;=E550),E550*(1+'Trading Model'!$E$13),IF(AND(E551&lt;E550,E550&gt;=H550),E551*(1+'Trading Model'!$E$13),H550))</f>
        <v>27.698998950000004</v>
      </c>
      <c r="I551" s="198">
        <f>IF(K551&gt;0,E551*(1-'Trading Model'!E561),IF(E551&lt;I550,I550*(1-'Trading Model'!$E$14),I550))</f>
        <v>21.486674060493748</v>
      </c>
      <c r="J551" s="198">
        <f t="shared" si="71"/>
        <v>0</v>
      </c>
      <c r="K551" s="198">
        <f t="shared" si="66"/>
        <v>0</v>
      </c>
      <c r="L551" s="198">
        <f>COUNTIF(J551:K551,"&lt;&gt;0")*-'Trading Model'!$E$15</f>
        <v>0</v>
      </c>
      <c r="M551" s="198">
        <f t="shared" si="64"/>
        <v>0</v>
      </c>
      <c r="N551" s="75">
        <f t="shared" si="67"/>
        <v>28</v>
      </c>
      <c r="O551" s="202">
        <f t="shared" si="68"/>
        <v>0</v>
      </c>
      <c r="P551" s="199">
        <f t="shared" si="65"/>
        <v>0</v>
      </c>
      <c r="Q551" s="203">
        <f t="shared" si="69"/>
        <v>74.100000000001472</v>
      </c>
      <c r="R551" s="203" t="s">
        <v>55</v>
      </c>
      <c r="S551" s="201">
        <f t="shared" si="70"/>
        <v>-3.3018910806175028E-2</v>
      </c>
    </row>
    <row r="552" spans="1:19">
      <c r="A552" s="196">
        <v>40766</v>
      </c>
      <c r="B552" s="122">
        <v>22.67</v>
      </c>
      <c r="C552" s="122">
        <v>23.450001</v>
      </c>
      <c r="D552" s="122">
        <v>22.48</v>
      </c>
      <c r="E552" s="122">
        <v>23.35</v>
      </c>
      <c r="F552" s="122">
        <v>16.426825000000001</v>
      </c>
      <c r="G552" s="197">
        <v>149400</v>
      </c>
      <c r="H552" s="198">
        <f>IF(AND(E551&gt;=H551,E552&gt;=E551),E551*(1+'Trading Model'!$E$13),IF(AND(E552&lt;E551,E551&gt;=H551),E552*(1+'Trading Model'!$E$13),H551))</f>
        <v>27.698998950000004</v>
      </c>
      <c r="I552" s="198">
        <f>IF(K552&gt;0,E552*(1-'Trading Model'!E562),IF(E552&lt;I551,I551*(1-'Trading Model'!$E$14),I551))</f>
        <v>21.486674060493748</v>
      </c>
      <c r="J552" s="198">
        <f t="shared" si="71"/>
        <v>0</v>
      </c>
      <c r="K552" s="198">
        <f t="shared" si="66"/>
        <v>0</v>
      </c>
      <c r="L552" s="198">
        <f>COUNTIF(J552:K552,"&lt;&gt;0")*-'Trading Model'!$E$15</f>
        <v>0</v>
      </c>
      <c r="M552" s="198">
        <f t="shared" si="64"/>
        <v>0</v>
      </c>
      <c r="N552" s="75">
        <f t="shared" si="67"/>
        <v>28</v>
      </c>
      <c r="O552" s="202">
        <f t="shared" si="68"/>
        <v>0</v>
      </c>
      <c r="P552" s="199">
        <f t="shared" si="65"/>
        <v>0</v>
      </c>
      <c r="Q552" s="203">
        <f t="shared" si="69"/>
        <v>74.100000000001472</v>
      </c>
      <c r="R552" s="201">
        <f>E552/B548-1</f>
        <v>-2.9105988736215727E-2</v>
      </c>
      <c r="S552" s="201">
        <f t="shared" si="70"/>
        <v>3.5476764322694754E-2</v>
      </c>
    </row>
    <row r="553" spans="1:19">
      <c r="A553" s="196">
        <v>40767</v>
      </c>
      <c r="B553" s="122">
        <v>23.49</v>
      </c>
      <c r="C553" s="122">
        <v>23.969999000000001</v>
      </c>
      <c r="D553" s="122">
        <v>22.870000999999998</v>
      </c>
      <c r="E553" s="122">
        <v>23.030000999999999</v>
      </c>
      <c r="F553" s="122">
        <v>16.201699999999999</v>
      </c>
      <c r="G553" s="197">
        <v>199500</v>
      </c>
      <c r="H553" s="198">
        <f>IF(AND(E552&gt;=H552,E553&gt;=E552),E552*(1+'Trading Model'!$E$13),IF(AND(E553&lt;E552,E552&gt;=H552),E553*(1+'Trading Model'!$E$13),H552))</f>
        <v>27.698998950000004</v>
      </c>
      <c r="I553" s="198">
        <f>IF(K553&gt;0,E553*(1-'Trading Model'!E563),IF(E553&lt;I552,I552*(1-'Trading Model'!$E$14),I552))</f>
        <v>21.486674060493748</v>
      </c>
      <c r="J553" s="198">
        <f t="shared" si="71"/>
        <v>0</v>
      </c>
      <c r="K553" s="198">
        <f t="shared" si="66"/>
        <v>0</v>
      </c>
      <c r="L553" s="198">
        <f>COUNTIF(J553:K553,"&lt;&gt;0")*-'Trading Model'!$E$15</f>
        <v>0</v>
      </c>
      <c r="M553" s="198">
        <f t="shared" si="64"/>
        <v>0</v>
      </c>
      <c r="N553" s="75">
        <f t="shared" si="67"/>
        <v>28</v>
      </c>
      <c r="O553" s="202">
        <f t="shared" si="68"/>
        <v>0</v>
      </c>
      <c r="P553" s="199">
        <f t="shared" si="65"/>
        <v>0</v>
      </c>
      <c r="Q553" s="203">
        <f t="shared" si="69"/>
        <v>74.000000000001478</v>
      </c>
      <c r="R553" s="160" t="s">
        <v>55</v>
      </c>
      <c r="S553" s="201">
        <f t="shared" si="70"/>
        <v>-1.3704453961456253E-2</v>
      </c>
    </row>
    <row r="554" spans="1:19">
      <c r="A554" s="196">
        <v>40770</v>
      </c>
      <c r="B554" s="122">
        <v>23.35</v>
      </c>
      <c r="C554" s="122">
        <v>24</v>
      </c>
      <c r="D554" s="122">
        <v>22.889999</v>
      </c>
      <c r="E554" s="122">
        <v>23.92</v>
      </c>
      <c r="F554" s="122">
        <v>16.827819999999999</v>
      </c>
      <c r="G554" s="197">
        <v>460300</v>
      </c>
      <c r="H554" s="198">
        <f>IF(AND(E553&gt;=H553,E554&gt;=E553),E553*(1+'Trading Model'!$E$13),IF(AND(E554&lt;E553,E553&gt;=H553),E554*(1+'Trading Model'!$E$13),H553))</f>
        <v>27.698998950000004</v>
      </c>
      <c r="I554" s="198">
        <f>IF(K554&gt;0,E554*(1-'Trading Model'!E564),IF(E554&lt;I553,I553*(1-'Trading Model'!$E$14),I553))</f>
        <v>21.486674060493748</v>
      </c>
      <c r="J554" s="198">
        <f t="shared" si="71"/>
        <v>0</v>
      </c>
      <c r="K554" s="198">
        <f t="shared" si="66"/>
        <v>0</v>
      </c>
      <c r="L554" s="198">
        <f>COUNTIF(J554:K554,"&lt;&gt;0")*-'Trading Model'!$E$15</f>
        <v>0</v>
      </c>
      <c r="M554" s="198">
        <f t="shared" si="64"/>
        <v>0</v>
      </c>
      <c r="N554" s="75">
        <f t="shared" si="67"/>
        <v>28</v>
      </c>
      <c r="O554" s="202">
        <f t="shared" si="68"/>
        <v>0</v>
      </c>
      <c r="P554" s="199">
        <f t="shared" si="65"/>
        <v>0</v>
      </c>
      <c r="Q554" s="203">
        <f t="shared" si="69"/>
        <v>74.000000000001478</v>
      </c>
      <c r="R554" s="203" t="s">
        <v>55</v>
      </c>
      <c r="S554" s="201">
        <f t="shared" si="70"/>
        <v>3.8645200232514165E-2</v>
      </c>
    </row>
    <row r="555" spans="1:19">
      <c r="A555" s="196">
        <v>40771</v>
      </c>
      <c r="B555" s="122">
        <v>23.879999000000002</v>
      </c>
      <c r="C555" s="122">
        <v>24.1</v>
      </c>
      <c r="D555" s="122">
        <v>23.290001</v>
      </c>
      <c r="E555" s="122">
        <v>23.790001</v>
      </c>
      <c r="F555" s="122">
        <v>16.736367999999999</v>
      </c>
      <c r="G555" s="197">
        <v>282200</v>
      </c>
      <c r="H555" s="198">
        <f>IF(AND(E554&gt;=H554,E555&gt;=E554),E554*(1+'Trading Model'!$E$13),IF(AND(E555&lt;E554,E554&gt;=H554),E555*(1+'Trading Model'!$E$13),H554))</f>
        <v>27.698998950000004</v>
      </c>
      <c r="I555" s="198">
        <f>IF(K555&gt;0,E555*(1-'Trading Model'!E565),IF(E555&lt;I554,I554*(1-'Trading Model'!$E$14),I554))</f>
        <v>21.486674060493748</v>
      </c>
      <c r="J555" s="198">
        <f t="shared" si="71"/>
        <v>0</v>
      </c>
      <c r="K555" s="198">
        <f t="shared" si="66"/>
        <v>0</v>
      </c>
      <c r="L555" s="198">
        <f>COUNTIF(J555:K555,"&lt;&gt;0")*-'Trading Model'!$E$15</f>
        <v>0</v>
      </c>
      <c r="M555" s="198">
        <f t="shared" si="64"/>
        <v>0</v>
      </c>
      <c r="N555" s="75">
        <f t="shared" si="67"/>
        <v>28</v>
      </c>
      <c r="O555" s="202">
        <f t="shared" si="68"/>
        <v>0</v>
      </c>
      <c r="P555" s="199">
        <f t="shared" si="65"/>
        <v>0</v>
      </c>
      <c r="Q555" s="203">
        <f t="shared" si="69"/>
        <v>73.900000000001484</v>
      </c>
      <c r="R555" s="203" t="s">
        <v>55</v>
      </c>
      <c r="S555" s="201">
        <f t="shared" si="70"/>
        <v>-5.4347408026756971E-3</v>
      </c>
    </row>
    <row r="556" spans="1:19">
      <c r="A556" s="196">
        <v>40772</v>
      </c>
      <c r="B556" s="122">
        <v>24.02</v>
      </c>
      <c r="C556" s="122">
        <v>24.25</v>
      </c>
      <c r="D556" s="122">
        <v>23.59</v>
      </c>
      <c r="E556" s="122">
        <v>23.73</v>
      </c>
      <c r="F556" s="122">
        <v>16.694154999999999</v>
      </c>
      <c r="G556" s="197">
        <v>186100</v>
      </c>
      <c r="H556" s="198">
        <f>IF(AND(E555&gt;=H555,E556&gt;=E555),E555*(1+'Trading Model'!$E$13),IF(AND(E556&lt;E555,E555&gt;=H555),E556*(1+'Trading Model'!$E$13),H555))</f>
        <v>27.698998950000004</v>
      </c>
      <c r="I556" s="198">
        <f>IF(K556&gt;0,E556*(1-'Trading Model'!E566),IF(E556&lt;I555,I555*(1-'Trading Model'!$E$14),I555))</f>
        <v>21.486674060493748</v>
      </c>
      <c r="J556" s="198">
        <f t="shared" si="71"/>
        <v>0</v>
      </c>
      <c r="K556" s="198">
        <f t="shared" si="66"/>
        <v>0</v>
      </c>
      <c r="L556" s="198">
        <f>COUNTIF(J556:K556,"&lt;&gt;0")*-'Trading Model'!$E$15</f>
        <v>0</v>
      </c>
      <c r="M556" s="198">
        <f t="shared" si="64"/>
        <v>0</v>
      </c>
      <c r="N556" s="75">
        <f t="shared" si="67"/>
        <v>28</v>
      </c>
      <c r="O556" s="202">
        <f t="shared" si="68"/>
        <v>0</v>
      </c>
      <c r="P556" s="199">
        <f t="shared" si="65"/>
        <v>0</v>
      </c>
      <c r="Q556" s="203">
        <f t="shared" si="69"/>
        <v>73.800000000001489</v>
      </c>
      <c r="R556" s="203" t="s">
        <v>55</v>
      </c>
      <c r="S556" s="201">
        <f t="shared" si="70"/>
        <v>-2.5221100242912575E-3</v>
      </c>
    </row>
    <row r="557" spans="1:19">
      <c r="A557" s="196">
        <v>40773</v>
      </c>
      <c r="B557" s="122">
        <v>23.389999</v>
      </c>
      <c r="C557" s="122">
        <v>23.389999</v>
      </c>
      <c r="D557" s="122">
        <v>22.65</v>
      </c>
      <c r="E557" s="122">
        <v>23.209999</v>
      </c>
      <c r="F557" s="122">
        <v>16.328334999999999</v>
      </c>
      <c r="G557" s="197">
        <v>233100</v>
      </c>
      <c r="H557" s="198">
        <f>IF(AND(E556&gt;=H556,E557&gt;=E556),E556*(1+'Trading Model'!$E$13),IF(AND(E557&lt;E556,E556&gt;=H556),E557*(1+'Trading Model'!$E$13),H556))</f>
        <v>27.698998950000004</v>
      </c>
      <c r="I557" s="198">
        <f>IF(K557&gt;0,E557*(1-'Trading Model'!E567),IF(E557&lt;I556,I556*(1-'Trading Model'!$E$14),I556))</f>
        <v>21.486674060493748</v>
      </c>
      <c r="J557" s="198">
        <f t="shared" si="71"/>
        <v>0</v>
      </c>
      <c r="K557" s="198">
        <f t="shared" si="66"/>
        <v>0</v>
      </c>
      <c r="L557" s="198">
        <f>COUNTIF(J557:K557,"&lt;&gt;0")*-'Trading Model'!$E$15</f>
        <v>0</v>
      </c>
      <c r="M557" s="198">
        <f t="shared" si="64"/>
        <v>0</v>
      </c>
      <c r="N557" s="75">
        <f t="shared" si="67"/>
        <v>28</v>
      </c>
      <c r="O557" s="202">
        <f t="shared" si="68"/>
        <v>0</v>
      </c>
      <c r="P557" s="199">
        <f t="shared" si="65"/>
        <v>0</v>
      </c>
      <c r="Q557" s="203">
        <f t="shared" si="69"/>
        <v>73.700000000001495</v>
      </c>
      <c r="R557" s="201">
        <f>E557/B553-1</f>
        <v>-1.1920008514261338E-2</v>
      </c>
      <c r="S557" s="201">
        <f t="shared" si="70"/>
        <v>-2.1913232195533094E-2</v>
      </c>
    </row>
    <row r="558" spans="1:19">
      <c r="A558" s="196">
        <v>40774</v>
      </c>
      <c r="B558" s="122">
        <v>22.969999000000001</v>
      </c>
      <c r="C558" s="122">
        <v>23.290001</v>
      </c>
      <c r="D558" s="122">
        <v>22.51</v>
      </c>
      <c r="E558" s="122">
        <v>22.58</v>
      </c>
      <c r="F558" s="122">
        <v>15.885127000000001</v>
      </c>
      <c r="G558" s="197">
        <v>156900</v>
      </c>
      <c r="H558" s="198">
        <f>IF(AND(E557&gt;=H557,E558&gt;=E557),E557*(1+'Trading Model'!$E$13),IF(AND(E558&lt;E557,E557&gt;=H557),E558*(1+'Trading Model'!$E$13),H557))</f>
        <v>27.698998950000004</v>
      </c>
      <c r="I558" s="198">
        <f>IF(K558&gt;0,E558*(1-'Trading Model'!E568),IF(E558&lt;I557,I557*(1-'Trading Model'!$E$14),I557))</f>
        <v>21.486674060493748</v>
      </c>
      <c r="J558" s="198">
        <f t="shared" si="71"/>
        <v>0</v>
      </c>
      <c r="K558" s="198">
        <f t="shared" si="66"/>
        <v>0</v>
      </c>
      <c r="L558" s="198">
        <f>COUNTIF(J558:K558,"&lt;&gt;0")*-'Trading Model'!$E$15</f>
        <v>0</v>
      </c>
      <c r="M558" s="198">
        <f t="shared" si="64"/>
        <v>0</v>
      </c>
      <c r="N558" s="75">
        <f t="shared" si="67"/>
        <v>28</v>
      </c>
      <c r="O558" s="202">
        <f t="shared" si="68"/>
        <v>0</v>
      </c>
      <c r="P558" s="199">
        <f t="shared" si="65"/>
        <v>0</v>
      </c>
      <c r="Q558" s="203">
        <f t="shared" si="69"/>
        <v>73.600000000001501</v>
      </c>
      <c r="R558" s="160" t="s">
        <v>55</v>
      </c>
      <c r="S558" s="201">
        <f t="shared" si="70"/>
        <v>-2.7143430725697248E-2</v>
      </c>
    </row>
    <row r="559" spans="1:19">
      <c r="A559" s="196">
        <v>40777</v>
      </c>
      <c r="B559" s="122">
        <v>23.07</v>
      </c>
      <c r="C559" s="122">
        <v>23.23</v>
      </c>
      <c r="D559" s="122">
        <v>22.809999000000001</v>
      </c>
      <c r="E559" s="122">
        <v>22.860001</v>
      </c>
      <c r="F559" s="122">
        <v>16.082108000000002</v>
      </c>
      <c r="G559" s="197">
        <v>101200</v>
      </c>
      <c r="H559" s="198">
        <f>IF(AND(E558&gt;=H558,E559&gt;=E558),E558*(1+'Trading Model'!$E$13),IF(AND(E559&lt;E558,E558&gt;=H558),E559*(1+'Trading Model'!$E$13),H558))</f>
        <v>27.698998950000004</v>
      </c>
      <c r="I559" s="198">
        <f>IF(K559&gt;0,E559*(1-'Trading Model'!E569),IF(E559&lt;I558,I558*(1-'Trading Model'!$E$14),I558))</f>
        <v>21.486674060493748</v>
      </c>
      <c r="J559" s="198">
        <f t="shared" si="71"/>
        <v>0</v>
      </c>
      <c r="K559" s="198">
        <f t="shared" si="66"/>
        <v>0</v>
      </c>
      <c r="L559" s="198">
        <f>COUNTIF(J559:K559,"&lt;&gt;0")*-'Trading Model'!$E$15</f>
        <v>0</v>
      </c>
      <c r="M559" s="198">
        <f t="shared" si="64"/>
        <v>0</v>
      </c>
      <c r="N559" s="75">
        <f t="shared" si="67"/>
        <v>28</v>
      </c>
      <c r="O559" s="202">
        <f t="shared" si="68"/>
        <v>0</v>
      </c>
      <c r="P559" s="199">
        <f t="shared" si="65"/>
        <v>0</v>
      </c>
      <c r="Q559" s="203">
        <f t="shared" si="69"/>
        <v>73.600000000001501</v>
      </c>
      <c r="R559" s="203" t="s">
        <v>55</v>
      </c>
      <c r="S559" s="201">
        <f t="shared" si="70"/>
        <v>1.2400398582816718E-2</v>
      </c>
    </row>
    <row r="560" spans="1:19">
      <c r="A560" s="196">
        <v>40778</v>
      </c>
      <c r="B560" s="122">
        <v>23</v>
      </c>
      <c r="C560" s="122">
        <v>23.59</v>
      </c>
      <c r="D560" s="122">
        <v>23</v>
      </c>
      <c r="E560" s="122">
        <v>23.299999</v>
      </c>
      <c r="F560" s="122">
        <v>16.391646999999999</v>
      </c>
      <c r="G560" s="197">
        <v>252600</v>
      </c>
      <c r="H560" s="198">
        <f>IF(AND(E559&gt;=H559,E560&gt;=E559),E559*(1+'Trading Model'!$E$13),IF(AND(E560&lt;E559,E559&gt;=H559),E560*(1+'Trading Model'!$E$13),H559))</f>
        <v>27.698998950000004</v>
      </c>
      <c r="I560" s="198">
        <f>IF(K560&gt;0,E560*(1-'Trading Model'!E570),IF(E560&lt;I559,I559*(1-'Trading Model'!$E$14),I559))</f>
        <v>21.486674060493748</v>
      </c>
      <c r="J560" s="198">
        <f t="shared" si="71"/>
        <v>0</v>
      </c>
      <c r="K560" s="198">
        <f t="shared" si="66"/>
        <v>0</v>
      </c>
      <c r="L560" s="198">
        <f>COUNTIF(J560:K560,"&lt;&gt;0")*-'Trading Model'!$E$15</f>
        <v>0</v>
      </c>
      <c r="M560" s="198">
        <f t="shared" si="64"/>
        <v>0</v>
      </c>
      <c r="N560" s="75">
        <f t="shared" si="67"/>
        <v>28</v>
      </c>
      <c r="O560" s="202">
        <f t="shared" si="68"/>
        <v>0</v>
      </c>
      <c r="P560" s="199">
        <f t="shared" si="65"/>
        <v>0</v>
      </c>
      <c r="Q560" s="203">
        <f t="shared" si="69"/>
        <v>73.600000000001501</v>
      </c>
      <c r="R560" s="203" t="s">
        <v>55</v>
      </c>
      <c r="S560" s="201">
        <f t="shared" si="70"/>
        <v>1.924750571970657E-2</v>
      </c>
    </row>
    <row r="561" spans="1:19">
      <c r="A561" s="196">
        <v>40779</v>
      </c>
      <c r="B561" s="122">
        <v>23.48</v>
      </c>
      <c r="C561" s="122">
        <v>24.07</v>
      </c>
      <c r="D561" s="122">
        <v>23.33</v>
      </c>
      <c r="E561" s="122">
        <v>23.629999000000002</v>
      </c>
      <c r="F561" s="122">
        <v>16.623805999999998</v>
      </c>
      <c r="G561" s="197">
        <v>201300</v>
      </c>
      <c r="H561" s="198">
        <f>IF(AND(E560&gt;=H560,E561&gt;=E560),E560*(1+'Trading Model'!$E$13),IF(AND(E561&lt;E560,E560&gt;=H560),E561*(1+'Trading Model'!$E$13),H560))</f>
        <v>27.698998950000004</v>
      </c>
      <c r="I561" s="198">
        <f>IF(K561&gt;0,E561*(1-'Trading Model'!E571),IF(E561&lt;I560,I560*(1-'Trading Model'!$E$14),I560))</f>
        <v>21.486674060493748</v>
      </c>
      <c r="J561" s="198">
        <f t="shared" si="71"/>
        <v>0</v>
      </c>
      <c r="K561" s="198">
        <f t="shared" si="66"/>
        <v>0</v>
      </c>
      <c r="L561" s="198">
        <f>COUNTIF(J561:K561,"&lt;&gt;0")*-'Trading Model'!$E$15</f>
        <v>0</v>
      </c>
      <c r="M561" s="198">
        <f t="shared" si="64"/>
        <v>0</v>
      </c>
      <c r="N561" s="75">
        <f t="shared" si="67"/>
        <v>28</v>
      </c>
      <c r="O561" s="202">
        <f t="shared" si="68"/>
        <v>0</v>
      </c>
      <c r="P561" s="199">
        <f t="shared" si="65"/>
        <v>0</v>
      </c>
      <c r="Q561" s="203">
        <f t="shared" si="69"/>
        <v>73.600000000001501</v>
      </c>
      <c r="R561" s="203" t="s">
        <v>55</v>
      </c>
      <c r="S561" s="201">
        <f t="shared" si="70"/>
        <v>1.4163090736613482E-2</v>
      </c>
    </row>
    <row r="562" spans="1:19">
      <c r="A562" s="196">
        <v>40780</v>
      </c>
      <c r="B562" s="122">
        <v>23.780000999999999</v>
      </c>
      <c r="C562" s="122">
        <v>23.879999000000002</v>
      </c>
      <c r="D562" s="122">
        <v>22.959999</v>
      </c>
      <c r="E562" s="122">
        <v>23.040001</v>
      </c>
      <c r="F562" s="122">
        <v>16.208739999999999</v>
      </c>
      <c r="G562" s="197">
        <v>196600</v>
      </c>
      <c r="H562" s="198">
        <f>IF(AND(E561&gt;=H561,E562&gt;=E561),E561*(1+'Trading Model'!$E$13),IF(AND(E562&lt;E561,E561&gt;=H561),E562*(1+'Trading Model'!$E$13),H561))</f>
        <v>27.698998950000004</v>
      </c>
      <c r="I562" s="198">
        <f>IF(K562&gt;0,E562*(1-'Trading Model'!E572),IF(E562&lt;I561,I561*(1-'Trading Model'!$E$14),I561))</f>
        <v>21.486674060493748</v>
      </c>
      <c r="J562" s="198">
        <f t="shared" si="71"/>
        <v>0</v>
      </c>
      <c r="K562" s="198">
        <f t="shared" si="66"/>
        <v>0</v>
      </c>
      <c r="L562" s="198">
        <f>COUNTIF(J562:K562,"&lt;&gt;0")*-'Trading Model'!$E$15</f>
        <v>0</v>
      </c>
      <c r="M562" s="198">
        <f t="shared" si="64"/>
        <v>0</v>
      </c>
      <c r="N562" s="75">
        <f t="shared" si="67"/>
        <v>28</v>
      </c>
      <c r="O562" s="202">
        <f t="shared" si="68"/>
        <v>0</v>
      </c>
      <c r="P562" s="199">
        <f t="shared" si="65"/>
        <v>0</v>
      </c>
      <c r="Q562" s="203">
        <f t="shared" si="69"/>
        <v>73.500000000001506</v>
      </c>
      <c r="R562" s="201">
        <f>E562/B558-1</f>
        <v>3.0475404025920305E-3</v>
      </c>
      <c r="S562" s="201">
        <f t="shared" si="70"/>
        <v>-2.4968177104027878E-2</v>
      </c>
    </row>
    <row r="563" spans="1:19">
      <c r="A563" s="196">
        <v>40781</v>
      </c>
      <c r="B563" s="122">
        <v>23.08</v>
      </c>
      <c r="C563" s="122">
        <v>23.18</v>
      </c>
      <c r="D563" s="122">
        <v>22.51</v>
      </c>
      <c r="E563" s="122">
        <v>23.08</v>
      </c>
      <c r="F563" s="122">
        <v>16.236877</v>
      </c>
      <c r="G563" s="197">
        <v>134700</v>
      </c>
      <c r="H563" s="198">
        <f>IF(AND(E562&gt;=H562,E563&gt;=E562),E562*(1+'Trading Model'!$E$13),IF(AND(E563&lt;E562,E562&gt;=H562),E563*(1+'Trading Model'!$E$13),H562))</f>
        <v>27.698998950000004</v>
      </c>
      <c r="I563" s="198">
        <f>IF(K563&gt;0,E563*(1-'Trading Model'!E573),IF(E563&lt;I562,I562*(1-'Trading Model'!$E$14),I562))</f>
        <v>21.486674060493748</v>
      </c>
      <c r="J563" s="198">
        <f t="shared" si="71"/>
        <v>0</v>
      </c>
      <c r="K563" s="198">
        <f t="shared" si="66"/>
        <v>0</v>
      </c>
      <c r="L563" s="198">
        <f>COUNTIF(J563:K563,"&lt;&gt;0")*-'Trading Model'!$E$15</f>
        <v>0</v>
      </c>
      <c r="M563" s="198">
        <f t="shared" si="64"/>
        <v>0</v>
      </c>
      <c r="N563" s="75">
        <f t="shared" si="67"/>
        <v>28</v>
      </c>
      <c r="O563" s="202">
        <f t="shared" si="68"/>
        <v>0</v>
      </c>
      <c r="P563" s="199">
        <f t="shared" si="65"/>
        <v>0</v>
      </c>
      <c r="Q563" s="203">
        <f t="shared" si="69"/>
        <v>73.500000000001506</v>
      </c>
      <c r="R563" s="160" t="s">
        <v>55</v>
      </c>
      <c r="S563" s="201">
        <f t="shared" si="70"/>
        <v>1.7360676329831737E-3</v>
      </c>
    </row>
    <row r="564" spans="1:19">
      <c r="A564" s="196">
        <v>40784</v>
      </c>
      <c r="B564" s="122">
        <v>23.5</v>
      </c>
      <c r="C564" s="122">
        <v>23.629999000000002</v>
      </c>
      <c r="D564" s="122">
        <v>23.280000999999999</v>
      </c>
      <c r="E564" s="122">
        <v>23.4</v>
      </c>
      <c r="F564" s="122">
        <v>16.462</v>
      </c>
      <c r="G564" s="197">
        <v>117000</v>
      </c>
      <c r="H564" s="198">
        <f>IF(AND(E563&gt;=H563,E564&gt;=E563),E563*(1+'Trading Model'!$E$13),IF(AND(E564&lt;E563,E563&gt;=H563),E564*(1+'Trading Model'!$E$13),H563))</f>
        <v>27.698998950000004</v>
      </c>
      <c r="I564" s="198">
        <f>IF(K564&gt;0,E564*(1-'Trading Model'!E574),IF(E564&lt;I563,I563*(1-'Trading Model'!$E$14),I563))</f>
        <v>21.486674060493748</v>
      </c>
      <c r="J564" s="198">
        <f t="shared" si="71"/>
        <v>0</v>
      </c>
      <c r="K564" s="198">
        <f t="shared" si="66"/>
        <v>0</v>
      </c>
      <c r="L564" s="198">
        <f>COUNTIF(J564:K564,"&lt;&gt;0")*-'Trading Model'!$E$15</f>
        <v>0</v>
      </c>
      <c r="M564" s="198">
        <f t="shared" si="64"/>
        <v>0</v>
      </c>
      <c r="N564" s="75">
        <f t="shared" si="67"/>
        <v>28</v>
      </c>
      <c r="O564" s="202">
        <f t="shared" si="68"/>
        <v>0</v>
      </c>
      <c r="P564" s="199">
        <f t="shared" si="65"/>
        <v>0</v>
      </c>
      <c r="Q564" s="203">
        <f t="shared" si="69"/>
        <v>73.500000000001506</v>
      </c>
      <c r="R564" s="203" t="s">
        <v>55</v>
      </c>
      <c r="S564" s="201">
        <f t="shared" si="70"/>
        <v>1.3864818024263537E-2</v>
      </c>
    </row>
    <row r="565" spans="1:19">
      <c r="A565" s="196">
        <v>40785</v>
      </c>
      <c r="B565" s="122">
        <v>23.34</v>
      </c>
      <c r="C565" s="122">
        <v>23.379999000000002</v>
      </c>
      <c r="D565" s="122">
        <v>23.129999000000002</v>
      </c>
      <c r="E565" s="122">
        <v>23.200001</v>
      </c>
      <c r="F565" s="122">
        <v>16.321300999999998</v>
      </c>
      <c r="G565" s="197">
        <v>170200</v>
      </c>
      <c r="H565" s="198">
        <f>IF(AND(E564&gt;=H564,E565&gt;=E564),E564*(1+'Trading Model'!$E$13),IF(AND(E565&lt;E564,E564&gt;=H564),E565*(1+'Trading Model'!$E$13),H564))</f>
        <v>27.698998950000004</v>
      </c>
      <c r="I565" s="198">
        <f>IF(K565&gt;0,E565*(1-'Trading Model'!E575),IF(E565&lt;I564,I564*(1-'Trading Model'!$E$14),I564))</f>
        <v>21.486674060493748</v>
      </c>
      <c r="J565" s="198">
        <f t="shared" si="71"/>
        <v>0</v>
      </c>
      <c r="K565" s="198">
        <f t="shared" si="66"/>
        <v>0</v>
      </c>
      <c r="L565" s="198">
        <f>COUNTIF(J565:K565,"&lt;&gt;0")*-'Trading Model'!$E$15</f>
        <v>0</v>
      </c>
      <c r="M565" s="198">
        <f t="shared" si="64"/>
        <v>0</v>
      </c>
      <c r="N565" s="75">
        <f t="shared" si="67"/>
        <v>28</v>
      </c>
      <c r="O565" s="202">
        <f t="shared" si="68"/>
        <v>0</v>
      </c>
      <c r="P565" s="199">
        <f t="shared" si="65"/>
        <v>0</v>
      </c>
      <c r="Q565" s="203">
        <f t="shared" si="69"/>
        <v>73.400000000001512</v>
      </c>
      <c r="R565" s="203" t="s">
        <v>55</v>
      </c>
      <c r="S565" s="201">
        <f t="shared" si="70"/>
        <v>-8.5469658119657899E-3</v>
      </c>
    </row>
    <row r="566" spans="1:19">
      <c r="A566" s="196">
        <v>40786</v>
      </c>
      <c r="B566" s="122">
        <v>23.450001</v>
      </c>
      <c r="C566" s="122">
        <v>23.450001</v>
      </c>
      <c r="D566" s="122">
        <v>22.82</v>
      </c>
      <c r="E566" s="122">
        <v>23.129999000000002</v>
      </c>
      <c r="F566" s="122">
        <v>16.272055000000002</v>
      </c>
      <c r="G566" s="197">
        <v>255500</v>
      </c>
      <c r="H566" s="198">
        <f>IF(AND(E565&gt;=H565,E566&gt;=E565),E565*(1+'Trading Model'!$E$13),IF(AND(E566&lt;E565,E565&gt;=H565),E566*(1+'Trading Model'!$E$13),H565))</f>
        <v>27.698998950000004</v>
      </c>
      <c r="I566" s="198">
        <f>IF(K566&gt;0,E566*(1-'Trading Model'!E576),IF(E566&lt;I565,I565*(1-'Trading Model'!$E$14),I565))</f>
        <v>21.486674060493748</v>
      </c>
      <c r="J566" s="198">
        <f t="shared" si="71"/>
        <v>0</v>
      </c>
      <c r="K566" s="198">
        <f t="shared" si="66"/>
        <v>0</v>
      </c>
      <c r="L566" s="198">
        <f>COUNTIF(J566:K566,"&lt;&gt;0")*-'Trading Model'!$E$15</f>
        <v>0</v>
      </c>
      <c r="M566" s="198">
        <f t="shared" si="64"/>
        <v>0</v>
      </c>
      <c r="N566" s="75">
        <f t="shared" si="67"/>
        <v>28</v>
      </c>
      <c r="O566" s="202">
        <f t="shared" si="68"/>
        <v>0</v>
      </c>
      <c r="P566" s="199">
        <f t="shared" si="65"/>
        <v>0</v>
      </c>
      <c r="Q566" s="203">
        <f t="shared" si="69"/>
        <v>73.300000000001518</v>
      </c>
      <c r="R566" s="203" t="s">
        <v>55</v>
      </c>
      <c r="S566" s="201">
        <f t="shared" si="70"/>
        <v>-3.0173274561495766E-3</v>
      </c>
    </row>
    <row r="567" spans="1:19">
      <c r="A567" s="196">
        <v>40787</v>
      </c>
      <c r="B567" s="122">
        <v>23.309999000000001</v>
      </c>
      <c r="C567" s="122">
        <v>23.33</v>
      </c>
      <c r="D567" s="122">
        <v>23</v>
      </c>
      <c r="E567" s="122">
        <v>23.07</v>
      </c>
      <c r="F567" s="122">
        <v>16.229842999999999</v>
      </c>
      <c r="G567" s="197">
        <v>140800</v>
      </c>
      <c r="H567" s="198">
        <f>IF(AND(E566&gt;=H566,E567&gt;=E566),E566*(1+'Trading Model'!$E$13),IF(AND(E567&lt;E566,E566&gt;=H566),E567*(1+'Trading Model'!$E$13),H566))</f>
        <v>27.698998950000004</v>
      </c>
      <c r="I567" s="198">
        <f>IF(K567&gt;0,E567*(1-'Trading Model'!E577),IF(E567&lt;I566,I566*(1-'Trading Model'!$E$14),I566))</f>
        <v>21.486674060493748</v>
      </c>
      <c r="J567" s="198">
        <f t="shared" si="71"/>
        <v>0</v>
      </c>
      <c r="K567" s="198">
        <f t="shared" si="66"/>
        <v>0</v>
      </c>
      <c r="L567" s="198">
        <f>COUNTIF(J567:K567,"&lt;&gt;0")*-'Trading Model'!$E$15</f>
        <v>0</v>
      </c>
      <c r="M567" s="198">
        <f t="shared" si="64"/>
        <v>0</v>
      </c>
      <c r="N567" s="75">
        <f t="shared" si="67"/>
        <v>28</v>
      </c>
      <c r="O567" s="202">
        <f t="shared" si="68"/>
        <v>0</v>
      </c>
      <c r="P567" s="199">
        <f t="shared" si="65"/>
        <v>0</v>
      </c>
      <c r="Q567" s="203">
        <f t="shared" si="69"/>
        <v>73.200000000001523</v>
      </c>
      <c r="R567" s="201">
        <f>E567/B563-1</f>
        <v>-4.3327556325811756E-4</v>
      </c>
      <c r="S567" s="201">
        <f t="shared" si="70"/>
        <v>-2.5939906006914315E-3</v>
      </c>
    </row>
    <row r="568" spans="1:19">
      <c r="A568" s="196">
        <v>40788</v>
      </c>
      <c r="B568" s="122">
        <v>22.67</v>
      </c>
      <c r="C568" s="122">
        <v>23</v>
      </c>
      <c r="D568" s="122">
        <v>22.67</v>
      </c>
      <c r="E568" s="122">
        <v>22.790001</v>
      </c>
      <c r="F568" s="122">
        <v>16.032862000000002</v>
      </c>
      <c r="G568" s="197">
        <v>194300</v>
      </c>
      <c r="H568" s="198">
        <f>IF(AND(E567&gt;=H567,E568&gt;=E567),E567*(1+'Trading Model'!$E$13),IF(AND(E568&lt;E567,E567&gt;=H567),E568*(1+'Trading Model'!$E$13),H567))</f>
        <v>27.698998950000004</v>
      </c>
      <c r="I568" s="198">
        <f>IF(K568&gt;0,E568*(1-'Trading Model'!E578),IF(E568&lt;I567,I567*(1-'Trading Model'!$E$14),I567))</f>
        <v>21.486674060493748</v>
      </c>
      <c r="J568" s="198">
        <f t="shared" si="71"/>
        <v>0</v>
      </c>
      <c r="K568" s="198">
        <f t="shared" si="66"/>
        <v>0</v>
      </c>
      <c r="L568" s="198">
        <f>COUNTIF(J568:K568,"&lt;&gt;0")*-'Trading Model'!$E$15</f>
        <v>0</v>
      </c>
      <c r="M568" s="198">
        <f t="shared" si="64"/>
        <v>0</v>
      </c>
      <c r="N568" s="75">
        <f t="shared" si="67"/>
        <v>28</v>
      </c>
      <c r="O568" s="202">
        <f t="shared" si="68"/>
        <v>0</v>
      </c>
      <c r="P568" s="199">
        <f t="shared" si="65"/>
        <v>0</v>
      </c>
      <c r="Q568" s="203">
        <f t="shared" si="69"/>
        <v>73.100000000001529</v>
      </c>
      <c r="R568" s="160" t="s">
        <v>55</v>
      </c>
      <c r="S568" s="201">
        <f t="shared" si="70"/>
        <v>-1.2136931079323787E-2</v>
      </c>
    </row>
    <row r="569" spans="1:19">
      <c r="A569" s="196">
        <v>40792</v>
      </c>
      <c r="B569" s="122">
        <v>22.51</v>
      </c>
      <c r="C569" s="122">
        <v>22.52</v>
      </c>
      <c r="D569" s="122">
        <v>21.91</v>
      </c>
      <c r="E569" s="122">
        <v>21.98</v>
      </c>
      <c r="F569" s="122">
        <v>15.463025</v>
      </c>
      <c r="G569" s="197">
        <v>262400</v>
      </c>
      <c r="H569" s="198">
        <f>IF(AND(E568&gt;=H568,E569&gt;=E568),E568*(1+'Trading Model'!$E$13),IF(AND(E569&lt;E568,E568&gt;=H568),E569*(1+'Trading Model'!$E$13),H568))</f>
        <v>27.698998950000004</v>
      </c>
      <c r="I569" s="198">
        <f>IF(K569&gt;0,E569*(1-'Trading Model'!E579),IF(E569&lt;I568,I568*(1-'Trading Model'!$E$14),I568))</f>
        <v>21.486674060493748</v>
      </c>
      <c r="J569" s="198">
        <f t="shared" si="71"/>
        <v>0</v>
      </c>
      <c r="K569" s="198">
        <f t="shared" si="66"/>
        <v>0</v>
      </c>
      <c r="L569" s="198">
        <f>COUNTIF(J569:K569,"&lt;&gt;0")*-'Trading Model'!$E$15</f>
        <v>0</v>
      </c>
      <c r="M569" s="198">
        <f t="shared" si="64"/>
        <v>0</v>
      </c>
      <c r="N569" s="75">
        <f t="shared" si="67"/>
        <v>28</v>
      </c>
      <c r="O569" s="202">
        <f t="shared" si="68"/>
        <v>0</v>
      </c>
      <c r="P569" s="199">
        <f t="shared" si="65"/>
        <v>0</v>
      </c>
      <c r="Q569" s="203">
        <f t="shared" si="69"/>
        <v>73.000000000001535</v>
      </c>
      <c r="R569" s="203" t="s">
        <v>55</v>
      </c>
      <c r="S569" s="201">
        <f t="shared" si="70"/>
        <v>-3.5541946663363411E-2</v>
      </c>
    </row>
    <row r="570" spans="1:19">
      <c r="A570" s="196">
        <v>40793</v>
      </c>
      <c r="B570" s="122">
        <v>22.360001</v>
      </c>
      <c r="C570" s="122">
        <v>22.459999</v>
      </c>
      <c r="D570" s="122">
        <v>21.860001</v>
      </c>
      <c r="E570" s="122">
        <v>22</v>
      </c>
      <c r="F570" s="122">
        <v>15.477097000000001</v>
      </c>
      <c r="G570" s="197">
        <v>188100</v>
      </c>
      <c r="H570" s="198">
        <f>IF(AND(E569&gt;=H569,E570&gt;=E569),E569*(1+'Trading Model'!$E$13),IF(AND(E570&lt;E569,E569&gt;=H569),E570*(1+'Trading Model'!$E$13),H569))</f>
        <v>27.698998950000004</v>
      </c>
      <c r="I570" s="198">
        <f>IF(K570&gt;0,E570*(1-'Trading Model'!E580),IF(E570&lt;I569,I569*(1-'Trading Model'!$E$14),I569))</f>
        <v>21.486674060493748</v>
      </c>
      <c r="J570" s="198">
        <f t="shared" si="71"/>
        <v>0</v>
      </c>
      <c r="K570" s="198">
        <f t="shared" si="66"/>
        <v>0</v>
      </c>
      <c r="L570" s="198">
        <f>COUNTIF(J570:K570,"&lt;&gt;0")*-'Trading Model'!$E$15</f>
        <v>0</v>
      </c>
      <c r="M570" s="198">
        <f t="shared" si="64"/>
        <v>0</v>
      </c>
      <c r="N570" s="75">
        <f t="shared" si="67"/>
        <v>28</v>
      </c>
      <c r="O570" s="202">
        <f t="shared" si="68"/>
        <v>0</v>
      </c>
      <c r="P570" s="199">
        <f t="shared" si="65"/>
        <v>0</v>
      </c>
      <c r="Q570" s="203">
        <f t="shared" si="69"/>
        <v>73.000000000001535</v>
      </c>
      <c r="R570" s="203" t="s">
        <v>55</v>
      </c>
      <c r="S570" s="201">
        <f t="shared" si="70"/>
        <v>9.0991810737039991E-4</v>
      </c>
    </row>
    <row r="571" spans="1:19">
      <c r="A571" s="196">
        <v>40794</v>
      </c>
      <c r="B571" s="122">
        <v>21.91</v>
      </c>
      <c r="C571" s="122">
        <v>21.950001</v>
      </c>
      <c r="D571" s="122">
        <v>21.33</v>
      </c>
      <c r="E571" s="122">
        <v>21.41</v>
      </c>
      <c r="F571" s="122">
        <v>15.062027</v>
      </c>
      <c r="G571" s="197">
        <v>201400</v>
      </c>
      <c r="H571" s="198">
        <f>IF(AND(E570&gt;=H570,E571&gt;=E570),E570*(1+'Trading Model'!$E$13),IF(AND(E571&lt;E570,E570&gt;=H570),E571*(1+'Trading Model'!$E$13),H570))</f>
        <v>27.698998950000004</v>
      </c>
      <c r="I571" s="198">
        <f>IF(K571&gt;0,E571*(1-'Trading Model'!E581),IF(E571&lt;I570,I570*(1-'Trading Model'!$E$14),I570))</f>
        <v>20.412340357469059</v>
      </c>
      <c r="J571" s="198">
        <f t="shared" si="71"/>
        <v>-21.41</v>
      </c>
      <c r="K571" s="198">
        <f t="shared" si="66"/>
        <v>0</v>
      </c>
      <c r="L571" s="198">
        <f>COUNTIF(J571:K571,"&lt;&gt;0")*-'Trading Model'!$E$15</f>
        <v>-0.1</v>
      </c>
      <c r="M571" s="198">
        <f t="shared" si="64"/>
        <v>-21.51</v>
      </c>
      <c r="N571" s="75">
        <f t="shared" si="67"/>
        <v>29</v>
      </c>
      <c r="O571" s="202">
        <f t="shared" si="68"/>
        <v>0</v>
      </c>
      <c r="P571" s="199">
        <f t="shared" si="65"/>
        <v>0</v>
      </c>
      <c r="Q571" s="203">
        <f t="shared" si="69"/>
        <v>72.90000000000154</v>
      </c>
      <c r="R571" s="203" t="s">
        <v>55</v>
      </c>
      <c r="S571" s="201">
        <f t="shared" si="70"/>
        <v>-2.6818181818181852E-2</v>
      </c>
    </row>
    <row r="572" spans="1:19">
      <c r="A572" s="196">
        <v>40795</v>
      </c>
      <c r="B572" s="122">
        <v>21.25</v>
      </c>
      <c r="C572" s="122">
        <v>21.370000999999998</v>
      </c>
      <c r="D572" s="122">
        <v>20.149999999999999</v>
      </c>
      <c r="E572" s="122">
        <v>20.370000999999998</v>
      </c>
      <c r="F572" s="122">
        <v>14.330382</v>
      </c>
      <c r="G572" s="197">
        <v>361500</v>
      </c>
      <c r="H572" s="198">
        <f>IF(AND(E571&gt;=H571,E572&gt;=E571),E571*(1+'Trading Model'!$E$13),IF(AND(E572&lt;E571,E571&gt;=H571),E572*(1+'Trading Model'!$E$13),H571))</f>
        <v>27.698998950000004</v>
      </c>
      <c r="I572" s="198">
        <f>IF(K572&gt;0,E572*(1-'Trading Model'!E582),IF(E572&lt;I571,I571*(1-'Trading Model'!$E$14),I571))</f>
        <v>19.391723339595604</v>
      </c>
      <c r="J572" s="198">
        <f t="shared" si="71"/>
        <v>-20.370000999999998</v>
      </c>
      <c r="K572" s="198">
        <f t="shared" si="66"/>
        <v>0</v>
      </c>
      <c r="L572" s="198">
        <f>COUNTIF(J572:K572,"&lt;&gt;0")*-'Trading Model'!$E$15</f>
        <v>-0.1</v>
      </c>
      <c r="M572" s="198">
        <f t="shared" si="64"/>
        <v>-20.470001</v>
      </c>
      <c r="N572" s="75">
        <f t="shared" si="67"/>
        <v>30</v>
      </c>
      <c r="O572" s="202">
        <f t="shared" si="68"/>
        <v>0</v>
      </c>
      <c r="P572" s="199">
        <f t="shared" si="65"/>
        <v>0</v>
      </c>
      <c r="Q572" s="203">
        <f t="shared" si="69"/>
        <v>72.800000000001546</v>
      </c>
      <c r="R572" s="201">
        <f>E572/B568-1</f>
        <v>-0.10145562417291587</v>
      </c>
      <c r="S572" s="201">
        <f t="shared" si="70"/>
        <v>-4.8575385333956222E-2</v>
      </c>
    </row>
    <row r="573" spans="1:19">
      <c r="A573" s="196">
        <v>40798</v>
      </c>
      <c r="B573" s="122">
        <v>20.149999999999999</v>
      </c>
      <c r="C573" s="122">
        <v>20.25</v>
      </c>
      <c r="D573" s="122">
        <v>19.5</v>
      </c>
      <c r="E573" s="122">
        <v>20.079999999999998</v>
      </c>
      <c r="F573" s="122">
        <v>14.126365</v>
      </c>
      <c r="G573" s="197">
        <v>323700</v>
      </c>
      <c r="H573" s="198">
        <f>IF(AND(E572&gt;=H572,E573&gt;=E572),E572*(1+'Trading Model'!$E$13),IF(AND(E573&lt;E572,E572&gt;=H572),E573*(1+'Trading Model'!$E$13),H572))</f>
        <v>27.698998950000004</v>
      </c>
      <c r="I573" s="198">
        <f>IF(K573&gt;0,E573*(1-'Trading Model'!E583),IF(E573&lt;I572,I572*(1-'Trading Model'!$E$14),I572))</f>
        <v>19.391723339595604</v>
      </c>
      <c r="J573" s="198">
        <f t="shared" si="71"/>
        <v>0</v>
      </c>
      <c r="K573" s="198">
        <f t="shared" si="66"/>
        <v>0</v>
      </c>
      <c r="L573" s="198">
        <f>COUNTIF(J573:K573,"&lt;&gt;0")*-'Trading Model'!$E$15</f>
        <v>0</v>
      </c>
      <c r="M573" s="198">
        <f t="shared" si="64"/>
        <v>0</v>
      </c>
      <c r="N573" s="75">
        <f t="shared" si="67"/>
        <v>30</v>
      </c>
      <c r="O573" s="202">
        <f t="shared" si="68"/>
        <v>0</v>
      </c>
      <c r="P573" s="199">
        <f t="shared" si="65"/>
        <v>0</v>
      </c>
      <c r="Q573" s="203">
        <f t="shared" si="69"/>
        <v>72.700000000001552</v>
      </c>
      <c r="R573" s="160" t="s">
        <v>55</v>
      </c>
      <c r="S573" s="201">
        <f t="shared" si="70"/>
        <v>-1.4236670876943025E-2</v>
      </c>
    </row>
    <row r="574" spans="1:19">
      <c r="A574" s="196">
        <v>40799</v>
      </c>
      <c r="B574" s="122">
        <v>20.100000000000001</v>
      </c>
      <c r="C574" s="122">
        <v>20.32</v>
      </c>
      <c r="D574" s="122">
        <v>20.010000000000002</v>
      </c>
      <c r="E574" s="122">
        <v>20.139999</v>
      </c>
      <c r="F574" s="122">
        <v>14.168575000000001</v>
      </c>
      <c r="G574" s="197">
        <v>241700</v>
      </c>
      <c r="H574" s="198">
        <f>IF(AND(E573&gt;=H573,E574&gt;=E573),E573*(1+'Trading Model'!$E$13),IF(AND(E574&lt;E573,E573&gt;=H573),E574*(1+'Trading Model'!$E$13),H573))</f>
        <v>27.698998950000004</v>
      </c>
      <c r="I574" s="198">
        <f>IF(K574&gt;0,E574*(1-'Trading Model'!E584),IF(E574&lt;I573,I573*(1-'Trading Model'!$E$14),I573))</f>
        <v>19.391723339595604</v>
      </c>
      <c r="J574" s="198">
        <f t="shared" si="71"/>
        <v>0</v>
      </c>
      <c r="K574" s="198">
        <f t="shared" si="66"/>
        <v>0</v>
      </c>
      <c r="L574" s="198">
        <f>COUNTIF(J574:K574,"&lt;&gt;0")*-'Trading Model'!$E$15</f>
        <v>0</v>
      </c>
      <c r="M574" s="198">
        <f t="shared" si="64"/>
        <v>0</v>
      </c>
      <c r="N574" s="75">
        <f t="shared" si="67"/>
        <v>30</v>
      </c>
      <c r="O574" s="202">
        <f t="shared" si="68"/>
        <v>0</v>
      </c>
      <c r="P574" s="199">
        <f t="shared" si="65"/>
        <v>0</v>
      </c>
      <c r="Q574" s="203">
        <f t="shared" si="69"/>
        <v>72.700000000001552</v>
      </c>
      <c r="R574" s="203" t="s">
        <v>55</v>
      </c>
      <c r="S574" s="201">
        <f t="shared" si="70"/>
        <v>2.9879980079681179E-3</v>
      </c>
    </row>
    <row r="575" spans="1:19">
      <c r="A575" s="196">
        <v>40800</v>
      </c>
      <c r="B575" s="122">
        <v>20.059999000000001</v>
      </c>
      <c r="C575" s="122">
        <v>20.58</v>
      </c>
      <c r="D575" s="122">
        <v>19.860001</v>
      </c>
      <c r="E575" s="122">
        <v>20.5</v>
      </c>
      <c r="F575" s="122">
        <v>14.421837999999999</v>
      </c>
      <c r="G575" s="197">
        <v>170300</v>
      </c>
      <c r="H575" s="198">
        <f>IF(AND(E574&gt;=H574,E575&gt;=E574),E574*(1+'Trading Model'!$E$13),IF(AND(E575&lt;E574,E574&gt;=H574),E575*(1+'Trading Model'!$E$13),H574))</f>
        <v>27.698998950000004</v>
      </c>
      <c r="I575" s="198">
        <f>IF(K575&gt;0,E575*(1-'Trading Model'!E585),IF(E575&lt;I574,I574*(1-'Trading Model'!$E$14),I574))</f>
        <v>19.391723339595604</v>
      </c>
      <c r="J575" s="198">
        <f t="shared" si="71"/>
        <v>0</v>
      </c>
      <c r="K575" s="198">
        <f t="shared" si="66"/>
        <v>0</v>
      </c>
      <c r="L575" s="198">
        <f>COUNTIF(J575:K575,"&lt;&gt;0")*-'Trading Model'!$E$15</f>
        <v>0</v>
      </c>
      <c r="M575" s="198">
        <f t="shared" si="64"/>
        <v>0</v>
      </c>
      <c r="N575" s="75">
        <f t="shared" si="67"/>
        <v>30</v>
      </c>
      <c r="O575" s="202">
        <f t="shared" si="68"/>
        <v>0</v>
      </c>
      <c r="P575" s="199">
        <f t="shared" si="65"/>
        <v>0</v>
      </c>
      <c r="Q575" s="203">
        <f t="shared" si="69"/>
        <v>72.700000000001552</v>
      </c>
      <c r="R575" s="203" t="s">
        <v>55</v>
      </c>
      <c r="S575" s="201">
        <f t="shared" si="70"/>
        <v>1.7874926408884217E-2</v>
      </c>
    </row>
    <row r="576" spans="1:19">
      <c r="A576" s="196">
        <v>40801</v>
      </c>
      <c r="B576" s="122">
        <v>20.74</v>
      </c>
      <c r="C576" s="122">
        <v>20.860001</v>
      </c>
      <c r="D576" s="122">
        <v>20.25</v>
      </c>
      <c r="E576" s="122">
        <v>20.41</v>
      </c>
      <c r="F576" s="122">
        <v>14.358521</v>
      </c>
      <c r="G576" s="197">
        <v>221300</v>
      </c>
      <c r="H576" s="198">
        <f>IF(AND(E575&gt;=H575,E576&gt;=E575),E575*(1+'Trading Model'!$E$13),IF(AND(E576&lt;E575,E575&gt;=H575),E576*(1+'Trading Model'!$E$13),H575))</f>
        <v>27.698998950000004</v>
      </c>
      <c r="I576" s="198">
        <f>IF(K576&gt;0,E576*(1-'Trading Model'!E586),IF(E576&lt;I575,I575*(1-'Trading Model'!$E$14),I575))</f>
        <v>19.391723339595604</v>
      </c>
      <c r="J576" s="198">
        <f t="shared" si="71"/>
        <v>0</v>
      </c>
      <c r="K576" s="198">
        <f t="shared" si="66"/>
        <v>0</v>
      </c>
      <c r="L576" s="198">
        <f>COUNTIF(J576:K576,"&lt;&gt;0")*-'Trading Model'!$E$15</f>
        <v>0</v>
      </c>
      <c r="M576" s="198">
        <f t="shared" si="64"/>
        <v>0</v>
      </c>
      <c r="N576" s="75">
        <f t="shared" si="67"/>
        <v>30</v>
      </c>
      <c r="O576" s="202">
        <f t="shared" si="68"/>
        <v>0</v>
      </c>
      <c r="P576" s="199">
        <f t="shared" si="65"/>
        <v>0</v>
      </c>
      <c r="Q576" s="203">
        <f t="shared" si="69"/>
        <v>72.600000000001558</v>
      </c>
      <c r="R576" s="203" t="s">
        <v>55</v>
      </c>
      <c r="S576" s="201">
        <f t="shared" si="70"/>
        <v>-4.3902439024390283E-3</v>
      </c>
    </row>
    <row r="577" spans="1:19">
      <c r="A577" s="196">
        <v>40802</v>
      </c>
      <c r="B577" s="122">
        <v>20.59</v>
      </c>
      <c r="C577" s="122">
        <v>20.84</v>
      </c>
      <c r="D577" s="122">
        <v>20.18</v>
      </c>
      <c r="E577" s="122">
        <v>20.420000000000002</v>
      </c>
      <c r="F577" s="122">
        <v>14.365557000000001</v>
      </c>
      <c r="G577" s="197">
        <v>252000</v>
      </c>
      <c r="H577" s="198">
        <f>IF(AND(E576&gt;=H576,E577&gt;=E576),E576*(1+'Trading Model'!$E$13),IF(AND(E577&lt;E576,E576&gt;=H576),E577*(1+'Trading Model'!$E$13),H576))</f>
        <v>27.698998950000004</v>
      </c>
      <c r="I577" s="198">
        <f>IF(K577&gt;0,E577*(1-'Trading Model'!E587),IF(E577&lt;I576,I576*(1-'Trading Model'!$E$14),I576))</f>
        <v>19.391723339595604</v>
      </c>
      <c r="J577" s="198">
        <f t="shared" si="71"/>
        <v>0</v>
      </c>
      <c r="K577" s="198">
        <f t="shared" si="66"/>
        <v>0</v>
      </c>
      <c r="L577" s="198">
        <f>COUNTIF(J577:K577,"&lt;&gt;0")*-'Trading Model'!$E$15</f>
        <v>0</v>
      </c>
      <c r="M577" s="198">
        <f t="shared" si="64"/>
        <v>0</v>
      </c>
      <c r="N577" s="75">
        <f t="shared" si="67"/>
        <v>30</v>
      </c>
      <c r="O577" s="202">
        <f t="shared" si="68"/>
        <v>0</v>
      </c>
      <c r="P577" s="199">
        <f t="shared" si="65"/>
        <v>0</v>
      </c>
      <c r="Q577" s="203">
        <f t="shared" si="69"/>
        <v>72.600000000001558</v>
      </c>
      <c r="R577" s="201">
        <f>E577/B573-1</f>
        <v>1.3399503722084427E-2</v>
      </c>
      <c r="S577" s="201">
        <f t="shared" si="70"/>
        <v>4.8995590396860855E-4</v>
      </c>
    </row>
    <row r="578" spans="1:19">
      <c r="A578" s="196">
        <v>40805</v>
      </c>
      <c r="B578" s="122">
        <v>20.010000000000002</v>
      </c>
      <c r="C578" s="122">
        <v>20.309999000000001</v>
      </c>
      <c r="D578" s="122">
        <v>19.82</v>
      </c>
      <c r="E578" s="122">
        <v>19.969999000000001</v>
      </c>
      <c r="F578" s="122">
        <v>14.048978</v>
      </c>
      <c r="G578" s="197">
        <v>266200</v>
      </c>
      <c r="H578" s="198">
        <f>IF(AND(E577&gt;=H577,E578&gt;=E577),E577*(1+'Trading Model'!$E$13),IF(AND(E578&lt;E577,E577&gt;=H577),E578*(1+'Trading Model'!$E$13),H577))</f>
        <v>27.698998950000004</v>
      </c>
      <c r="I578" s="198">
        <f>IF(K578&gt;0,E578*(1-'Trading Model'!E588),IF(E578&lt;I577,I577*(1-'Trading Model'!$E$14),I577))</f>
        <v>19.391723339595604</v>
      </c>
      <c r="J578" s="198">
        <f t="shared" si="71"/>
        <v>0</v>
      </c>
      <c r="K578" s="198">
        <f t="shared" si="66"/>
        <v>0</v>
      </c>
      <c r="L578" s="198">
        <f>COUNTIF(J578:K578,"&lt;&gt;0")*-'Trading Model'!$E$15</f>
        <v>0</v>
      </c>
      <c r="M578" s="198">
        <f t="shared" si="64"/>
        <v>0</v>
      </c>
      <c r="N578" s="75">
        <f t="shared" si="67"/>
        <v>30</v>
      </c>
      <c r="O578" s="202">
        <f t="shared" si="68"/>
        <v>0</v>
      </c>
      <c r="P578" s="199">
        <f t="shared" si="65"/>
        <v>0</v>
      </c>
      <c r="Q578" s="203">
        <f t="shared" si="69"/>
        <v>72.500000000001563</v>
      </c>
      <c r="R578" s="160" t="s">
        <v>55</v>
      </c>
      <c r="S578" s="201">
        <f t="shared" si="70"/>
        <v>-2.2037267384916737E-2</v>
      </c>
    </row>
    <row r="579" spans="1:19">
      <c r="A579" s="196">
        <v>40806</v>
      </c>
      <c r="B579" s="122">
        <v>20.030000999999999</v>
      </c>
      <c r="C579" s="122">
        <v>20.67</v>
      </c>
      <c r="D579" s="122">
        <v>19.860001</v>
      </c>
      <c r="E579" s="122">
        <v>20.329999999999998</v>
      </c>
      <c r="F579" s="122">
        <v>14.302243000000001</v>
      </c>
      <c r="G579" s="197">
        <v>277600</v>
      </c>
      <c r="H579" s="198">
        <f>IF(AND(E578&gt;=H578,E579&gt;=E578),E578*(1+'Trading Model'!$E$13),IF(AND(E579&lt;E578,E578&gt;=H578),E579*(1+'Trading Model'!$E$13),H578))</f>
        <v>27.698998950000004</v>
      </c>
      <c r="I579" s="198">
        <f>IF(K579&gt;0,E579*(1-'Trading Model'!E589),IF(E579&lt;I578,I578*(1-'Trading Model'!$E$14),I578))</f>
        <v>19.391723339595604</v>
      </c>
      <c r="J579" s="198">
        <f t="shared" si="71"/>
        <v>0</v>
      </c>
      <c r="K579" s="198">
        <f t="shared" si="66"/>
        <v>0</v>
      </c>
      <c r="L579" s="198">
        <f>COUNTIF(J579:K579,"&lt;&gt;0")*-'Trading Model'!$E$15</f>
        <v>0</v>
      </c>
      <c r="M579" s="198">
        <f t="shared" ref="M579:M642" si="72">SUM(J579:L579)</f>
        <v>0</v>
      </c>
      <c r="N579" s="75">
        <f t="shared" si="67"/>
        <v>30</v>
      </c>
      <c r="O579" s="202">
        <f t="shared" si="68"/>
        <v>0</v>
      </c>
      <c r="P579" s="199">
        <f t="shared" ref="P579:P642" si="73">IFERROR(VLOOKUP(A579,Dividends,2,FALSE),$U$1)</f>
        <v>0</v>
      </c>
      <c r="Q579" s="203">
        <f t="shared" si="69"/>
        <v>72.500000000001563</v>
      </c>
      <c r="R579" s="203" t="s">
        <v>55</v>
      </c>
      <c r="S579" s="201">
        <f t="shared" si="70"/>
        <v>1.8027091538662443E-2</v>
      </c>
    </row>
    <row r="580" spans="1:19">
      <c r="A580" s="196">
        <v>40807</v>
      </c>
      <c r="B580" s="122">
        <v>20.420000000000002</v>
      </c>
      <c r="C580" s="122">
        <v>20.52</v>
      </c>
      <c r="D580" s="122">
        <v>19.690000999999999</v>
      </c>
      <c r="E580" s="122">
        <v>19.73</v>
      </c>
      <c r="F580" s="122">
        <v>13.880138000000001</v>
      </c>
      <c r="G580" s="197">
        <v>201700</v>
      </c>
      <c r="H580" s="198">
        <f>IF(AND(E579&gt;=H579,E580&gt;=E579),E579*(1+'Trading Model'!$E$13),IF(AND(E580&lt;E579,E579&gt;=H579),E580*(1+'Trading Model'!$E$13),H579))</f>
        <v>27.698998950000004</v>
      </c>
      <c r="I580" s="198">
        <f>IF(K580&gt;0,E580*(1-'Trading Model'!E590),IF(E580&lt;I579,I579*(1-'Trading Model'!$E$14),I579))</f>
        <v>19.391723339595604</v>
      </c>
      <c r="J580" s="198">
        <f t="shared" si="71"/>
        <v>0</v>
      </c>
      <c r="K580" s="198">
        <f t="shared" ref="K580:K643" si="74">IF(E580&gt;=H580,E580,0)</f>
        <v>0</v>
      </c>
      <c r="L580" s="198">
        <f>COUNTIF(J580:K580,"&lt;&gt;0")*-'Trading Model'!$E$15</f>
        <v>0</v>
      </c>
      <c r="M580" s="198">
        <f t="shared" si="72"/>
        <v>0</v>
      </c>
      <c r="N580" s="75">
        <f t="shared" ref="N580:N643" si="75">IF(AND(J580&lt;0,K580&gt;0),N579,(IF(J580&lt;0,N579+1,IF(K580&gt;0,N579+1,N579))))</f>
        <v>30</v>
      </c>
      <c r="O580" s="202">
        <f t="shared" ref="O580:O643" si="76">P580</f>
        <v>0</v>
      </c>
      <c r="P580" s="199">
        <f t="shared" si="73"/>
        <v>0</v>
      </c>
      <c r="Q580" s="203">
        <f t="shared" ref="Q580:Q643" si="77">IF(E580&lt;E579,Q579-0.1,Q579)</f>
        <v>72.400000000001569</v>
      </c>
      <c r="R580" s="203" t="s">
        <v>55</v>
      </c>
      <c r="S580" s="201">
        <f t="shared" ref="S580:S643" si="78">E580/E579-1</f>
        <v>-2.9513034923757897E-2</v>
      </c>
    </row>
    <row r="581" spans="1:19">
      <c r="A581" s="196">
        <v>40808</v>
      </c>
      <c r="B581" s="122">
        <v>19.25</v>
      </c>
      <c r="C581" s="122">
        <v>19.27</v>
      </c>
      <c r="D581" s="122">
        <v>18.129999000000002</v>
      </c>
      <c r="E581" s="122">
        <v>18.530000999999999</v>
      </c>
      <c r="F581" s="122">
        <v>13.035933999999999</v>
      </c>
      <c r="G581" s="197">
        <v>568400</v>
      </c>
      <c r="H581" s="198">
        <f>IF(AND(E580&gt;=H580,E581&gt;=E580),E580*(1+'Trading Model'!$E$13),IF(AND(E581&lt;E580,E580&gt;=H580),E581*(1+'Trading Model'!$E$13),H580))</f>
        <v>27.698998950000004</v>
      </c>
      <c r="I581" s="198">
        <f>IF(K581&gt;0,E581*(1-'Trading Model'!E591),IF(E581&lt;I580,I580*(1-'Trading Model'!$E$14),I580))</f>
        <v>18.422137172615823</v>
      </c>
      <c r="J581" s="198">
        <f t="shared" ref="J581:J644" si="79">IF(E581&gt;=H581,-E581,IF(E581&lt;=I580,-E581,0))</f>
        <v>-18.530000999999999</v>
      </c>
      <c r="K581" s="198">
        <f t="shared" si="74"/>
        <v>0</v>
      </c>
      <c r="L581" s="198">
        <f>COUNTIF(J581:K581,"&lt;&gt;0")*-'Trading Model'!$E$15</f>
        <v>-0.1</v>
      </c>
      <c r="M581" s="198">
        <f t="shared" si="72"/>
        <v>-18.630001</v>
      </c>
      <c r="N581" s="75">
        <f t="shared" si="75"/>
        <v>31</v>
      </c>
      <c r="O581" s="202">
        <f t="shared" si="76"/>
        <v>0</v>
      </c>
      <c r="P581" s="199">
        <f t="shared" si="73"/>
        <v>0</v>
      </c>
      <c r="Q581" s="203">
        <f t="shared" si="77"/>
        <v>72.300000000001575</v>
      </c>
      <c r="R581" s="203" t="s">
        <v>55</v>
      </c>
      <c r="S581" s="201">
        <f t="shared" si="78"/>
        <v>-6.0821033958438964E-2</v>
      </c>
    </row>
    <row r="582" spans="1:19">
      <c r="A582" s="196">
        <v>40809</v>
      </c>
      <c r="B582" s="122">
        <v>18.469999000000001</v>
      </c>
      <c r="C582" s="122">
        <v>19</v>
      </c>
      <c r="D582" s="122">
        <v>18.32</v>
      </c>
      <c r="E582" s="122">
        <v>18.77</v>
      </c>
      <c r="F582" s="122">
        <v>13.204776000000001</v>
      </c>
      <c r="G582" s="197">
        <v>273500</v>
      </c>
      <c r="H582" s="198">
        <f>IF(AND(E581&gt;=H581,E582&gt;=E581),E581*(1+'Trading Model'!$E$13),IF(AND(E582&lt;E581,E581&gt;=H581),E582*(1+'Trading Model'!$E$13),H581))</f>
        <v>27.698998950000004</v>
      </c>
      <c r="I582" s="198">
        <f>IF(K582&gt;0,E582*(1-'Trading Model'!E592),IF(E582&lt;I581,I581*(1-'Trading Model'!$E$14),I581))</f>
        <v>18.422137172615823</v>
      </c>
      <c r="J582" s="198">
        <f t="shared" si="79"/>
        <v>0</v>
      </c>
      <c r="K582" s="198">
        <f t="shared" si="74"/>
        <v>0</v>
      </c>
      <c r="L582" s="198">
        <f>COUNTIF(J582:K582,"&lt;&gt;0")*-'Trading Model'!$E$15</f>
        <v>0</v>
      </c>
      <c r="M582" s="198">
        <f t="shared" si="72"/>
        <v>0</v>
      </c>
      <c r="N582" s="75">
        <f t="shared" si="75"/>
        <v>31</v>
      </c>
      <c r="O582" s="202">
        <f t="shared" si="76"/>
        <v>0</v>
      </c>
      <c r="P582" s="199">
        <f t="shared" si="73"/>
        <v>0</v>
      </c>
      <c r="Q582" s="203">
        <f t="shared" si="77"/>
        <v>72.300000000001575</v>
      </c>
      <c r="R582" s="201">
        <f>E582/B578-1</f>
        <v>-6.1969015492253976E-2</v>
      </c>
      <c r="S582" s="201">
        <f t="shared" si="78"/>
        <v>1.2951915113226464E-2</v>
      </c>
    </row>
    <row r="583" spans="1:19">
      <c r="A583" s="196">
        <v>40812</v>
      </c>
      <c r="B583" s="122">
        <v>18.760000000000002</v>
      </c>
      <c r="C583" s="122">
        <v>18.899999999999999</v>
      </c>
      <c r="D583" s="122">
        <v>18.170000000000002</v>
      </c>
      <c r="E583" s="122">
        <v>18.5</v>
      </c>
      <c r="F583" s="122">
        <v>13.01483</v>
      </c>
      <c r="G583" s="197">
        <v>193200</v>
      </c>
      <c r="H583" s="198">
        <f>IF(AND(E582&gt;=H582,E583&gt;=E582),E582*(1+'Trading Model'!$E$13),IF(AND(E583&lt;E582,E582&gt;=H582),E583*(1+'Trading Model'!$E$13),H582))</f>
        <v>27.698998950000004</v>
      </c>
      <c r="I583" s="198">
        <f>IF(K583&gt;0,E583*(1-'Trading Model'!E593),IF(E583&lt;I582,I582*(1-'Trading Model'!$E$14),I582))</f>
        <v>18.422137172615823</v>
      </c>
      <c r="J583" s="198">
        <f t="shared" si="79"/>
        <v>0</v>
      </c>
      <c r="K583" s="198">
        <f t="shared" si="74"/>
        <v>0</v>
      </c>
      <c r="L583" s="198">
        <f>COUNTIF(J583:K583,"&lt;&gt;0")*-'Trading Model'!$E$15</f>
        <v>0</v>
      </c>
      <c r="M583" s="198">
        <f t="shared" si="72"/>
        <v>0</v>
      </c>
      <c r="N583" s="75">
        <f t="shared" si="75"/>
        <v>31</v>
      </c>
      <c r="O583" s="202">
        <f t="shared" si="76"/>
        <v>0</v>
      </c>
      <c r="P583" s="199">
        <f t="shared" si="73"/>
        <v>0</v>
      </c>
      <c r="Q583" s="203">
        <f t="shared" si="77"/>
        <v>72.20000000000158</v>
      </c>
      <c r="R583" s="160" t="s">
        <v>55</v>
      </c>
      <c r="S583" s="201">
        <f t="shared" si="78"/>
        <v>-1.4384656366542292E-2</v>
      </c>
    </row>
    <row r="584" spans="1:19">
      <c r="A584" s="196">
        <v>40813</v>
      </c>
      <c r="B584" s="122">
        <v>18.969999000000001</v>
      </c>
      <c r="C584" s="122">
        <v>19.469999000000001</v>
      </c>
      <c r="D584" s="122">
        <v>18.969999000000001</v>
      </c>
      <c r="E584" s="122">
        <v>19.239999999999998</v>
      </c>
      <c r="F584" s="122">
        <v>13.535422000000001</v>
      </c>
      <c r="G584" s="197">
        <v>291800</v>
      </c>
      <c r="H584" s="198">
        <f>IF(AND(E583&gt;=H583,E584&gt;=E583),E583*(1+'Trading Model'!$E$13),IF(AND(E584&lt;E583,E583&gt;=H583),E584*(1+'Trading Model'!$E$13),H583))</f>
        <v>27.698998950000004</v>
      </c>
      <c r="I584" s="198">
        <f>IF(K584&gt;0,E584*(1-'Trading Model'!E594),IF(E584&lt;I583,I583*(1-'Trading Model'!$E$14),I583))</f>
        <v>18.422137172615823</v>
      </c>
      <c r="J584" s="198">
        <f t="shared" si="79"/>
        <v>0</v>
      </c>
      <c r="K584" s="198">
        <f t="shared" si="74"/>
        <v>0</v>
      </c>
      <c r="L584" s="198">
        <f>COUNTIF(J584:K584,"&lt;&gt;0")*-'Trading Model'!$E$15</f>
        <v>0</v>
      </c>
      <c r="M584" s="198">
        <f t="shared" si="72"/>
        <v>0</v>
      </c>
      <c r="N584" s="75">
        <f t="shared" si="75"/>
        <v>31</v>
      </c>
      <c r="O584" s="202">
        <f t="shared" si="76"/>
        <v>0</v>
      </c>
      <c r="P584" s="199">
        <f t="shared" si="73"/>
        <v>0</v>
      </c>
      <c r="Q584" s="203">
        <f t="shared" si="77"/>
        <v>72.20000000000158</v>
      </c>
      <c r="R584" s="203" t="s">
        <v>55</v>
      </c>
      <c r="S584" s="201">
        <f t="shared" si="78"/>
        <v>3.9999999999999813E-2</v>
      </c>
    </row>
    <row r="585" spans="1:19">
      <c r="A585" s="196">
        <v>40814</v>
      </c>
      <c r="B585" s="122">
        <v>19.239999999999998</v>
      </c>
      <c r="C585" s="122">
        <v>19.469999000000001</v>
      </c>
      <c r="D585" s="122">
        <v>18.690000999999999</v>
      </c>
      <c r="E585" s="122">
        <v>18.75</v>
      </c>
      <c r="F585" s="122">
        <v>13.190706</v>
      </c>
      <c r="G585" s="197">
        <v>142600</v>
      </c>
      <c r="H585" s="198">
        <f>IF(AND(E584&gt;=H584,E585&gt;=E584),E584*(1+'Trading Model'!$E$13),IF(AND(E585&lt;E584,E584&gt;=H584),E585*(1+'Trading Model'!$E$13),H584))</f>
        <v>27.698998950000004</v>
      </c>
      <c r="I585" s="198">
        <f>IF(K585&gt;0,E585*(1-'Trading Model'!E595),IF(E585&lt;I584,I584*(1-'Trading Model'!$E$14),I584))</f>
        <v>18.422137172615823</v>
      </c>
      <c r="J585" s="198">
        <f t="shared" si="79"/>
        <v>0</v>
      </c>
      <c r="K585" s="198">
        <f t="shared" si="74"/>
        <v>0</v>
      </c>
      <c r="L585" s="198">
        <f>COUNTIF(J585:K585,"&lt;&gt;0")*-'Trading Model'!$E$15</f>
        <v>0</v>
      </c>
      <c r="M585" s="198">
        <f t="shared" si="72"/>
        <v>0</v>
      </c>
      <c r="N585" s="75">
        <f t="shared" si="75"/>
        <v>31</v>
      </c>
      <c r="O585" s="202">
        <f t="shared" si="76"/>
        <v>0</v>
      </c>
      <c r="P585" s="199">
        <f t="shared" si="73"/>
        <v>0</v>
      </c>
      <c r="Q585" s="203">
        <f t="shared" si="77"/>
        <v>72.100000000001586</v>
      </c>
      <c r="R585" s="203" t="s">
        <v>55</v>
      </c>
      <c r="S585" s="201">
        <f t="shared" si="78"/>
        <v>-2.5467775467775344E-2</v>
      </c>
    </row>
    <row r="586" spans="1:19">
      <c r="A586" s="196">
        <v>40815</v>
      </c>
      <c r="B586" s="122">
        <v>19.139999</v>
      </c>
      <c r="C586" s="122">
        <v>19.239999999999998</v>
      </c>
      <c r="D586" s="122">
        <v>18.850000000000001</v>
      </c>
      <c r="E586" s="122">
        <v>18.93</v>
      </c>
      <c r="F586" s="122">
        <v>13.317335999999999</v>
      </c>
      <c r="G586" s="197">
        <v>208800</v>
      </c>
      <c r="H586" s="198">
        <f>IF(AND(E585&gt;=H585,E586&gt;=E585),E585*(1+'Trading Model'!$E$13),IF(AND(E586&lt;E585,E585&gt;=H585),E586*(1+'Trading Model'!$E$13),H585))</f>
        <v>27.698998950000004</v>
      </c>
      <c r="I586" s="198">
        <f>IF(K586&gt;0,E586*(1-'Trading Model'!E596),IF(E586&lt;I585,I585*(1-'Trading Model'!$E$14),I585))</f>
        <v>18.422137172615823</v>
      </c>
      <c r="J586" s="198">
        <f t="shared" si="79"/>
        <v>0</v>
      </c>
      <c r="K586" s="198">
        <f t="shared" si="74"/>
        <v>0</v>
      </c>
      <c r="L586" s="198">
        <f>COUNTIF(J586:K586,"&lt;&gt;0")*-'Trading Model'!$E$15</f>
        <v>0</v>
      </c>
      <c r="M586" s="198">
        <f t="shared" si="72"/>
        <v>0</v>
      </c>
      <c r="N586" s="75">
        <f t="shared" si="75"/>
        <v>31</v>
      </c>
      <c r="O586" s="202">
        <f t="shared" si="76"/>
        <v>0</v>
      </c>
      <c r="P586" s="199">
        <f t="shared" si="73"/>
        <v>0</v>
      </c>
      <c r="Q586" s="203">
        <f t="shared" si="77"/>
        <v>72.100000000001586</v>
      </c>
      <c r="R586" s="203" t="s">
        <v>55</v>
      </c>
      <c r="S586" s="201">
        <f t="shared" si="78"/>
        <v>9.6000000000000529E-3</v>
      </c>
    </row>
    <row r="587" spans="1:19">
      <c r="A587" s="196">
        <v>40816</v>
      </c>
      <c r="B587" s="122">
        <v>18.75</v>
      </c>
      <c r="C587" s="122">
        <v>19.09</v>
      </c>
      <c r="D587" s="122">
        <v>18.399999999999999</v>
      </c>
      <c r="E587" s="122">
        <v>18.629999000000002</v>
      </c>
      <c r="F587" s="122">
        <v>13.106284</v>
      </c>
      <c r="G587" s="197">
        <v>313000</v>
      </c>
      <c r="H587" s="198">
        <f>IF(AND(E586&gt;=H586,E587&gt;=E586),E586*(1+'Trading Model'!$E$13),IF(AND(E587&lt;E586,E586&gt;=H586),E587*(1+'Trading Model'!$E$13),H586))</f>
        <v>27.698998950000004</v>
      </c>
      <c r="I587" s="198">
        <f>IF(K587&gt;0,E587*(1-'Trading Model'!E597),IF(E587&lt;I586,I586*(1-'Trading Model'!$E$14),I586))</f>
        <v>18.422137172615823</v>
      </c>
      <c r="J587" s="198">
        <f t="shared" si="79"/>
        <v>0</v>
      </c>
      <c r="K587" s="198">
        <f t="shared" si="74"/>
        <v>0</v>
      </c>
      <c r="L587" s="198">
        <f>COUNTIF(J587:K587,"&lt;&gt;0")*-'Trading Model'!$E$15</f>
        <v>0</v>
      </c>
      <c r="M587" s="198">
        <f t="shared" si="72"/>
        <v>0</v>
      </c>
      <c r="N587" s="75">
        <f t="shared" si="75"/>
        <v>31</v>
      </c>
      <c r="O587" s="202">
        <f t="shared" si="76"/>
        <v>0</v>
      </c>
      <c r="P587" s="199">
        <f t="shared" si="73"/>
        <v>0</v>
      </c>
      <c r="Q587" s="203">
        <f t="shared" si="77"/>
        <v>72.000000000001592</v>
      </c>
      <c r="R587" s="201">
        <f>E587/B583-1</f>
        <v>-6.9296908315564787E-3</v>
      </c>
      <c r="S587" s="201">
        <f t="shared" si="78"/>
        <v>-1.5847913365028998E-2</v>
      </c>
    </row>
    <row r="588" spans="1:19">
      <c r="A588" s="196">
        <v>40819</v>
      </c>
      <c r="B588" s="122">
        <v>18.540001</v>
      </c>
      <c r="C588" s="122">
        <v>18.57</v>
      </c>
      <c r="D588" s="122">
        <v>17.350000000000001</v>
      </c>
      <c r="E588" s="122">
        <v>17.540001</v>
      </c>
      <c r="F588" s="122">
        <v>12.339466</v>
      </c>
      <c r="G588" s="197">
        <v>459100</v>
      </c>
      <c r="H588" s="198">
        <f>IF(AND(E587&gt;=H587,E588&gt;=E587),E587*(1+'Trading Model'!$E$13),IF(AND(E588&lt;E587,E587&gt;=H587),E588*(1+'Trading Model'!$E$13),H587))</f>
        <v>27.698998950000004</v>
      </c>
      <c r="I588" s="198">
        <f>IF(K588&gt;0,E588*(1-'Trading Model'!E598),IF(E588&lt;I587,I587*(1-'Trading Model'!$E$14),I587))</f>
        <v>17.50103031398503</v>
      </c>
      <c r="J588" s="198">
        <f t="shared" si="79"/>
        <v>-17.540001</v>
      </c>
      <c r="K588" s="198">
        <f t="shared" si="74"/>
        <v>0</v>
      </c>
      <c r="L588" s="198">
        <f>COUNTIF(J588:K588,"&lt;&gt;0")*-'Trading Model'!$E$15</f>
        <v>-0.1</v>
      </c>
      <c r="M588" s="198">
        <f t="shared" si="72"/>
        <v>-17.640001000000002</v>
      </c>
      <c r="N588" s="75">
        <f t="shared" si="75"/>
        <v>32</v>
      </c>
      <c r="O588" s="202">
        <f t="shared" si="76"/>
        <v>0</v>
      </c>
      <c r="P588" s="199">
        <f t="shared" si="73"/>
        <v>0</v>
      </c>
      <c r="Q588" s="203">
        <f t="shared" si="77"/>
        <v>71.900000000001597</v>
      </c>
      <c r="R588" s="160" t="s">
        <v>55</v>
      </c>
      <c r="S588" s="201">
        <f t="shared" si="78"/>
        <v>-5.8507678932242624E-2</v>
      </c>
    </row>
    <row r="589" spans="1:19">
      <c r="A589" s="196">
        <v>40820</v>
      </c>
      <c r="B589" s="122">
        <v>17.299999</v>
      </c>
      <c r="C589" s="122">
        <v>17.379999000000002</v>
      </c>
      <c r="D589" s="122">
        <v>16.899999999999999</v>
      </c>
      <c r="E589" s="122">
        <v>17.379999000000002</v>
      </c>
      <c r="F589" s="122">
        <v>12.226903999999999</v>
      </c>
      <c r="G589" s="197">
        <v>469600</v>
      </c>
      <c r="H589" s="198">
        <f>IF(AND(E588&gt;=H588,E589&gt;=E588),E588*(1+'Trading Model'!$E$13),IF(AND(E589&lt;E588,E588&gt;=H588),E589*(1+'Trading Model'!$E$13),H588))</f>
        <v>27.698998950000004</v>
      </c>
      <c r="I589" s="198">
        <f>IF(K589&gt;0,E589*(1-'Trading Model'!E599),IF(E589&lt;I588,I588*(1-'Trading Model'!$E$14),I588))</f>
        <v>16.625978798285779</v>
      </c>
      <c r="J589" s="198">
        <f t="shared" si="79"/>
        <v>-17.379999000000002</v>
      </c>
      <c r="K589" s="198">
        <f t="shared" si="74"/>
        <v>0</v>
      </c>
      <c r="L589" s="198">
        <f>COUNTIF(J589:K589,"&lt;&gt;0")*-'Trading Model'!$E$15</f>
        <v>-0.1</v>
      </c>
      <c r="M589" s="198">
        <f t="shared" si="72"/>
        <v>-17.479999000000003</v>
      </c>
      <c r="N589" s="75">
        <f t="shared" si="75"/>
        <v>33</v>
      </c>
      <c r="O589" s="202">
        <f t="shared" si="76"/>
        <v>0</v>
      </c>
      <c r="P589" s="199">
        <f t="shared" si="73"/>
        <v>0</v>
      </c>
      <c r="Q589" s="203">
        <f t="shared" si="77"/>
        <v>71.800000000001603</v>
      </c>
      <c r="R589" s="203" t="s">
        <v>55</v>
      </c>
      <c r="S589" s="201">
        <f t="shared" si="78"/>
        <v>-9.1221203465152723E-3</v>
      </c>
    </row>
    <row r="590" spans="1:19">
      <c r="A590" s="196">
        <v>40821</v>
      </c>
      <c r="B590" s="122">
        <v>17.389999</v>
      </c>
      <c r="C590" s="122">
        <v>17.540001</v>
      </c>
      <c r="D590" s="122">
        <v>17.110001</v>
      </c>
      <c r="E590" s="122">
        <v>17.48</v>
      </c>
      <c r="F590" s="122">
        <v>12.297254000000001</v>
      </c>
      <c r="G590" s="197">
        <v>294000</v>
      </c>
      <c r="H590" s="198">
        <f>IF(AND(E589&gt;=H589,E590&gt;=E589),E589*(1+'Trading Model'!$E$13),IF(AND(E590&lt;E589,E589&gt;=H589),E590*(1+'Trading Model'!$E$13),H589))</f>
        <v>27.698998950000004</v>
      </c>
      <c r="I590" s="198">
        <f>IF(K590&gt;0,E590*(1-'Trading Model'!E600),IF(E590&lt;I589,I589*(1-'Trading Model'!$E$14),I589))</f>
        <v>16.625978798285779</v>
      </c>
      <c r="J590" s="198">
        <f t="shared" si="79"/>
        <v>0</v>
      </c>
      <c r="K590" s="198">
        <f t="shared" si="74"/>
        <v>0</v>
      </c>
      <c r="L590" s="198">
        <f>COUNTIF(J590:K590,"&lt;&gt;0")*-'Trading Model'!$E$15</f>
        <v>0</v>
      </c>
      <c r="M590" s="198">
        <f t="shared" si="72"/>
        <v>0</v>
      </c>
      <c r="N590" s="75">
        <f t="shared" si="75"/>
        <v>33</v>
      </c>
      <c r="O590" s="202">
        <f t="shared" si="76"/>
        <v>0</v>
      </c>
      <c r="P590" s="199">
        <f t="shared" si="73"/>
        <v>0</v>
      </c>
      <c r="Q590" s="203">
        <f t="shared" si="77"/>
        <v>71.800000000001603</v>
      </c>
      <c r="R590" s="203" t="s">
        <v>55</v>
      </c>
      <c r="S590" s="201">
        <f t="shared" si="78"/>
        <v>5.7537977994128742E-3</v>
      </c>
    </row>
    <row r="591" spans="1:19">
      <c r="A591" s="196">
        <v>40822</v>
      </c>
      <c r="B591" s="122">
        <v>17.389999</v>
      </c>
      <c r="C591" s="122">
        <v>17.870000999999998</v>
      </c>
      <c r="D591" s="122">
        <v>17.389999</v>
      </c>
      <c r="E591" s="122">
        <v>17.790001</v>
      </c>
      <c r="F591" s="122">
        <v>12.515342</v>
      </c>
      <c r="G591" s="197">
        <v>280000</v>
      </c>
      <c r="H591" s="198">
        <f>IF(AND(E590&gt;=H590,E591&gt;=E590),E590*(1+'Trading Model'!$E$13),IF(AND(E591&lt;E590,E590&gt;=H590),E591*(1+'Trading Model'!$E$13),H590))</f>
        <v>27.698998950000004</v>
      </c>
      <c r="I591" s="198">
        <f>IF(K591&gt;0,E591*(1-'Trading Model'!E601),IF(E591&lt;I590,I590*(1-'Trading Model'!$E$14),I590))</f>
        <v>16.625978798285779</v>
      </c>
      <c r="J591" s="198">
        <f t="shared" si="79"/>
        <v>0</v>
      </c>
      <c r="K591" s="198">
        <f t="shared" si="74"/>
        <v>0</v>
      </c>
      <c r="L591" s="198">
        <f>COUNTIF(J591:K591,"&lt;&gt;0")*-'Trading Model'!$E$15</f>
        <v>0</v>
      </c>
      <c r="M591" s="198">
        <f t="shared" si="72"/>
        <v>0</v>
      </c>
      <c r="N591" s="75">
        <f t="shared" si="75"/>
        <v>33</v>
      </c>
      <c r="O591" s="202">
        <f t="shared" si="76"/>
        <v>0</v>
      </c>
      <c r="P591" s="199">
        <f t="shared" si="73"/>
        <v>0</v>
      </c>
      <c r="Q591" s="203">
        <f t="shared" si="77"/>
        <v>71.800000000001603</v>
      </c>
      <c r="R591" s="203" t="s">
        <v>55</v>
      </c>
      <c r="S591" s="201">
        <f t="shared" si="78"/>
        <v>1.7734610983981769E-2</v>
      </c>
    </row>
    <row r="592" spans="1:19">
      <c r="A592" s="196">
        <v>40823</v>
      </c>
      <c r="B592" s="122">
        <v>17.850000000000001</v>
      </c>
      <c r="C592" s="122">
        <v>19.969999000000001</v>
      </c>
      <c r="D592" s="122">
        <v>17.77</v>
      </c>
      <c r="E592" s="122">
        <v>17.879999000000002</v>
      </c>
      <c r="F592" s="122">
        <v>12.578656000000001</v>
      </c>
      <c r="G592" s="197">
        <v>294500</v>
      </c>
      <c r="H592" s="198">
        <f>IF(AND(E591&gt;=H591,E592&gt;=E591),E591*(1+'Trading Model'!$E$13),IF(AND(E592&lt;E591,E591&gt;=H591),E592*(1+'Trading Model'!$E$13),H591))</f>
        <v>27.698998950000004</v>
      </c>
      <c r="I592" s="198">
        <f>IF(K592&gt;0,E592*(1-'Trading Model'!E602),IF(E592&lt;I591,I591*(1-'Trading Model'!$E$14),I591))</f>
        <v>16.625978798285779</v>
      </c>
      <c r="J592" s="198">
        <f t="shared" si="79"/>
        <v>0</v>
      </c>
      <c r="K592" s="198">
        <f t="shared" si="74"/>
        <v>0</v>
      </c>
      <c r="L592" s="198">
        <f>COUNTIF(J592:K592,"&lt;&gt;0")*-'Trading Model'!$E$15</f>
        <v>0</v>
      </c>
      <c r="M592" s="198">
        <f t="shared" si="72"/>
        <v>0</v>
      </c>
      <c r="N592" s="75">
        <f t="shared" si="75"/>
        <v>33</v>
      </c>
      <c r="O592" s="202">
        <f t="shared" si="76"/>
        <v>0</v>
      </c>
      <c r="P592" s="199">
        <f t="shared" si="73"/>
        <v>0</v>
      </c>
      <c r="Q592" s="203">
        <f t="shared" si="77"/>
        <v>71.800000000001603</v>
      </c>
      <c r="R592" s="201">
        <f>E592/B588-1</f>
        <v>-3.5598811456374668E-2</v>
      </c>
      <c r="S592" s="201">
        <f t="shared" si="78"/>
        <v>5.0589092153507931E-3</v>
      </c>
    </row>
    <row r="593" spans="1:19">
      <c r="A593" s="196">
        <v>40826</v>
      </c>
      <c r="B593" s="122">
        <v>18.299999</v>
      </c>
      <c r="C593" s="122">
        <v>19.25</v>
      </c>
      <c r="D593" s="122">
        <v>18.299999</v>
      </c>
      <c r="E593" s="122">
        <v>19</v>
      </c>
      <c r="F593" s="122">
        <v>13.366579</v>
      </c>
      <c r="G593" s="197">
        <v>328900</v>
      </c>
      <c r="H593" s="198">
        <f>IF(AND(E592&gt;=H592,E593&gt;=E592),E592*(1+'Trading Model'!$E$13),IF(AND(E593&lt;E592,E592&gt;=H592),E593*(1+'Trading Model'!$E$13),H592))</f>
        <v>27.698998950000004</v>
      </c>
      <c r="I593" s="198">
        <f>IF(K593&gt;0,E593*(1-'Trading Model'!E603),IF(E593&lt;I592,I592*(1-'Trading Model'!$E$14),I592))</f>
        <v>16.625978798285779</v>
      </c>
      <c r="J593" s="198">
        <f t="shared" si="79"/>
        <v>0</v>
      </c>
      <c r="K593" s="198">
        <f t="shared" si="74"/>
        <v>0</v>
      </c>
      <c r="L593" s="198">
        <f>COUNTIF(J593:K593,"&lt;&gt;0")*-'Trading Model'!$E$15</f>
        <v>0</v>
      </c>
      <c r="M593" s="198">
        <f t="shared" si="72"/>
        <v>0</v>
      </c>
      <c r="N593" s="75">
        <f t="shared" si="75"/>
        <v>33</v>
      </c>
      <c r="O593" s="202">
        <f t="shared" si="76"/>
        <v>0</v>
      </c>
      <c r="P593" s="199">
        <f t="shared" si="73"/>
        <v>0</v>
      </c>
      <c r="Q593" s="203">
        <f t="shared" si="77"/>
        <v>71.800000000001603</v>
      </c>
      <c r="R593" s="160" t="s">
        <v>55</v>
      </c>
      <c r="S593" s="201">
        <f t="shared" si="78"/>
        <v>6.2639880460843234E-2</v>
      </c>
    </row>
    <row r="594" spans="1:19">
      <c r="A594" s="196">
        <v>40827</v>
      </c>
      <c r="B594" s="122">
        <v>18.780000999999999</v>
      </c>
      <c r="C594" s="122">
        <v>19</v>
      </c>
      <c r="D594" s="122">
        <v>18.639999</v>
      </c>
      <c r="E594" s="122">
        <v>18.700001</v>
      </c>
      <c r="F594" s="122">
        <v>13.155531999999999</v>
      </c>
      <c r="G594" s="197">
        <v>259800</v>
      </c>
      <c r="H594" s="198">
        <f>IF(AND(E593&gt;=H593,E594&gt;=E593),E593*(1+'Trading Model'!$E$13),IF(AND(E594&lt;E593,E593&gt;=H593),E594*(1+'Trading Model'!$E$13),H593))</f>
        <v>27.698998950000004</v>
      </c>
      <c r="I594" s="198">
        <f>IF(K594&gt;0,E594*(1-'Trading Model'!E604),IF(E594&lt;I593,I593*(1-'Trading Model'!$E$14),I593))</f>
        <v>16.625978798285779</v>
      </c>
      <c r="J594" s="198">
        <f t="shared" si="79"/>
        <v>0</v>
      </c>
      <c r="K594" s="198">
        <f t="shared" si="74"/>
        <v>0</v>
      </c>
      <c r="L594" s="198">
        <f>COUNTIF(J594:K594,"&lt;&gt;0")*-'Trading Model'!$E$15</f>
        <v>0</v>
      </c>
      <c r="M594" s="198">
        <f t="shared" si="72"/>
        <v>0</v>
      </c>
      <c r="N594" s="75">
        <f t="shared" si="75"/>
        <v>33</v>
      </c>
      <c r="O594" s="202">
        <f t="shared" si="76"/>
        <v>0</v>
      </c>
      <c r="P594" s="199">
        <f t="shared" si="73"/>
        <v>0</v>
      </c>
      <c r="Q594" s="203">
        <f t="shared" si="77"/>
        <v>71.700000000001609</v>
      </c>
      <c r="R594" s="203" t="s">
        <v>55</v>
      </c>
      <c r="S594" s="201">
        <f t="shared" si="78"/>
        <v>-1.5789421052631591E-2</v>
      </c>
    </row>
    <row r="595" spans="1:19">
      <c r="A595" s="196">
        <v>40828</v>
      </c>
      <c r="B595" s="122">
        <v>18.799999</v>
      </c>
      <c r="C595" s="122">
        <v>19.379999000000002</v>
      </c>
      <c r="D595" s="122">
        <v>18.799999</v>
      </c>
      <c r="E595" s="122">
        <v>19.239999999999998</v>
      </c>
      <c r="F595" s="122">
        <v>13.535422000000001</v>
      </c>
      <c r="G595" s="197">
        <v>425900</v>
      </c>
      <c r="H595" s="198">
        <f>IF(AND(E594&gt;=H594,E595&gt;=E594),E594*(1+'Trading Model'!$E$13),IF(AND(E595&lt;E594,E594&gt;=H594),E595*(1+'Trading Model'!$E$13),H594))</f>
        <v>27.698998950000004</v>
      </c>
      <c r="I595" s="198">
        <f>IF(K595&gt;0,E595*(1-'Trading Model'!E605),IF(E595&lt;I594,I594*(1-'Trading Model'!$E$14),I594))</f>
        <v>16.625978798285779</v>
      </c>
      <c r="J595" s="198">
        <f t="shared" si="79"/>
        <v>0</v>
      </c>
      <c r="K595" s="198">
        <f t="shared" si="74"/>
        <v>0</v>
      </c>
      <c r="L595" s="198">
        <f>COUNTIF(J595:K595,"&lt;&gt;0")*-'Trading Model'!$E$15</f>
        <v>0</v>
      </c>
      <c r="M595" s="198">
        <f t="shared" si="72"/>
        <v>0</v>
      </c>
      <c r="N595" s="75">
        <f t="shared" si="75"/>
        <v>33</v>
      </c>
      <c r="O595" s="202">
        <f t="shared" si="76"/>
        <v>0</v>
      </c>
      <c r="P595" s="199">
        <f t="shared" si="73"/>
        <v>0</v>
      </c>
      <c r="Q595" s="203">
        <f t="shared" si="77"/>
        <v>71.700000000001609</v>
      </c>
      <c r="R595" s="203" t="s">
        <v>55</v>
      </c>
      <c r="S595" s="201">
        <f t="shared" si="78"/>
        <v>2.8876950327435758E-2</v>
      </c>
    </row>
    <row r="596" spans="1:19">
      <c r="A596" s="196">
        <v>40829</v>
      </c>
      <c r="B596" s="122">
        <v>19.079999999999998</v>
      </c>
      <c r="C596" s="122">
        <v>19.600000000000001</v>
      </c>
      <c r="D596" s="122">
        <v>18.91</v>
      </c>
      <c r="E596" s="122">
        <v>19.52</v>
      </c>
      <c r="F596" s="122">
        <v>13.732403</v>
      </c>
      <c r="G596" s="197">
        <v>182900</v>
      </c>
      <c r="H596" s="198">
        <f>IF(AND(E595&gt;=H595,E596&gt;=E595),E595*(1+'Trading Model'!$E$13),IF(AND(E596&lt;E595,E595&gt;=H595),E596*(1+'Trading Model'!$E$13),H595))</f>
        <v>27.698998950000004</v>
      </c>
      <c r="I596" s="198">
        <f>IF(K596&gt;0,E596*(1-'Trading Model'!E606),IF(E596&lt;I595,I595*(1-'Trading Model'!$E$14),I595))</f>
        <v>16.625978798285779</v>
      </c>
      <c r="J596" s="198">
        <f t="shared" si="79"/>
        <v>0</v>
      </c>
      <c r="K596" s="198">
        <f t="shared" si="74"/>
        <v>0</v>
      </c>
      <c r="L596" s="198">
        <f>COUNTIF(J596:K596,"&lt;&gt;0")*-'Trading Model'!$E$15</f>
        <v>0</v>
      </c>
      <c r="M596" s="198">
        <f t="shared" si="72"/>
        <v>0</v>
      </c>
      <c r="N596" s="75">
        <f t="shared" si="75"/>
        <v>33</v>
      </c>
      <c r="O596" s="202">
        <f t="shared" si="76"/>
        <v>0</v>
      </c>
      <c r="P596" s="199">
        <f t="shared" si="73"/>
        <v>0</v>
      </c>
      <c r="Q596" s="203">
        <f t="shared" si="77"/>
        <v>71.700000000001609</v>
      </c>
      <c r="R596" s="203" t="s">
        <v>55</v>
      </c>
      <c r="S596" s="201">
        <f t="shared" si="78"/>
        <v>1.4553014553014609E-2</v>
      </c>
    </row>
    <row r="597" spans="1:19">
      <c r="A597" s="196">
        <v>40830</v>
      </c>
      <c r="B597" s="122">
        <v>19.780000999999999</v>
      </c>
      <c r="C597" s="122">
        <v>20.110001</v>
      </c>
      <c r="D597" s="122">
        <v>19.639999</v>
      </c>
      <c r="E597" s="122">
        <v>20.040001</v>
      </c>
      <c r="F597" s="122">
        <v>14.098227</v>
      </c>
      <c r="G597" s="197">
        <v>184200</v>
      </c>
      <c r="H597" s="198">
        <f>IF(AND(E596&gt;=H596,E597&gt;=E596),E596*(1+'Trading Model'!$E$13),IF(AND(E597&lt;E596,E596&gt;=H596),E597*(1+'Trading Model'!$E$13),H596))</f>
        <v>27.698998950000004</v>
      </c>
      <c r="I597" s="198">
        <f>IF(K597&gt;0,E597*(1-'Trading Model'!E607),IF(E597&lt;I596,I596*(1-'Trading Model'!$E$14),I596))</f>
        <v>16.625978798285779</v>
      </c>
      <c r="J597" s="198">
        <f t="shared" si="79"/>
        <v>0</v>
      </c>
      <c r="K597" s="198">
        <f t="shared" si="74"/>
        <v>0</v>
      </c>
      <c r="L597" s="198">
        <f>COUNTIF(J597:K597,"&lt;&gt;0")*-'Trading Model'!$E$15</f>
        <v>0</v>
      </c>
      <c r="M597" s="198">
        <f t="shared" si="72"/>
        <v>0</v>
      </c>
      <c r="N597" s="75">
        <f t="shared" si="75"/>
        <v>33</v>
      </c>
      <c r="O597" s="202">
        <f t="shared" si="76"/>
        <v>0</v>
      </c>
      <c r="P597" s="199">
        <f t="shared" si="73"/>
        <v>0</v>
      </c>
      <c r="Q597" s="203">
        <f t="shared" si="77"/>
        <v>71.700000000001609</v>
      </c>
      <c r="R597" s="201">
        <f>E597/B593-1</f>
        <v>9.5082081698474541E-2</v>
      </c>
      <c r="S597" s="201">
        <f t="shared" si="78"/>
        <v>2.6639395491803386E-2</v>
      </c>
    </row>
    <row r="598" spans="1:19">
      <c r="A598" s="196">
        <v>40833</v>
      </c>
      <c r="B598" s="122">
        <v>20.07</v>
      </c>
      <c r="C598" s="122">
        <v>20.399999999999999</v>
      </c>
      <c r="D598" s="122">
        <v>19.850000000000001</v>
      </c>
      <c r="E598" s="122">
        <v>20.23</v>
      </c>
      <c r="F598" s="122">
        <v>14.231890999999999</v>
      </c>
      <c r="G598" s="197">
        <v>302600</v>
      </c>
      <c r="H598" s="198">
        <f>IF(AND(E597&gt;=H597,E598&gt;=E597),E597*(1+'Trading Model'!$E$13),IF(AND(E598&lt;E597,E597&gt;=H597),E598*(1+'Trading Model'!$E$13),H597))</f>
        <v>27.698998950000004</v>
      </c>
      <c r="I598" s="198">
        <f>IF(K598&gt;0,E598*(1-'Trading Model'!E608),IF(E598&lt;I597,I597*(1-'Trading Model'!$E$14),I597))</f>
        <v>16.625978798285779</v>
      </c>
      <c r="J598" s="198">
        <f t="shared" si="79"/>
        <v>0</v>
      </c>
      <c r="K598" s="198">
        <f t="shared" si="74"/>
        <v>0</v>
      </c>
      <c r="L598" s="198">
        <f>COUNTIF(J598:K598,"&lt;&gt;0")*-'Trading Model'!$E$15</f>
        <v>0</v>
      </c>
      <c r="M598" s="198">
        <f t="shared" si="72"/>
        <v>0</v>
      </c>
      <c r="N598" s="75">
        <f t="shared" si="75"/>
        <v>33</v>
      </c>
      <c r="O598" s="202">
        <f t="shared" si="76"/>
        <v>0</v>
      </c>
      <c r="P598" s="199">
        <f t="shared" si="73"/>
        <v>0</v>
      </c>
      <c r="Q598" s="203">
        <f t="shared" si="77"/>
        <v>71.700000000001609</v>
      </c>
      <c r="R598" s="160" t="s">
        <v>55</v>
      </c>
      <c r="S598" s="201">
        <f t="shared" si="78"/>
        <v>9.4809875508490293E-3</v>
      </c>
    </row>
    <row r="599" spans="1:19">
      <c r="A599" s="196">
        <v>40834</v>
      </c>
      <c r="B599" s="122">
        <v>20.239999999999998</v>
      </c>
      <c r="C599" s="122">
        <v>20.290001</v>
      </c>
      <c r="D599" s="122">
        <v>19.850000000000001</v>
      </c>
      <c r="E599" s="122">
        <v>20.100000000000001</v>
      </c>
      <c r="F599" s="122">
        <v>14.140439000000001</v>
      </c>
      <c r="G599" s="197">
        <v>207700</v>
      </c>
      <c r="H599" s="198">
        <f>IF(AND(E598&gt;=H598,E599&gt;=E598),E598*(1+'Trading Model'!$E$13),IF(AND(E599&lt;E598,E598&gt;=H598),E599*(1+'Trading Model'!$E$13),H598))</f>
        <v>27.698998950000004</v>
      </c>
      <c r="I599" s="198">
        <f>IF(K599&gt;0,E599*(1-'Trading Model'!E609),IF(E599&lt;I598,I598*(1-'Trading Model'!$E$14),I598))</f>
        <v>16.625978798285779</v>
      </c>
      <c r="J599" s="198">
        <f t="shared" si="79"/>
        <v>0</v>
      </c>
      <c r="K599" s="198">
        <f t="shared" si="74"/>
        <v>0</v>
      </c>
      <c r="L599" s="198">
        <f>COUNTIF(J599:K599,"&lt;&gt;0")*-'Trading Model'!$E$15</f>
        <v>0</v>
      </c>
      <c r="M599" s="198">
        <f t="shared" si="72"/>
        <v>0</v>
      </c>
      <c r="N599" s="75">
        <f t="shared" si="75"/>
        <v>33</v>
      </c>
      <c r="O599" s="202">
        <f t="shared" si="76"/>
        <v>0</v>
      </c>
      <c r="P599" s="199">
        <f t="shared" si="73"/>
        <v>0</v>
      </c>
      <c r="Q599" s="203">
        <f t="shared" si="77"/>
        <v>71.600000000001614</v>
      </c>
      <c r="R599" s="203" t="s">
        <v>55</v>
      </c>
      <c r="S599" s="201">
        <f t="shared" si="78"/>
        <v>-6.4260998517053913E-3</v>
      </c>
    </row>
    <row r="600" spans="1:19">
      <c r="A600" s="196">
        <v>40835</v>
      </c>
      <c r="B600" s="122">
        <v>20.059999000000001</v>
      </c>
      <c r="C600" s="122">
        <v>20.139999</v>
      </c>
      <c r="D600" s="122">
        <v>19.709999</v>
      </c>
      <c r="E600" s="122">
        <v>19.77</v>
      </c>
      <c r="F600" s="122">
        <v>13.908281000000001</v>
      </c>
      <c r="G600" s="197">
        <v>151200</v>
      </c>
      <c r="H600" s="198">
        <f>IF(AND(E599&gt;=H599,E600&gt;=E599),E599*(1+'Trading Model'!$E$13),IF(AND(E600&lt;E599,E599&gt;=H599),E600*(1+'Trading Model'!$E$13),H599))</f>
        <v>27.698998950000004</v>
      </c>
      <c r="I600" s="198">
        <f>IF(K600&gt;0,E600*(1-'Trading Model'!E610),IF(E600&lt;I599,I599*(1-'Trading Model'!$E$14),I599))</f>
        <v>16.625978798285779</v>
      </c>
      <c r="J600" s="198">
        <f t="shared" si="79"/>
        <v>0</v>
      </c>
      <c r="K600" s="198">
        <f t="shared" si="74"/>
        <v>0</v>
      </c>
      <c r="L600" s="198">
        <f>COUNTIF(J600:K600,"&lt;&gt;0")*-'Trading Model'!$E$15</f>
        <v>0</v>
      </c>
      <c r="M600" s="198">
        <f t="shared" si="72"/>
        <v>0</v>
      </c>
      <c r="N600" s="75">
        <f t="shared" si="75"/>
        <v>33</v>
      </c>
      <c r="O600" s="202">
        <f t="shared" si="76"/>
        <v>0</v>
      </c>
      <c r="P600" s="199">
        <f t="shared" si="73"/>
        <v>0</v>
      </c>
      <c r="Q600" s="203">
        <f t="shared" si="77"/>
        <v>71.50000000000162</v>
      </c>
      <c r="R600" s="203" t="s">
        <v>55</v>
      </c>
      <c r="S600" s="201">
        <f t="shared" si="78"/>
        <v>-1.6417910447761308E-2</v>
      </c>
    </row>
    <row r="601" spans="1:19">
      <c r="A601" s="196">
        <v>40836</v>
      </c>
      <c r="B601" s="122">
        <v>19.75</v>
      </c>
      <c r="C601" s="122">
        <v>19.809999000000001</v>
      </c>
      <c r="D601" s="122">
        <v>19.200001</v>
      </c>
      <c r="E601" s="122">
        <v>19.260000000000002</v>
      </c>
      <c r="F601" s="122">
        <v>13.549493</v>
      </c>
      <c r="G601" s="197">
        <v>134100</v>
      </c>
      <c r="H601" s="198">
        <f>IF(AND(E600&gt;=H600,E601&gt;=E600),E600*(1+'Trading Model'!$E$13),IF(AND(E601&lt;E600,E600&gt;=H600),E601*(1+'Trading Model'!$E$13),H600))</f>
        <v>27.698998950000004</v>
      </c>
      <c r="I601" s="198">
        <f>IF(K601&gt;0,E601*(1-'Trading Model'!E611),IF(E601&lt;I600,I600*(1-'Trading Model'!$E$14),I600))</f>
        <v>16.625978798285779</v>
      </c>
      <c r="J601" s="198">
        <f t="shared" si="79"/>
        <v>0</v>
      </c>
      <c r="K601" s="198">
        <f t="shared" si="74"/>
        <v>0</v>
      </c>
      <c r="L601" s="198">
        <f>COUNTIF(J601:K601,"&lt;&gt;0")*-'Trading Model'!$E$15</f>
        <v>0</v>
      </c>
      <c r="M601" s="198">
        <f t="shared" si="72"/>
        <v>0</v>
      </c>
      <c r="N601" s="75">
        <f t="shared" si="75"/>
        <v>33</v>
      </c>
      <c r="O601" s="202">
        <f t="shared" si="76"/>
        <v>0</v>
      </c>
      <c r="P601" s="199">
        <f t="shared" si="73"/>
        <v>0</v>
      </c>
      <c r="Q601" s="203">
        <f t="shared" si="77"/>
        <v>71.400000000001626</v>
      </c>
      <c r="R601" s="203" t="s">
        <v>55</v>
      </c>
      <c r="S601" s="201">
        <f t="shared" si="78"/>
        <v>-2.5796661608497584E-2</v>
      </c>
    </row>
    <row r="602" spans="1:19">
      <c r="A602" s="196">
        <v>40837</v>
      </c>
      <c r="B602" s="122">
        <v>19.57</v>
      </c>
      <c r="C602" s="122">
        <v>20.34</v>
      </c>
      <c r="D602" s="122">
        <v>19.57</v>
      </c>
      <c r="E602" s="122">
        <v>20.129999000000002</v>
      </c>
      <c r="F602" s="122">
        <v>14.161542000000001</v>
      </c>
      <c r="G602" s="197">
        <v>323200</v>
      </c>
      <c r="H602" s="198">
        <f>IF(AND(E601&gt;=H601,E602&gt;=E601),E601*(1+'Trading Model'!$E$13),IF(AND(E602&lt;E601,E601&gt;=H601),E602*(1+'Trading Model'!$E$13),H601))</f>
        <v>27.698998950000004</v>
      </c>
      <c r="I602" s="198">
        <f>IF(K602&gt;0,E602*(1-'Trading Model'!E612),IF(E602&lt;I601,I601*(1-'Trading Model'!$E$14),I601))</f>
        <v>16.625978798285779</v>
      </c>
      <c r="J602" s="198">
        <f t="shared" si="79"/>
        <v>0</v>
      </c>
      <c r="K602" s="198">
        <f t="shared" si="74"/>
        <v>0</v>
      </c>
      <c r="L602" s="198">
        <f>COUNTIF(J602:K602,"&lt;&gt;0")*-'Trading Model'!$E$15</f>
        <v>0</v>
      </c>
      <c r="M602" s="198">
        <f t="shared" si="72"/>
        <v>0</v>
      </c>
      <c r="N602" s="75">
        <f t="shared" si="75"/>
        <v>33</v>
      </c>
      <c r="O602" s="202">
        <f t="shared" si="76"/>
        <v>0</v>
      </c>
      <c r="P602" s="199">
        <f t="shared" si="73"/>
        <v>0</v>
      </c>
      <c r="Q602" s="203">
        <f t="shared" si="77"/>
        <v>71.400000000001626</v>
      </c>
      <c r="R602" s="201">
        <f>E602/B598-1</f>
        <v>2.9894867962132476E-3</v>
      </c>
      <c r="S602" s="201">
        <f t="shared" si="78"/>
        <v>4.5171287642782998E-2</v>
      </c>
    </row>
    <row r="603" spans="1:19">
      <c r="A603" s="196">
        <v>40840</v>
      </c>
      <c r="B603" s="122">
        <v>20.149999999999999</v>
      </c>
      <c r="C603" s="122">
        <v>20.780000999999999</v>
      </c>
      <c r="D603" s="122">
        <v>20</v>
      </c>
      <c r="E603" s="122">
        <v>20.51</v>
      </c>
      <c r="F603" s="122">
        <v>14.428874</v>
      </c>
      <c r="G603" s="197">
        <v>251700</v>
      </c>
      <c r="H603" s="198">
        <f>IF(AND(E602&gt;=H602,E603&gt;=E602),E602*(1+'Trading Model'!$E$13),IF(AND(E603&lt;E602,E602&gt;=H602),E603*(1+'Trading Model'!$E$13),H602))</f>
        <v>27.698998950000004</v>
      </c>
      <c r="I603" s="198">
        <f>IF(K603&gt;0,E603*(1-'Trading Model'!E613),IF(E603&lt;I602,I602*(1-'Trading Model'!$E$14),I602))</f>
        <v>16.625978798285779</v>
      </c>
      <c r="J603" s="198">
        <f t="shared" si="79"/>
        <v>0</v>
      </c>
      <c r="K603" s="198">
        <f t="shared" si="74"/>
        <v>0</v>
      </c>
      <c r="L603" s="198">
        <f>COUNTIF(J603:K603,"&lt;&gt;0")*-'Trading Model'!$E$15</f>
        <v>0</v>
      </c>
      <c r="M603" s="198">
        <f t="shared" si="72"/>
        <v>0</v>
      </c>
      <c r="N603" s="75">
        <f t="shared" si="75"/>
        <v>33</v>
      </c>
      <c r="O603" s="202">
        <f t="shared" si="76"/>
        <v>0</v>
      </c>
      <c r="P603" s="199">
        <f t="shared" si="73"/>
        <v>0</v>
      </c>
      <c r="Q603" s="203">
        <f t="shared" si="77"/>
        <v>71.400000000001626</v>
      </c>
      <c r="R603" s="160" t="s">
        <v>55</v>
      </c>
      <c r="S603" s="201">
        <f t="shared" si="78"/>
        <v>1.8877348180692977E-2</v>
      </c>
    </row>
    <row r="604" spans="1:19">
      <c r="A604" s="196">
        <v>40841</v>
      </c>
      <c r="B604" s="122">
        <v>20.549999</v>
      </c>
      <c r="C604" s="122">
        <v>20.6</v>
      </c>
      <c r="D604" s="122">
        <v>20.079999999999998</v>
      </c>
      <c r="E604" s="122">
        <v>20.219999000000001</v>
      </c>
      <c r="F604" s="122">
        <v>14.224856000000001</v>
      </c>
      <c r="G604" s="197">
        <v>236600</v>
      </c>
      <c r="H604" s="198">
        <f>IF(AND(E603&gt;=H603,E604&gt;=E603),E603*(1+'Trading Model'!$E$13),IF(AND(E604&lt;E603,E603&gt;=H603),E604*(1+'Trading Model'!$E$13),H603))</f>
        <v>27.698998950000004</v>
      </c>
      <c r="I604" s="198">
        <f>IF(K604&gt;0,E604*(1-'Trading Model'!E614),IF(E604&lt;I603,I603*(1-'Trading Model'!$E$14),I603))</f>
        <v>16.625978798285779</v>
      </c>
      <c r="J604" s="198">
        <f t="shared" si="79"/>
        <v>0</v>
      </c>
      <c r="K604" s="198">
        <f t="shared" si="74"/>
        <v>0</v>
      </c>
      <c r="L604" s="198">
        <f>COUNTIF(J604:K604,"&lt;&gt;0")*-'Trading Model'!$E$15</f>
        <v>0</v>
      </c>
      <c r="M604" s="198">
        <f t="shared" si="72"/>
        <v>0</v>
      </c>
      <c r="N604" s="75">
        <f t="shared" si="75"/>
        <v>33</v>
      </c>
      <c r="O604" s="202">
        <f t="shared" si="76"/>
        <v>0</v>
      </c>
      <c r="P604" s="199">
        <f t="shared" si="73"/>
        <v>0</v>
      </c>
      <c r="Q604" s="203">
        <f t="shared" si="77"/>
        <v>71.300000000001631</v>
      </c>
      <c r="R604" s="203" t="s">
        <v>55</v>
      </c>
      <c r="S604" s="201">
        <f t="shared" si="78"/>
        <v>-1.4139492930277942E-2</v>
      </c>
    </row>
    <row r="605" spans="1:19">
      <c r="A605" s="196">
        <v>40842</v>
      </c>
      <c r="B605" s="122">
        <v>21.34</v>
      </c>
      <c r="C605" s="122">
        <v>22.049999</v>
      </c>
      <c r="D605" s="122">
        <v>20.420000000000002</v>
      </c>
      <c r="E605" s="122">
        <v>20.780000999999999</v>
      </c>
      <c r="F605" s="122">
        <v>14.618817999999999</v>
      </c>
      <c r="G605" s="197">
        <v>330000</v>
      </c>
      <c r="H605" s="198">
        <f>IF(AND(E604&gt;=H604,E605&gt;=E604),E604*(1+'Trading Model'!$E$13),IF(AND(E605&lt;E604,E604&gt;=H604),E605*(1+'Trading Model'!$E$13),H604))</f>
        <v>27.698998950000004</v>
      </c>
      <c r="I605" s="198">
        <f>IF(K605&gt;0,E605*(1-'Trading Model'!E615),IF(E605&lt;I604,I604*(1-'Trading Model'!$E$14),I604))</f>
        <v>16.625978798285779</v>
      </c>
      <c r="J605" s="198">
        <f t="shared" si="79"/>
        <v>0</v>
      </c>
      <c r="K605" s="198">
        <f t="shared" si="74"/>
        <v>0</v>
      </c>
      <c r="L605" s="198">
        <f>COUNTIF(J605:K605,"&lt;&gt;0")*-'Trading Model'!$E$15</f>
        <v>0</v>
      </c>
      <c r="M605" s="198">
        <f t="shared" si="72"/>
        <v>0</v>
      </c>
      <c r="N605" s="75">
        <f t="shared" si="75"/>
        <v>33</v>
      </c>
      <c r="O605" s="202">
        <f t="shared" si="76"/>
        <v>0</v>
      </c>
      <c r="P605" s="199">
        <f t="shared" si="73"/>
        <v>0</v>
      </c>
      <c r="Q605" s="203">
        <f t="shared" si="77"/>
        <v>71.300000000001631</v>
      </c>
      <c r="R605" s="203" t="s">
        <v>55</v>
      </c>
      <c r="S605" s="201">
        <f t="shared" si="78"/>
        <v>2.7695451419161632E-2</v>
      </c>
    </row>
    <row r="606" spans="1:19">
      <c r="A606" s="196">
        <v>40843</v>
      </c>
      <c r="B606" s="122">
        <v>22.110001</v>
      </c>
      <c r="C606" s="122">
        <v>22.17</v>
      </c>
      <c r="D606" s="122">
        <v>21.08</v>
      </c>
      <c r="E606" s="122">
        <v>21.23</v>
      </c>
      <c r="F606" s="122">
        <v>14.935395</v>
      </c>
      <c r="G606" s="197">
        <v>411700</v>
      </c>
      <c r="H606" s="198">
        <f>IF(AND(E605&gt;=H605,E606&gt;=E605),E605*(1+'Trading Model'!$E$13),IF(AND(E606&lt;E605,E605&gt;=H605),E606*(1+'Trading Model'!$E$13),H605))</f>
        <v>27.698998950000004</v>
      </c>
      <c r="I606" s="198">
        <f>IF(K606&gt;0,E606*(1-'Trading Model'!E616),IF(E606&lt;I605,I605*(1-'Trading Model'!$E$14),I605))</f>
        <v>16.625978798285779</v>
      </c>
      <c r="J606" s="198">
        <f t="shared" si="79"/>
        <v>0</v>
      </c>
      <c r="K606" s="198">
        <f t="shared" si="74"/>
        <v>0</v>
      </c>
      <c r="L606" s="198">
        <f>COUNTIF(J606:K606,"&lt;&gt;0")*-'Trading Model'!$E$15</f>
        <v>0</v>
      </c>
      <c r="M606" s="198">
        <f t="shared" si="72"/>
        <v>0</v>
      </c>
      <c r="N606" s="75">
        <f t="shared" si="75"/>
        <v>33</v>
      </c>
      <c r="O606" s="202">
        <f t="shared" si="76"/>
        <v>0</v>
      </c>
      <c r="P606" s="199">
        <f t="shared" si="73"/>
        <v>0</v>
      </c>
      <c r="Q606" s="203">
        <f t="shared" si="77"/>
        <v>71.300000000001631</v>
      </c>
      <c r="R606" s="203" t="s">
        <v>55</v>
      </c>
      <c r="S606" s="201">
        <f t="shared" si="78"/>
        <v>2.1655388755756233E-2</v>
      </c>
    </row>
    <row r="607" spans="1:19">
      <c r="A607" s="196">
        <v>40844</v>
      </c>
      <c r="B607" s="122">
        <v>21.57</v>
      </c>
      <c r="C607" s="122">
        <v>21.57</v>
      </c>
      <c r="D607" s="122">
        <v>20.9</v>
      </c>
      <c r="E607" s="122">
        <v>21.17</v>
      </c>
      <c r="F607" s="122">
        <v>14.893186</v>
      </c>
      <c r="G607" s="197">
        <v>247800</v>
      </c>
      <c r="H607" s="198">
        <f>IF(AND(E606&gt;=H606,E607&gt;=E606),E606*(1+'Trading Model'!$E$13),IF(AND(E607&lt;E606,E606&gt;=H606),E607*(1+'Trading Model'!$E$13),H606))</f>
        <v>27.698998950000004</v>
      </c>
      <c r="I607" s="198">
        <f>IF(K607&gt;0,E607*(1-'Trading Model'!E617),IF(E607&lt;I606,I606*(1-'Trading Model'!$E$14),I606))</f>
        <v>16.625978798285779</v>
      </c>
      <c r="J607" s="198">
        <f t="shared" si="79"/>
        <v>0</v>
      </c>
      <c r="K607" s="198">
        <f t="shared" si="74"/>
        <v>0</v>
      </c>
      <c r="L607" s="198">
        <f>COUNTIF(J607:K607,"&lt;&gt;0")*-'Trading Model'!$E$15</f>
        <v>0</v>
      </c>
      <c r="M607" s="198">
        <f t="shared" si="72"/>
        <v>0</v>
      </c>
      <c r="N607" s="75">
        <f t="shared" si="75"/>
        <v>33</v>
      </c>
      <c r="O607" s="202">
        <f t="shared" si="76"/>
        <v>0</v>
      </c>
      <c r="P607" s="199">
        <f t="shared" si="73"/>
        <v>0</v>
      </c>
      <c r="Q607" s="203">
        <f t="shared" si="77"/>
        <v>71.200000000001637</v>
      </c>
      <c r="R607" s="201">
        <f>E607/B603-1</f>
        <v>5.0620347394541021E-2</v>
      </c>
      <c r="S607" s="201">
        <f t="shared" si="78"/>
        <v>-2.8261893546867034E-3</v>
      </c>
    </row>
    <row r="608" spans="1:19">
      <c r="A608" s="196">
        <v>40847</v>
      </c>
      <c r="B608" s="122">
        <v>21.110001</v>
      </c>
      <c r="C608" s="122">
        <v>21.26</v>
      </c>
      <c r="D608" s="122">
        <v>19.969999000000001</v>
      </c>
      <c r="E608" s="122">
        <v>20.079999999999998</v>
      </c>
      <c r="F608" s="122">
        <v>14.126365</v>
      </c>
      <c r="G608" s="197">
        <v>422300</v>
      </c>
      <c r="H608" s="198">
        <f>IF(AND(E607&gt;=H607,E608&gt;=E607),E607*(1+'Trading Model'!$E$13),IF(AND(E608&lt;E607,E607&gt;=H607),E608*(1+'Trading Model'!$E$13),H607))</f>
        <v>27.698998950000004</v>
      </c>
      <c r="I608" s="198">
        <f>IF(K608&gt;0,E608*(1-'Trading Model'!E618),IF(E608&lt;I607,I607*(1-'Trading Model'!$E$14),I607))</f>
        <v>16.625978798285779</v>
      </c>
      <c r="J608" s="198">
        <f t="shared" si="79"/>
        <v>0</v>
      </c>
      <c r="K608" s="198">
        <f t="shared" si="74"/>
        <v>0</v>
      </c>
      <c r="L608" s="198">
        <f>COUNTIF(J608:K608,"&lt;&gt;0")*-'Trading Model'!$E$15</f>
        <v>0</v>
      </c>
      <c r="M608" s="198">
        <f t="shared" si="72"/>
        <v>0</v>
      </c>
      <c r="N608" s="75">
        <f t="shared" si="75"/>
        <v>33</v>
      </c>
      <c r="O608" s="202">
        <f t="shared" si="76"/>
        <v>0</v>
      </c>
      <c r="P608" s="199">
        <f t="shared" si="73"/>
        <v>0</v>
      </c>
      <c r="Q608" s="203">
        <f t="shared" si="77"/>
        <v>71.100000000001643</v>
      </c>
      <c r="R608" s="160" t="s">
        <v>55</v>
      </c>
      <c r="S608" s="201">
        <f t="shared" si="78"/>
        <v>-5.1487954652810752E-2</v>
      </c>
    </row>
    <row r="609" spans="1:19">
      <c r="A609" s="196">
        <v>40848</v>
      </c>
      <c r="B609" s="122">
        <v>19.889999</v>
      </c>
      <c r="C609" s="122">
        <v>19.889999</v>
      </c>
      <c r="D609" s="122">
        <v>19.149999999999999</v>
      </c>
      <c r="E609" s="122">
        <v>19.620000999999998</v>
      </c>
      <c r="F609" s="122">
        <v>13.802754</v>
      </c>
      <c r="G609" s="197">
        <v>526300</v>
      </c>
      <c r="H609" s="198">
        <f>IF(AND(E608&gt;=H608,E609&gt;=E608),E608*(1+'Trading Model'!$E$13),IF(AND(E609&lt;E608,E608&gt;=H608),E609*(1+'Trading Model'!$E$13),H608))</f>
        <v>27.698998950000004</v>
      </c>
      <c r="I609" s="198">
        <f>IF(K609&gt;0,E609*(1-'Trading Model'!E619),IF(E609&lt;I608,I608*(1-'Trading Model'!$E$14),I608))</f>
        <v>16.625978798285779</v>
      </c>
      <c r="J609" s="198">
        <f t="shared" si="79"/>
        <v>0</v>
      </c>
      <c r="K609" s="198">
        <f t="shared" si="74"/>
        <v>0</v>
      </c>
      <c r="L609" s="198">
        <f>COUNTIF(J609:K609,"&lt;&gt;0")*-'Trading Model'!$E$15</f>
        <v>0</v>
      </c>
      <c r="M609" s="198">
        <f t="shared" si="72"/>
        <v>0</v>
      </c>
      <c r="N609" s="75">
        <f t="shared" si="75"/>
        <v>33</v>
      </c>
      <c r="O609" s="202">
        <f t="shared" si="76"/>
        <v>0</v>
      </c>
      <c r="P609" s="199">
        <f t="shared" si="73"/>
        <v>0</v>
      </c>
      <c r="Q609" s="203">
        <f t="shared" si="77"/>
        <v>71.000000000001648</v>
      </c>
      <c r="R609" s="203" t="s">
        <v>55</v>
      </c>
      <c r="S609" s="201">
        <f t="shared" si="78"/>
        <v>-2.2908316733067702E-2</v>
      </c>
    </row>
    <row r="610" spans="1:19">
      <c r="A610" s="196">
        <v>40849</v>
      </c>
      <c r="B610" s="122">
        <v>20.049999</v>
      </c>
      <c r="C610" s="122">
        <v>20.379999000000002</v>
      </c>
      <c r="D610" s="122">
        <v>19.75</v>
      </c>
      <c r="E610" s="122">
        <v>20.139999</v>
      </c>
      <c r="F610" s="122">
        <v>14.168575000000001</v>
      </c>
      <c r="G610" s="197">
        <v>176600</v>
      </c>
      <c r="H610" s="198">
        <f>IF(AND(E609&gt;=H609,E610&gt;=E609),E609*(1+'Trading Model'!$E$13),IF(AND(E610&lt;E609,E609&gt;=H609),E610*(1+'Trading Model'!$E$13),H609))</f>
        <v>27.698998950000004</v>
      </c>
      <c r="I610" s="198">
        <f>IF(K610&gt;0,E610*(1-'Trading Model'!E620),IF(E610&lt;I609,I609*(1-'Trading Model'!$E$14),I609))</f>
        <v>16.625978798285779</v>
      </c>
      <c r="J610" s="198">
        <f t="shared" si="79"/>
        <v>0</v>
      </c>
      <c r="K610" s="198">
        <f t="shared" si="74"/>
        <v>0</v>
      </c>
      <c r="L610" s="198">
        <f>COUNTIF(J610:K610,"&lt;&gt;0")*-'Trading Model'!$E$15</f>
        <v>0</v>
      </c>
      <c r="M610" s="198">
        <f t="shared" si="72"/>
        <v>0</v>
      </c>
      <c r="N610" s="75">
        <f t="shared" si="75"/>
        <v>33</v>
      </c>
      <c r="O610" s="202">
        <f t="shared" si="76"/>
        <v>0</v>
      </c>
      <c r="P610" s="199">
        <f t="shared" si="73"/>
        <v>0</v>
      </c>
      <c r="Q610" s="203">
        <f t="shared" si="77"/>
        <v>71.000000000001648</v>
      </c>
      <c r="R610" s="203" t="s">
        <v>55</v>
      </c>
      <c r="S610" s="201">
        <f t="shared" si="78"/>
        <v>2.6503464500333251E-2</v>
      </c>
    </row>
    <row r="611" spans="1:19">
      <c r="A611" s="196">
        <v>40850</v>
      </c>
      <c r="B611" s="122">
        <v>20.260000000000002</v>
      </c>
      <c r="C611" s="122">
        <v>20.559999000000001</v>
      </c>
      <c r="D611" s="122">
        <v>19.959999</v>
      </c>
      <c r="E611" s="122">
        <v>20.09</v>
      </c>
      <c r="F611" s="122">
        <v>14.133400999999999</v>
      </c>
      <c r="G611" s="197">
        <v>281400</v>
      </c>
      <c r="H611" s="198">
        <f>IF(AND(E610&gt;=H610,E611&gt;=E610),E610*(1+'Trading Model'!$E$13),IF(AND(E611&lt;E610,E610&gt;=H610),E611*(1+'Trading Model'!$E$13),H610))</f>
        <v>27.698998950000004</v>
      </c>
      <c r="I611" s="198">
        <f>IF(K611&gt;0,E611*(1-'Trading Model'!E621),IF(E611&lt;I610,I610*(1-'Trading Model'!$E$14),I610))</f>
        <v>16.625978798285779</v>
      </c>
      <c r="J611" s="198">
        <f t="shared" si="79"/>
        <v>0</v>
      </c>
      <c r="K611" s="198">
        <f t="shared" si="74"/>
        <v>0</v>
      </c>
      <c r="L611" s="198">
        <f>COUNTIF(J611:K611,"&lt;&gt;0")*-'Trading Model'!$E$15</f>
        <v>0</v>
      </c>
      <c r="M611" s="198">
        <f t="shared" si="72"/>
        <v>0</v>
      </c>
      <c r="N611" s="75">
        <f t="shared" si="75"/>
        <v>33</v>
      </c>
      <c r="O611" s="202">
        <f t="shared" si="76"/>
        <v>0</v>
      </c>
      <c r="P611" s="199">
        <f t="shared" si="73"/>
        <v>0</v>
      </c>
      <c r="Q611" s="203">
        <f t="shared" si="77"/>
        <v>70.900000000001654</v>
      </c>
      <c r="R611" s="203" t="s">
        <v>55</v>
      </c>
      <c r="S611" s="201">
        <f t="shared" si="78"/>
        <v>-2.4825721192934802E-3</v>
      </c>
    </row>
    <row r="612" spans="1:19">
      <c r="A612" s="196">
        <v>40851</v>
      </c>
      <c r="B612" s="122">
        <v>20</v>
      </c>
      <c r="C612" s="122">
        <v>20.379999000000002</v>
      </c>
      <c r="D612" s="122">
        <v>19.98</v>
      </c>
      <c r="E612" s="122">
        <v>20.329999999999998</v>
      </c>
      <c r="F612" s="122">
        <v>14.302243000000001</v>
      </c>
      <c r="G612" s="197">
        <v>184200</v>
      </c>
      <c r="H612" s="198">
        <f>IF(AND(E611&gt;=H611,E612&gt;=E611),E611*(1+'Trading Model'!$E$13),IF(AND(E612&lt;E611,E611&gt;=H611),E612*(1+'Trading Model'!$E$13),H611))</f>
        <v>27.698998950000004</v>
      </c>
      <c r="I612" s="198">
        <f>IF(K612&gt;0,E612*(1-'Trading Model'!E622),IF(E612&lt;I611,I611*(1-'Trading Model'!$E$14),I611))</f>
        <v>16.625978798285779</v>
      </c>
      <c r="J612" s="198">
        <f t="shared" si="79"/>
        <v>0</v>
      </c>
      <c r="K612" s="198">
        <f t="shared" si="74"/>
        <v>0</v>
      </c>
      <c r="L612" s="198">
        <f>COUNTIF(J612:K612,"&lt;&gt;0")*-'Trading Model'!$E$15</f>
        <v>0</v>
      </c>
      <c r="M612" s="198">
        <f t="shared" si="72"/>
        <v>0</v>
      </c>
      <c r="N612" s="75">
        <f t="shared" si="75"/>
        <v>33</v>
      </c>
      <c r="O612" s="202">
        <f t="shared" si="76"/>
        <v>0</v>
      </c>
      <c r="P612" s="199">
        <f t="shared" si="73"/>
        <v>0</v>
      </c>
      <c r="Q612" s="203">
        <f t="shared" si="77"/>
        <v>70.900000000001654</v>
      </c>
      <c r="R612" s="201">
        <f>E612/B608-1</f>
        <v>-3.6949358742332739E-2</v>
      </c>
      <c r="S612" s="201">
        <f t="shared" si="78"/>
        <v>1.1946241911398703E-2</v>
      </c>
    </row>
    <row r="613" spans="1:19">
      <c r="A613" s="196">
        <v>40854</v>
      </c>
      <c r="B613" s="122">
        <v>20.23</v>
      </c>
      <c r="C613" s="122">
        <v>20.559999000000001</v>
      </c>
      <c r="D613" s="122">
        <v>19.98</v>
      </c>
      <c r="E613" s="122">
        <v>20.290001</v>
      </c>
      <c r="F613" s="122">
        <v>14.274103999999999</v>
      </c>
      <c r="G613" s="197">
        <v>205500</v>
      </c>
      <c r="H613" s="198">
        <f>IF(AND(E612&gt;=H612,E613&gt;=E612),E612*(1+'Trading Model'!$E$13),IF(AND(E613&lt;E612,E612&gt;=H612),E613*(1+'Trading Model'!$E$13),H612))</f>
        <v>27.698998950000004</v>
      </c>
      <c r="I613" s="198">
        <f>IF(K613&gt;0,E613*(1-'Trading Model'!E623),IF(E613&lt;I612,I612*(1-'Trading Model'!$E$14),I612))</f>
        <v>16.625978798285779</v>
      </c>
      <c r="J613" s="198">
        <f t="shared" si="79"/>
        <v>0</v>
      </c>
      <c r="K613" s="198">
        <f t="shared" si="74"/>
        <v>0</v>
      </c>
      <c r="L613" s="198">
        <f>COUNTIF(J613:K613,"&lt;&gt;0")*-'Trading Model'!$E$15</f>
        <v>0</v>
      </c>
      <c r="M613" s="198">
        <f t="shared" si="72"/>
        <v>0</v>
      </c>
      <c r="N613" s="75">
        <f t="shared" si="75"/>
        <v>33</v>
      </c>
      <c r="O613" s="202">
        <f t="shared" si="76"/>
        <v>0</v>
      </c>
      <c r="P613" s="199">
        <f t="shared" si="73"/>
        <v>0</v>
      </c>
      <c r="Q613" s="203">
        <f t="shared" si="77"/>
        <v>70.80000000000166</v>
      </c>
      <c r="R613" s="160" t="s">
        <v>55</v>
      </c>
      <c r="S613" s="201">
        <f t="shared" si="78"/>
        <v>-1.9674864731922259E-3</v>
      </c>
    </row>
    <row r="614" spans="1:19">
      <c r="A614" s="196">
        <v>40855</v>
      </c>
      <c r="B614" s="122">
        <v>20.32</v>
      </c>
      <c r="C614" s="122">
        <v>20.32</v>
      </c>
      <c r="D614" s="122">
        <v>19.780000999999999</v>
      </c>
      <c r="E614" s="122">
        <v>20.059999000000001</v>
      </c>
      <c r="F614" s="122">
        <v>14.112294</v>
      </c>
      <c r="G614" s="197">
        <v>259400</v>
      </c>
      <c r="H614" s="198">
        <f>IF(AND(E613&gt;=H613,E614&gt;=E613),E613*(1+'Trading Model'!$E$13),IF(AND(E614&lt;E613,E613&gt;=H613),E614*(1+'Trading Model'!$E$13),H613))</f>
        <v>27.698998950000004</v>
      </c>
      <c r="I614" s="198">
        <f>IF(K614&gt;0,E614*(1-'Trading Model'!E624),IF(E614&lt;I613,I613*(1-'Trading Model'!$E$14),I613))</f>
        <v>16.625978798285779</v>
      </c>
      <c r="J614" s="198">
        <f t="shared" si="79"/>
        <v>0</v>
      </c>
      <c r="K614" s="198">
        <f t="shared" si="74"/>
        <v>0</v>
      </c>
      <c r="L614" s="198">
        <f>COUNTIF(J614:K614,"&lt;&gt;0")*-'Trading Model'!$E$15</f>
        <v>0</v>
      </c>
      <c r="M614" s="198">
        <f t="shared" si="72"/>
        <v>0</v>
      </c>
      <c r="N614" s="75">
        <f t="shared" si="75"/>
        <v>33</v>
      </c>
      <c r="O614" s="202">
        <f t="shared" si="76"/>
        <v>0</v>
      </c>
      <c r="P614" s="199">
        <f t="shared" si="73"/>
        <v>0</v>
      </c>
      <c r="Q614" s="203">
        <f t="shared" si="77"/>
        <v>70.700000000001666</v>
      </c>
      <c r="R614" s="203" t="s">
        <v>55</v>
      </c>
      <c r="S614" s="201">
        <f t="shared" si="78"/>
        <v>-1.1335731328943721E-2</v>
      </c>
    </row>
    <row r="615" spans="1:19">
      <c r="A615" s="196">
        <v>40856</v>
      </c>
      <c r="B615" s="122">
        <v>19.610001</v>
      </c>
      <c r="C615" s="122">
        <v>19.629999000000002</v>
      </c>
      <c r="D615" s="122">
        <v>19.25</v>
      </c>
      <c r="E615" s="122">
        <v>19.299999</v>
      </c>
      <c r="F615" s="122">
        <v>13.577631999999999</v>
      </c>
      <c r="G615" s="197">
        <v>376100</v>
      </c>
      <c r="H615" s="198">
        <f>IF(AND(E614&gt;=H614,E615&gt;=E614),E614*(1+'Trading Model'!$E$13),IF(AND(E615&lt;E614,E614&gt;=H614),E615*(1+'Trading Model'!$E$13),H614))</f>
        <v>27.698998950000004</v>
      </c>
      <c r="I615" s="198">
        <f>IF(K615&gt;0,E615*(1-'Trading Model'!E625),IF(E615&lt;I614,I614*(1-'Trading Model'!$E$14),I614))</f>
        <v>16.625978798285779</v>
      </c>
      <c r="J615" s="198">
        <f t="shared" si="79"/>
        <v>0</v>
      </c>
      <c r="K615" s="198">
        <f t="shared" si="74"/>
        <v>0</v>
      </c>
      <c r="L615" s="198">
        <f>COUNTIF(J615:K615,"&lt;&gt;0")*-'Trading Model'!$E$15</f>
        <v>0</v>
      </c>
      <c r="M615" s="198">
        <f t="shared" si="72"/>
        <v>0</v>
      </c>
      <c r="N615" s="75">
        <f t="shared" si="75"/>
        <v>33</v>
      </c>
      <c r="O615" s="202">
        <f t="shared" si="76"/>
        <v>0</v>
      </c>
      <c r="P615" s="199">
        <f t="shared" si="73"/>
        <v>0</v>
      </c>
      <c r="Q615" s="203">
        <f t="shared" si="77"/>
        <v>70.600000000001671</v>
      </c>
      <c r="R615" s="203" t="s">
        <v>55</v>
      </c>
      <c r="S615" s="201">
        <f t="shared" si="78"/>
        <v>-3.7886342865720013E-2</v>
      </c>
    </row>
    <row r="616" spans="1:19">
      <c r="A616" s="196">
        <v>40857</v>
      </c>
      <c r="B616" s="122">
        <v>19.549999</v>
      </c>
      <c r="C616" s="122">
        <v>19.57</v>
      </c>
      <c r="D616" s="122">
        <v>19.059999000000001</v>
      </c>
      <c r="E616" s="122">
        <v>19.25</v>
      </c>
      <c r="F616" s="122">
        <v>13.542458999999999</v>
      </c>
      <c r="G616" s="197">
        <v>400200</v>
      </c>
      <c r="H616" s="198">
        <f>IF(AND(E615&gt;=H615,E616&gt;=E615),E615*(1+'Trading Model'!$E$13),IF(AND(E616&lt;E615,E615&gt;=H615),E616*(1+'Trading Model'!$E$13),H615))</f>
        <v>27.698998950000004</v>
      </c>
      <c r="I616" s="198">
        <f>IF(K616&gt;0,E616*(1-'Trading Model'!E626),IF(E616&lt;I615,I615*(1-'Trading Model'!$E$14),I615))</f>
        <v>16.625978798285779</v>
      </c>
      <c r="J616" s="198">
        <f t="shared" si="79"/>
        <v>0</v>
      </c>
      <c r="K616" s="198">
        <f t="shared" si="74"/>
        <v>0</v>
      </c>
      <c r="L616" s="198">
        <f>COUNTIF(J616:K616,"&lt;&gt;0")*-'Trading Model'!$E$15</f>
        <v>0</v>
      </c>
      <c r="M616" s="198">
        <f t="shared" si="72"/>
        <v>0</v>
      </c>
      <c r="N616" s="75">
        <f t="shared" si="75"/>
        <v>33</v>
      </c>
      <c r="O616" s="202">
        <f t="shared" si="76"/>
        <v>0</v>
      </c>
      <c r="P616" s="199">
        <f t="shared" si="73"/>
        <v>0</v>
      </c>
      <c r="Q616" s="203">
        <f t="shared" si="77"/>
        <v>70.500000000001677</v>
      </c>
      <c r="R616" s="203" t="s">
        <v>55</v>
      </c>
      <c r="S616" s="201">
        <f t="shared" si="78"/>
        <v>-2.5906218958871019E-3</v>
      </c>
    </row>
    <row r="617" spans="1:19">
      <c r="A617" s="196">
        <v>40858</v>
      </c>
      <c r="B617" s="122">
        <v>19.43</v>
      </c>
      <c r="C617" s="122">
        <v>19.959999</v>
      </c>
      <c r="D617" s="122">
        <v>19.309999000000001</v>
      </c>
      <c r="E617" s="122">
        <v>19.350000000000001</v>
      </c>
      <c r="F617" s="122">
        <v>13.612807</v>
      </c>
      <c r="G617" s="197">
        <v>436100</v>
      </c>
      <c r="H617" s="198">
        <f>IF(AND(E616&gt;=H616,E617&gt;=E616),E616*(1+'Trading Model'!$E$13),IF(AND(E617&lt;E616,E616&gt;=H616),E617*(1+'Trading Model'!$E$13),H616))</f>
        <v>27.698998950000004</v>
      </c>
      <c r="I617" s="198">
        <f>IF(K617&gt;0,E617*(1-'Trading Model'!E627),IF(E617&lt;I616,I616*(1-'Trading Model'!$E$14),I616))</f>
        <v>16.625978798285779</v>
      </c>
      <c r="J617" s="198">
        <f t="shared" si="79"/>
        <v>0</v>
      </c>
      <c r="K617" s="198">
        <f t="shared" si="74"/>
        <v>0</v>
      </c>
      <c r="L617" s="198">
        <f>COUNTIF(J617:K617,"&lt;&gt;0")*-'Trading Model'!$E$15</f>
        <v>0</v>
      </c>
      <c r="M617" s="198">
        <f t="shared" si="72"/>
        <v>0</v>
      </c>
      <c r="N617" s="75">
        <f t="shared" si="75"/>
        <v>33</v>
      </c>
      <c r="O617" s="202">
        <f t="shared" si="76"/>
        <v>0</v>
      </c>
      <c r="P617" s="199">
        <f t="shared" si="73"/>
        <v>0</v>
      </c>
      <c r="Q617" s="203">
        <f t="shared" si="77"/>
        <v>70.500000000001677</v>
      </c>
      <c r="R617" s="201">
        <f>E617/B613-1</f>
        <v>-4.3499752842313333E-2</v>
      </c>
      <c r="S617" s="201">
        <f t="shared" si="78"/>
        <v>5.1948051948051965E-3</v>
      </c>
    </row>
    <row r="618" spans="1:19">
      <c r="A618" s="196">
        <v>40861</v>
      </c>
      <c r="B618" s="122">
        <v>19.389999</v>
      </c>
      <c r="C618" s="122">
        <v>19.48</v>
      </c>
      <c r="D618" s="122">
        <v>19.149999999999999</v>
      </c>
      <c r="E618" s="122">
        <v>19.25</v>
      </c>
      <c r="F618" s="122">
        <v>13.542458999999999</v>
      </c>
      <c r="G618" s="197">
        <v>252500</v>
      </c>
      <c r="H618" s="198">
        <f>IF(AND(E617&gt;=H617,E618&gt;=E617),E617*(1+'Trading Model'!$E$13),IF(AND(E618&lt;E617,E617&gt;=H617),E618*(1+'Trading Model'!$E$13),H617))</f>
        <v>27.698998950000004</v>
      </c>
      <c r="I618" s="198">
        <f>IF(K618&gt;0,E618*(1-'Trading Model'!E628),IF(E618&lt;I617,I617*(1-'Trading Model'!$E$14),I617))</f>
        <v>16.625978798285779</v>
      </c>
      <c r="J618" s="198">
        <f t="shared" si="79"/>
        <v>0</v>
      </c>
      <c r="K618" s="198">
        <f t="shared" si="74"/>
        <v>0</v>
      </c>
      <c r="L618" s="198">
        <f>COUNTIF(J618:K618,"&lt;&gt;0")*-'Trading Model'!$E$15</f>
        <v>0</v>
      </c>
      <c r="M618" s="198">
        <f t="shared" si="72"/>
        <v>0</v>
      </c>
      <c r="N618" s="75">
        <f t="shared" si="75"/>
        <v>33</v>
      </c>
      <c r="O618" s="202">
        <f t="shared" si="76"/>
        <v>0</v>
      </c>
      <c r="P618" s="199">
        <f t="shared" si="73"/>
        <v>0</v>
      </c>
      <c r="Q618" s="203">
        <f t="shared" si="77"/>
        <v>70.400000000001683</v>
      </c>
      <c r="R618" s="160" t="s">
        <v>55</v>
      </c>
      <c r="S618" s="201">
        <f t="shared" si="78"/>
        <v>-5.1679586563307955E-3</v>
      </c>
    </row>
    <row r="619" spans="1:19">
      <c r="A619" s="196">
        <v>40862</v>
      </c>
      <c r="B619" s="122">
        <v>19.09</v>
      </c>
      <c r="C619" s="122">
        <v>19.360001</v>
      </c>
      <c r="D619" s="122">
        <v>19</v>
      </c>
      <c r="E619" s="122">
        <v>19.040001</v>
      </c>
      <c r="F619" s="122">
        <v>13.394721000000001</v>
      </c>
      <c r="G619" s="197">
        <v>231200</v>
      </c>
      <c r="H619" s="198">
        <f>IF(AND(E618&gt;=H618,E619&gt;=E618),E618*(1+'Trading Model'!$E$13),IF(AND(E619&lt;E618,E618&gt;=H618),E619*(1+'Trading Model'!$E$13),H618))</f>
        <v>27.698998950000004</v>
      </c>
      <c r="I619" s="198">
        <f>IF(K619&gt;0,E619*(1-'Trading Model'!E629),IF(E619&lt;I618,I618*(1-'Trading Model'!$E$14),I618))</f>
        <v>16.625978798285779</v>
      </c>
      <c r="J619" s="198">
        <f t="shared" si="79"/>
        <v>0</v>
      </c>
      <c r="K619" s="198">
        <f t="shared" si="74"/>
        <v>0</v>
      </c>
      <c r="L619" s="198">
        <f>COUNTIF(J619:K619,"&lt;&gt;0")*-'Trading Model'!$E$15</f>
        <v>0</v>
      </c>
      <c r="M619" s="198">
        <f t="shared" si="72"/>
        <v>0</v>
      </c>
      <c r="N619" s="75">
        <f t="shared" si="75"/>
        <v>33</v>
      </c>
      <c r="O619" s="202">
        <f t="shared" si="76"/>
        <v>0</v>
      </c>
      <c r="P619" s="199">
        <f t="shared" si="73"/>
        <v>0</v>
      </c>
      <c r="Q619" s="203">
        <f t="shared" si="77"/>
        <v>70.300000000001688</v>
      </c>
      <c r="R619" s="203" t="s">
        <v>55</v>
      </c>
      <c r="S619" s="201">
        <f t="shared" si="78"/>
        <v>-1.0909038961038897E-2</v>
      </c>
    </row>
    <row r="620" spans="1:19">
      <c r="A620" s="196">
        <v>40863</v>
      </c>
      <c r="B620" s="122">
        <v>18.920000000000002</v>
      </c>
      <c r="C620" s="122">
        <v>18.969999000000001</v>
      </c>
      <c r="D620" s="122">
        <v>18.600000000000001</v>
      </c>
      <c r="E620" s="122">
        <v>18.700001</v>
      </c>
      <c r="F620" s="122">
        <v>13.155531999999999</v>
      </c>
      <c r="G620" s="197">
        <v>198200</v>
      </c>
      <c r="H620" s="198">
        <f>IF(AND(E619&gt;=H619,E620&gt;=E619),E619*(1+'Trading Model'!$E$13),IF(AND(E620&lt;E619,E619&gt;=H619),E620*(1+'Trading Model'!$E$13),H619))</f>
        <v>27.698998950000004</v>
      </c>
      <c r="I620" s="198">
        <f>IF(K620&gt;0,E620*(1-'Trading Model'!E630),IF(E620&lt;I619,I619*(1-'Trading Model'!$E$14),I619))</f>
        <v>16.625978798285779</v>
      </c>
      <c r="J620" s="198">
        <f t="shared" si="79"/>
        <v>0</v>
      </c>
      <c r="K620" s="198">
        <f t="shared" si="74"/>
        <v>0</v>
      </c>
      <c r="L620" s="198">
        <f>COUNTIF(J620:K620,"&lt;&gt;0")*-'Trading Model'!$E$15</f>
        <v>0</v>
      </c>
      <c r="M620" s="198">
        <f t="shared" si="72"/>
        <v>0</v>
      </c>
      <c r="N620" s="75">
        <f t="shared" si="75"/>
        <v>33</v>
      </c>
      <c r="O620" s="202">
        <f t="shared" si="76"/>
        <v>0</v>
      </c>
      <c r="P620" s="199">
        <f t="shared" si="73"/>
        <v>0</v>
      </c>
      <c r="Q620" s="203">
        <f t="shared" si="77"/>
        <v>70.200000000001694</v>
      </c>
      <c r="R620" s="203" t="s">
        <v>55</v>
      </c>
      <c r="S620" s="201">
        <f t="shared" si="78"/>
        <v>-1.7857141919267794E-2</v>
      </c>
    </row>
    <row r="621" spans="1:19">
      <c r="A621" s="196">
        <v>40864</v>
      </c>
      <c r="B621" s="122">
        <v>18.709999</v>
      </c>
      <c r="C621" s="122">
        <v>18.790001</v>
      </c>
      <c r="D621" s="122">
        <v>18.120000999999998</v>
      </c>
      <c r="E621" s="122">
        <v>18.219999000000001</v>
      </c>
      <c r="F621" s="122">
        <v>12.817848</v>
      </c>
      <c r="G621" s="197">
        <v>186700</v>
      </c>
      <c r="H621" s="198">
        <f>IF(AND(E620&gt;=H620,E621&gt;=E620),E620*(1+'Trading Model'!$E$13),IF(AND(E621&lt;E620,E620&gt;=H620),E621*(1+'Trading Model'!$E$13),H620))</f>
        <v>27.698998950000004</v>
      </c>
      <c r="I621" s="198">
        <f>IF(K621&gt;0,E621*(1-'Trading Model'!E631),IF(E621&lt;I620,I620*(1-'Trading Model'!$E$14),I620))</f>
        <v>16.625978798285779</v>
      </c>
      <c r="J621" s="198">
        <f t="shared" si="79"/>
        <v>0</v>
      </c>
      <c r="K621" s="198">
        <f t="shared" si="74"/>
        <v>0</v>
      </c>
      <c r="L621" s="198">
        <f>COUNTIF(J621:K621,"&lt;&gt;0")*-'Trading Model'!$E$15</f>
        <v>0</v>
      </c>
      <c r="M621" s="198">
        <f t="shared" si="72"/>
        <v>0</v>
      </c>
      <c r="N621" s="75">
        <f t="shared" si="75"/>
        <v>33</v>
      </c>
      <c r="O621" s="202">
        <f t="shared" si="76"/>
        <v>0</v>
      </c>
      <c r="P621" s="199">
        <f t="shared" si="73"/>
        <v>0</v>
      </c>
      <c r="Q621" s="203">
        <f t="shared" si="77"/>
        <v>70.1000000000017</v>
      </c>
      <c r="R621" s="203" t="s">
        <v>55</v>
      </c>
      <c r="S621" s="201">
        <f t="shared" si="78"/>
        <v>-2.566855477708252E-2</v>
      </c>
    </row>
    <row r="622" spans="1:19">
      <c r="A622" s="196">
        <v>40865</v>
      </c>
      <c r="B622" s="122">
        <v>18.260000000000002</v>
      </c>
      <c r="C622" s="122">
        <v>18.43</v>
      </c>
      <c r="D622" s="122">
        <v>18.09</v>
      </c>
      <c r="E622" s="122">
        <v>18.260000000000002</v>
      </c>
      <c r="F622" s="122">
        <v>12.845986999999999</v>
      </c>
      <c r="G622" s="197">
        <v>151000</v>
      </c>
      <c r="H622" s="198">
        <f>IF(AND(E621&gt;=H621,E622&gt;=E621),E621*(1+'Trading Model'!$E$13),IF(AND(E622&lt;E621,E621&gt;=H621),E622*(1+'Trading Model'!$E$13),H621))</f>
        <v>27.698998950000004</v>
      </c>
      <c r="I622" s="198">
        <f>IF(K622&gt;0,E622*(1-'Trading Model'!E632),IF(E622&lt;I621,I621*(1-'Trading Model'!$E$14),I621))</f>
        <v>16.625978798285779</v>
      </c>
      <c r="J622" s="198">
        <f t="shared" si="79"/>
        <v>0</v>
      </c>
      <c r="K622" s="198">
        <f t="shared" si="74"/>
        <v>0</v>
      </c>
      <c r="L622" s="198">
        <f>COUNTIF(J622:K622,"&lt;&gt;0")*-'Trading Model'!$E$15</f>
        <v>0</v>
      </c>
      <c r="M622" s="198">
        <f t="shared" si="72"/>
        <v>0</v>
      </c>
      <c r="N622" s="75">
        <f t="shared" si="75"/>
        <v>33</v>
      </c>
      <c r="O622" s="202">
        <f t="shared" si="76"/>
        <v>0</v>
      </c>
      <c r="P622" s="199">
        <f t="shared" si="73"/>
        <v>0</v>
      </c>
      <c r="Q622" s="203">
        <f t="shared" si="77"/>
        <v>70.1000000000017</v>
      </c>
      <c r="R622" s="201">
        <f>E622/B618-1</f>
        <v>-5.8277414042156361E-2</v>
      </c>
      <c r="S622" s="201">
        <f t="shared" si="78"/>
        <v>2.1954446869070221E-3</v>
      </c>
    </row>
    <row r="623" spans="1:19">
      <c r="A623" s="196">
        <v>40868</v>
      </c>
      <c r="B623" s="122">
        <v>17.790001</v>
      </c>
      <c r="C623" s="122">
        <v>18.079999999999998</v>
      </c>
      <c r="D623" s="122">
        <v>17.5</v>
      </c>
      <c r="E623" s="122">
        <v>17.709999</v>
      </c>
      <c r="F623" s="122">
        <v>12.459059999999999</v>
      </c>
      <c r="G623" s="197">
        <v>221100</v>
      </c>
      <c r="H623" s="198">
        <f>IF(AND(E622&gt;=H622,E623&gt;=E622),E622*(1+'Trading Model'!$E$13),IF(AND(E623&lt;E622,E622&gt;=H622),E623*(1+'Trading Model'!$E$13),H622))</f>
        <v>27.698998950000004</v>
      </c>
      <c r="I623" s="198">
        <f>IF(K623&gt;0,E623*(1-'Trading Model'!E633),IF(E623&lt;I622,I622*(1-'Trading Model'!$E$14),I622))</f>
        <v>16.625978798285779</v>
      </c>
      <c r="J623" s="198">
        <f t="shared" si="79"/>
        <v>0</v>
      </c>
      <c r="K623" s="198">
        <f t="shared" si="74"/>
        <v>0</v>
      </c>
      <c r="L623" s="198">
        <f>COUNTIF(J623:K623,"&lt;&gt;0")*-'Trading Model'!$E$15</f>
        <v>0</v>
      </c>
      <c r="M623" s="198">
        <f t="shared" si="72"/>
        <v>0</v>
      </c>
      <c r="N623" s="75">
        <f t="shared" si="75"/>
        <v>33</v>
      </c>
      <c r="O623" s="202">
        <f t="shared" si="76"/>
        <v>0</v>
      </c>
      <c r="P623" s="199">
        <f t="shared" si="73"/>
        <v>0</v>
      </c>
      <c r="Q623" s="203">
        <f t="shared" si="77"/>
        <v>70.000000000001705</v>
      </c>
      <c r="R623" s="160" t="s">
        <v>55</v>
      </c>
      <c r="S623" s="201">
        <f t="shared" si="78"/>
        <v>-3.0120536692223587E-2</v>
      </c>
    </row>
    <row r="624" spans="1:19">
      <c r="A624" s="196">
        <v>40869</v>
      </c>
      <c r="B624" s="122">
        <v>17.440000999999999</v>
      </c>
      <c r="C624" s="122">
        <v>18.07</v>
      </c>
      <c r="D624" s="122">
        <v>17.440000999999999</v>
      </c>
      <c r="E624" s="122">
        <v>18.02</v>
      </c>
      <c r="F624" s="122">
        <v>12.677147</v>
      </c>
      <c r="G624" s="197">
        <v>206200</v>
      </c>
      <c r="H624" s="198">
        <f>IF(AND(E623&gt;=H623,E624&gt;=E623),E623*(1+'Trading Model'!$E$13),IF(AND(E624&lt;E623,E623&gt;=H623),E624*(1+'Trading Model'!$E$13),H623))</f>
        <v>27.698998950000004</v>
      </c>
      <c r="I624" s="198">
        <f>IF(K624&gt;0,E624*(1-'Trading Model'!E634),IF(E624&lt;I623,I623*(1-'Trading Model'!$E$14),I623))</f>
        <v>16.625978798285779</v>
      </c>
      <c r="J624" s="198">
        <f t="shared" si="79"/>
        <v>0</v>
      </c>
      <c r="K624" s="198">
        <f t="shared" si="74"/>
        <v>0</v>
      </c>
      <c r="L624" s="198">
        <f>COUNTIF(J624:K624,"&lt;&gt;0")*-'Trading Model'!$E$15</f>
        <v>0</v>
      </c>
      <c r="M624" s="198">
        <f t="shared" si="72"/>
        <v>0</v>
      </c>
      <c r="N624" s="75">
        <f t="shared" si="75"/>
        <v>33</v>
      </c>
      <c r="O624" s="202">
        <f t="shared" si="76"/>
        <v>0</v>
      </c>
      <c r="P624" s="199">
        <f t="shared" si="73"/>
        <v>0</v>
      </c>
      <c r="Q624" s="203">
        <f t="shared" si="77"/>
        <v>70.000000000001705</v>
      </c>
      <c r="R624" s="203" t="s">
        <v>55</v>
      </c>
      <c r="S624" s="201">
        <f t="shared" si="78"/>
        <v>1.7504292349197703E-2</v>
      </c>
    </row>
    <row r="625" spans="1:19">
      <c r="A625" s="196">
        <v>40870</v>
      </c>
      <c r="B625" s="122">
        <v>17.809999000000001</v>
      </c>
      <c r="C625" s="122">
        <v>17.809999000000001</v>
      </c>
      <c r="D625" s="122">
        <v>17.5</v>
      </c>
      <c r="E625" s="122">
        <v>17.52</v>
      </c>
      <c r="F625" s="122">
        <v>12.325393999999999</v>
      </c>
      <c r="G625" s="197">
        <v>157500</v>
      </c>
      <c r="H625" s="198">
        <f>IF(AND(E624&gt;=H624,E625&gt;=E624),E624*(1+'Trading Model'!$E$13),IF(AND(E625&lt;E624,E624&gt;=H624),E625*(1+'Trading Model'!$E$13),H624))</f>
        <v>27.698998950000004</v>
      </c>
      <c r="I625" s="198">
        <f>IF(K625&gt;0,E625*(1-'Trading Model'!E635),IF(E625&lt;I624,I624*(1-'Trading Model'!$E$14),I624))</f>
        <v>16.625978798285779</v>
      </c>
      <c r="J625" s="198">
        <f t="shared" si="79"/>
        <v>0</v>
      </c>
      <c r="K625" s="198">
        <f t="shared" si="74"/>
        <v>0</v>
      </c>
      <c r="L625" s="198">
        <f>COUNTIF(J625:K625,"&lt;&gt;0")*-'Trading Model'!$E$15</f>
        <v>0</v>
      </c>
      <c r="M625" s="198">
        <f t="shared" si="72"/>
        <v>0</v>
      </c>
      <c r="N625" s="75">
        <f t="shared" si="75"/>
        <v>33</v>
      </c>
      <c r="O625" s="202">
        <f t="shared" si="76"/>
        <v>0</v>
      </c>
      <c r="P625" s="199">
        <f t="shared" si="73"/>
        <v>0</v>
      </c>
      <c r="Q625" s="203">
        <f t="shared" si="77"/>
        <v>69.900000000001711</v>
      </c>
      <c r="R625" s="203" t="s">
        <v>55</v>
      </c>
      <c r="S625" s="201">
        <f t="shared" si="78"/>
        <v>-2.7746947835738056E-2</v>
      </c>
    </row>
    <row r="626" spans="1:19">
      <c r="A626" s="196">
        <v>40872</v>
      </c>
      <c r="B626" s="122">
        <v>17.5</v>
      </c>
      <c r="C626" s="122">
        <v>17.68</v>
      </c>
      <c r="D626" s="122">
        <v>17.25</v>
      </c>
      <c r="E626" s="122">
        <v>17.280000999999999</v>
      </c>
      <c r="F626" s="122">
        <v>12.156554</v>
      </c>
      <c r="G626" s="197">
        <v>103000</v>
      </c>
      <c r="H626" s="198">
        <f>IF(AND(E625&gt;=H625,E626&gt;=E625),E625*(1+'Trading Model'!$E$13),IF(AND(E626&lt;E625,E625&gt;=H625),E626*(1+'Trading Model'!$E$13),H625))</f>
        <v>27.698998950000004</v>
      </c>
      <c r="I626" s="198">
        <f>IF(K626&gt;0,E626*(1-'Trading Model'!E636),IF(E626&lt;I625,I625*(1-'Trading Model'!$E$14),I625))</f>
        <v>16.625978798285779</v>
      </c>
      <c r="J626" s="198">
        <f t="shared" si="79"/>
        <v>0</v>
      </c>
      <c r="K626" s="198">
        <f t="shared" si="74"/>
        <v>0</v>
      </c>
      <c r="L626" s="198">
        <f>COUNTIF(J626:K626,"&lt;&gt;0")*-'Trading Model'!$E$15</f>
        <v>0</v>
      </c>
      <c r="M626" s="198">
        <f t="shared" si="72"/>
        <v>0</v>
      </c>
      <c r="N626" s="75">
        <f t="shared" si="75"/>
        <v>33</v>
      </c>
      <c r="O626" s="202">
        <f t="shared" si="76"/>
        <v>0</v>
      </c>
      <c r="P626" s="199">
        <f t="shared" si="73"/>
        <v>0</v>
      </c>
      <c r="Q626" s="203">
        <f t="shared" si="77"/>
        <v>69.800000000001717</v>
      </c>
      <c r="R626" s="203" t="s">
        <v>55</v>
      </c>
      <c r="S626" s="201">
        <f t="shared" si="78"/>
        <v>-1.3698573059360841E-2</v>
      </c>
    </row>
    <row r="627" spans="1:19">
      <c r="A627" s="196">
        <v>40875</v>
      </c>
      <c r="B627" s="122">
        <v>17.549999</v>
      </c>
      <c r="C627" s="122">
        <v>17.98</v>
      </c>
      <c r="D627" s="122">
        <v>17.43</v>
      </c>
      <c r="E627" s="122">
        <v>17.620000999999998</v>
      </c>
      <c r="F627" s="122">
        <v>12.395746000000001</v>
      </c>
      <c r="G627" s="197">
        <v>154700</v>
      </c>
      <c r="H627" s="198">
        <f>IF(AND(E626&gt;=H626,E627&gt;=E626),E626*(1+'Trading Model'!$E$13),IF(AND(E627&lt;E626,E626&gt;=H626),E627*(1+'Trading Model'!$E$13),H626))</f>
        <v>27.698998950000004</v>
      </c>
      <c r="I627" s="198">
        <f>IF(K627&gt;0,E627*(1-'Trading Model'!E637),IF(E627&lt;I626,I626*(1-'Trading Model'!$E$14),I626))</f>
        <v>16.625978798285779</v>
      </c>
      <c r="J627" s="198">
        <f t="shared" si="79"/>
        <v>0</v>
      </c>
      <c r="K627" s="198">
        <f t="shared" si="74"/>
        <v>0</v>
      </c>
      <c r="L627" s="198">
        <f>COUNTIF(J627:K627,"&lt;&gt;0")*-'Trading Model'!$E$15</f>
        <v>0</v>
      </c>
      <c r="M627" s="198">
        <f t="shared" si="72"/>
        <v>0</v>
      </c>
      <c r="N627" s="75">
        <f t="shared" si="75"/>
        <v>33</v>
      </c>
      <c r="O627" s="202">
        <f t="shared" si="76"/>
        <v>0</v>
      </c>
      <c r="P627" s="199">
        <f t="shared" si="73"/>
        <v>0</v>
      </c>
      <c r="Q627" s="203">
        <f t="shared" si="77"/>
        <v>69.800000000001717</v>
      </c>
      <c r="R627" s="201">
        <f>E627/B623-1</f>
        <v>-9.5559297607684668E-3</v>
      </c>
      <c r="S627" s="201">
        <f t="shared" si="78"/>
        <v>1.9675924787272869E-2</v>
      </c>
    </row>
    <row r="628" spans="1:19">
      <c r="A628" s="196">
        <v>40876</v>
      </c>
      <c r="B628" s="122">
        <v>17.66</v>
      </c>
      <c r="C628" s="122">
        <v>18.16</v>
      </c>
      <c r="D628" s="122">
        <v>17.66</v>
      </c>
      <c r="E628" s="122">
        <v>18.120000999999998</v>
      </c>
      <c r="F628" s="122">
        <v>12.7475</v>
      </c>
      <c r="G628" s="197">
        <v>219200</v>
      </c>
      <c r="H628" s="198">
        <f>IF(AND(E627&gt;=H627,E628&gt;=E627),E627*(1+'Trading Model'!$E$13),IF(AND(E628&lt;E627,E627&gt;=H627),E628*(1+'Trading Model'!$E$13),H627))</f>
        <v>27.698998950000004</v>
      </c>
      <c r="I628" s="198">
        <f>IF(K628&gt;0,E628*(1-'Trading Model'!E638),IF(E628&lt;I627,I627*(1-'Trading Model'!$E$14),I627))</f>
        <v>16.625978798285779</v>
      </c>
      <c r="J628" s="198">
        <f t="shared" si="79"/>
        <v>0</v>
      </c>
      <c r="K628" s="198">
        <f t="shared" si="74"/>
        <v>0</v>
      </c>
      <c r="L628" s="198">
        <f>COUNTIF(J628:K628,"&lt;&gt;0")*-'Trading Model'!$E$15</f>
        <v>0</v>
      </c>
      <c r="M628" s="198">
        <f t="shared" si="72"/>
        <v>0</v>
      </c>
      <c r="N628" s="75">
        <f t="shared" si="75"/>
        <v>33</v>
      </c>
      <c r="O628" s="202">
        <f t="shared" si="76"/>
        <v>0</v>
      </c>
      <c r="P628" s="199">
        <f t="shared" si="73"/>
        <v>0</v>
      </c>
      <c r="Q628" s="203">
        <f t="shared" si="77"/>
        <v>69.800000000001717</v>
      </c>
      <c r="R628" s="160" t="s">
        <v>55</v>
      </c>
      <c r="S628" s="201">
        <f t="shared" si="78"/>
        <v>2.8376842884401565E-2</v>
      </c>
    </row>
    <row r="629" spans="1:19">
      <c r="A629" s="196">
        <v>40877</v>
      </c>
      <c r="B629" s="122">
        <v>18.75</v>
      </c>
      <c r="C629" s="122">
        <v>19.07</v>
      </c>
      <c r="D629" s="122">
        <v>18.52</v>
      </c>
      <c r="E629" s="122">
        <v>18.879999000000002</v>
      </c>
      <c r="F629" s="122">
        <v>13.282161</v>
      </c>
      <c r="G629" s="197">
        <v>273200</v>
      </c>
      <c r="H629" s="198">
        <f>IF(AND(E628&gt;=H628,E629&gt;=E628),E628*(1+'Trading Model'!$E$13),IF(AND(E629&lt;E628,E628&gt;=H628),E629*(1+'Trading Model'!$E$13),H628))</f>
        <v>27.698998950000004</v>
      </c>
      <c r="I629" s="198">
        <f>IF(K629&gt;0,E629*(1-'Trading Model'!E639),IF(E629&lt;I628,I628*(1-'Trading Model'!$E$14),I628))</f>
        <v>16.625978798285779</v>
      </c>
      <c r="J629" s="198">
        <f t="shared" si="79"/>
        <v>0</v>
      </c>
      <c r="K629" s="198">
        <f t="shared" si="74"/>
        <v>0</v>
      </c>
      <c r="L629" s="198">
        <f>COUNTIF(J629:K629,"&lt;&gt;0")*-'Trading Model'!$E$15</f>
        <v>0</v>
      </c>
      <c r="M629" s="198">
        <f t="shared" si="72"/>
        <v>0</v>
      </c>
      <c r="N629" s="75">
        <f t="shared" si="75"/>
        <v>33</v>
      </c>
      <c r="O629" s="202">
        <f t="shared" si="76"/>
        <v>0</v>
      </c>
      <c r="P629" s="199">
        <f t="shared" si="73"/>
        <v>0</v>
      </c>
      <c r="Q629" s="203">
        <f t="shared" si="77"/>
        <v>69.800000000001717</v>
      </c>
      <c r="R629" s="203" t="s">
        <v>55</v>
      </c>
      <c r="S629" s="201">
        <f t="shared" si="78"/>
        <v>4.1942492166529233E-2</v>
      </c>
    </row>
    <row r="630" spans="1:19">
      <c r="A630" s="196">
        <v>40878</v>
      </c>
      <c r="B630" s="122">
        <v>18.829999999999998</v>
      </c>
      <c r="C630" s="122">
        <v>19.059999000000001</v>
      </c>
      <c r="D630" s="122">
        <v>18.629999000000002</v>
      </c>
      <c r="E630" s="122">
        <v>18.91</v>
      </c>
      <c r="F630" s="122">
        <v>13.303267</v>
      </c>
      <c r="G630" s="197">
        <v>198400</v>
      </c>
      <c r="H630" s="198">
        <f>IF(AND(E629&gt;=H629,E630&gt;=E629),E629*(1+'Trading Model'!$E$13),IF(AND(E630&lt;E629,E629&gt;=H629),E630*(1+'Trading Model'!$E$13),H629))</f>
        <v>27.698998950000004</v>
      </c>
      <c r="I630" s="198">
        <f>IF(K630&gt;0,E630*(1-'Trading Model'!E640),IF(E630&lt;I629,I629*(1-'Trading Model'!$E$14),I629))</f>
        <v>16.625978798285779</v>
      </c>
      <c r="J630" s="198">
        <f t="shared" si="79"/>
        <v>0</v>
      </c>
      <c r="K630" s="198">
        <f t="shared" si="74"/>
        <v>0</v>
      </c>
      <c r="L630" s="198">
        <f>COUNTIF(J630:K630,"&lt;&gt;0")*-'Trading Model'!$E$15</f>
        <v>0</v>
      </c>
      <c r="M630" s="198">
        <f t="shared" si="72"/>
        <v>0</v>
      </c>
      <c r="N630" s="75">
        <f t="shared" si="75"/>
        <v>33</v>
      </c>
      <c r="O630" s="202">
        <f t="shared" si="76"/>
        <v>0</v>
      </c>
      <c r="P630" s="199">
        <f t="shared" si="73"/>
        <v>0</v>
      </c>
      <c r="Q630" s="203">
        <f t="shared" si="77"/>
        <v>69.800000000001717</v>
      </c>
      <c r="R630" s="203" t="s">
        <v>55</v>
      </c>
      <c r="S630" s="201">
        <f t="shared" si="78"/>
        <v>1.5890361011141607E-3</v>
      </c>
    </row>
    <row r="631" spans="1:19">
      <c r="A631" s="196">
        <v>40879</v>
      </c>
      <c r="B631" s="122">
        <v>19</v>
      </c>
      <c r="C631" s="122">
        <v>19.25</v>
      </c>
      <c r="D631" s="122">
        <v>18.66</v>
      </c>
      <c r="E631" s="122">
        <v>18.760000000000002</v>
      </c>
      <c r="F631" s="122">
        <v>13.197741000000001</v>
      </c>
      <c r="G631" s="197">
        <v>122300</v>
      </c>
      <c r="H631" s="198">
        <f>IF(AND(E630&gt;=H630,E631&gt;=E630),E630*(1+'Trading Model'!$E$13),IF(AND(E631&lt;E630,E630&gt;=H630),E631*(1+'Trading Model'!$E$13),H630))</f>
        <v>27.698998950000004</v>
      </c>
      <c r="I631" s="198">
        <f>IF(K631&gt;0,E631*(1-'Trading Model'!E641),IF(E631&lt;I630,I630*(1-'Trading Model'!$E$14),I630))</f>
        <v>16.625978798285779</v>
      </c>
      <c r="J631" s="198">
        <f t="shared" si="79"/>
        <v>0</v>
      </c>
      <c r="K631" s="198">
        <f t="shared" si="74"/>
        <v>0</v>
      </c>
      <c r="L631" s="198">
        <f>COUNTIF(J631:K631,"&lt;&gt;0")*-'Trading Model'!$E$15</f>
        <v>0</v>
      </c>
      <c r="M631" s="198">
        <f t="shared" si="72"/>
        <v>0</v>
      </c>
      <c r="N631" s="75">
        <f t="shared" si="75"/>
        <v>33</v>
      </c>
      <c r="O631" s="202">
        <f t="shared" si="76"/>
        <v>0</v>
      </c>
      <c r="P631" s="199">
        <f t="shared" si="73"/>
        <v>0</v>
      </c>
      <c r="Q631" s="203">
        <f t="shared" si="77"/>
        <v>69.700000000001722</v>
      </c>
      <c r="R631" s="203" t="s">
        <v>55</v>
      </c>
      <c r="S631" s="201">
        <f t="shared" si="78"/>
        <v>-7.9323109465890829E-3</v>
      </c>
    </row>
    <row r="632" spans="1:19">
      <c r="A632" s="196">
        <v>40882</v>
      </c>
      <c r="B632" s="122">
        <v>19.02</v>
      </c>
      <c r="C632" s="122">
        <v>19.5</v>
      </c>
      <c r="D632" s="122">
        <v>18.91</v>
      </c>
      <c r="E632" s="122">
        <v>19.290001</v>
      </c>
      <c r="F632" s="122">
        <v>13.570596</v>
      </c>
      <c r="G632" s="197">
        <v>292700</v>
      </c>
      <c r="H632" s="198">
        <f>IF(AND(E631&gt;=H631,E632&gt;=E631),E631*(1+'Trading Model'!$E$13),IF(AND(E632&lt;E631,E631&gt;=H631),E632*(1+'Trading Model'!$E$13),H631))</f>
        <v>27.698998950000004</v>
      </c>
      <c r="I632" s="198">
        <f>IF(K632&gt;0,E632*(1-'Trading Model'!E642),IF(E632&lt;I631,I631*(1-'Trading Model'!$E$14),I631))</f>
        <v>16.625978798285779</v>
      </c>
      <c r="J632" s="198">
        <f t="shared" si="79"/>
        <v>0</v>
      </c>
      <c r="K632" s="198">
        <f t="shared" si="74"/>
        <v>0</v>
      </c>
      <c r="L632" s="198">
        <f>COUNTIF(J632:K632,"&lt;&gt;0")*-'Trading Model'!$E$15</f>
        <v>0</v>
      </c>
      <c r="M632" s="198">
        <f t="shared" si="72"/>
        <v>0</v>
      </c>
      <c r="N632" s="75">
        <f t="shared" si="75"/>
        <v>33</v>
      </c>
      <c r="O632" s="202">
        <f t="shared" si="76"/>
        <v>0</v>
      </c>
      <c r="P632" s="199">
        <f t="shared" si="73"/>
        <v>0</v>
      </c>
      <c r="Q632" s="203">
        <f t="shared" si="77"/>
        <v>69.700000000001722</v>
      </c>
      <c r="R632" s="201">
        <f>E632/B628-1</f>
        <v>9.2299037372593373E-2</v>
      </c>
      <c r="S632" s="201">
        <f t="shared" si="78"/>
        <v>2.8251652452025544E-2</v>
      </c>
    </row>
    <row r="633" spans="1:19">
      <c r="A633" s="196">
        <v>40883</v>
      </c>
      <c r="B633" s="122">
        <v>19.370000999999998</v>
      </c>
      <c r="C633" s="122">
        <v>19.459999</v>
      </c>
      <c r="D633" s="122">
        <v>19</v>
      </c>
      <c r="E633" s="122">
        <v>19.200001</v>
      </c>
      <c r="F633" s="122">
        <v>13.507282999999999</v>
      </c>
      <c r="G633" s="197">
        <v>212100</v>
      </c>
      <c r="H633" s="198">
        <f>IF(AND(E632&gt;=H632,E633&gt;=E632),E632*(1+'Trading Model'!$E$13),IF(AND(E633&lt;E632,E632&gt;=H632),E633*(1+'Trading Model'!$E$13),H632))</f>
        <v>27.698998950000004</v>
      </c>
      <c r="I633" s="198">
        <f>IF(K633&gt;0,E633*(1-'Trading Model'!E643),IF(E633&lt;I632,I632*(1-'Trading Model'!$E$14),I632))</f>
        <v>16.625978798285779</v>
      </c>
      <c r="J633" s="198">
        <f t="shared" si="79"/>
        <v>0</v>
      </c>
      <c r="K633" s="198">
        <f t="shared" si="74"/>
        <v>0</v>
      </c>
      <c r="L633" s="198">
        <f>COUNTIF(J633:K633,"&lt;&gt;0")*-'Trading Model'!$E$15</f>
        <v>0</v>
      </c>
      <c r="M633" s="198">
        <f t="shared" si="72"/>
        <v>0</v>
      </c>
      <c r="N633" s="75">
        <f t="shared" si="75"/>
        <v>33</v>
      </c>
      <c r="O633" s="202">
        <f t="shared" si="76"/>
        <v>0</v>
      </c>
      <c r="P633" s="199">
        <f t="shared" si="73"/>
        <v>0</v>
      </c>
      <c r="Q633" s="203">
        <f t="shared" si="77"/>
        <v>69.600000000001728</v>
      </c>
      <c r="R633" s="160" t="s">
        <v>55</v>
      </c>
      <c r="S633" s="201">
        <f t="shared" si="78"/>
        <v>-4.6656296181633028E-3</v>
      </c>
    </row>
    <row r="634" spans="1:19">
      <c r="A634" s="196">
        <v>40884</v>
      </c>
      <c r="B634" s="122">
        <v>19.190000999999999</v>
      </c>
      <c r="C634" s="122">
        <v>19.239999999999998</v>
      </c>
      <c r="D634" s="122">
        <v>18.879999000000002</v>
      </c>
      <c r="E634" s="122">
        <v>19.010000000000002</v>
      </c>
      <c r="F634" s="122">
        <v>13.373614999999999</v>
      </c>
      <c r="G634" s="197">
        <v>157700</v>
      </c>
      <c r="H634" s="198">
        <f>IF(AND(E633&gt;=H633,E634&gt;=E633),E633*(1+'Trading Model'!$E$13),IF(AND(E634&lt;E633,E633&gt;=H633),E634*(1+'Trading Model'!$E$13),H633))</f>
        <v>27.698998950000004</v>
      </c>
      <c r="I634" s="198">
        <f>IF(K634&gt;0,E634*(1-'Trading Model'!E644),IF(E634&lt;I633,I633*(1-'Trading Model'!$E$14),I633))</f>
        <v>16.625978798285779</v>
      </c>
      <c r="J634" s="198">
        <f t="shared" si="79"/>
        <v>0</v>
      </c>
      <c r="K634" s="198">
        <f t="shared" si="74"/>
        <v>0</v>
      </c>
      <c r="L634" s="198">
        <f>COUNTIF(J634:K634,"&lt;&gt;0")*-'Trading Model'!$E$15</f>
        <v>0</v>
      </c>
      <c r="M634" s="198">
        <f t="shared" si="72"/>
        <v>0</v>
      </c>
      <c r="N634" s="75">
        <f t="shared" si="75"/>
        <v>33</v>
      </c>
      <c r="O634" s="202">
        <f t="shared" si="76"/>
        <v>0</v>
      </c>
      <c r="P634" s="199">
        <f t="shared" si="73"/>
        <v>0</v>
      </c>
      <c r="Q634" s="203">
        <f t="shared" si="77"/>
        <v>69.500000000001734</v>
      </c>
      <c r="R634" s="203" t="s">
        <v>55</v>
      </c>
      <c r="S634" s="201">
        <f t="shared" si="78"/>
        <v>-9.8958849012559247E-3</v>
      </c>
    </row>
    <row r="635" spans="1:19">
      <c r="A635" s="196">
        <v>40885</v>
      </c>
      <c r="B635" s="122">
        <v>18.93</v>
      </c>
      <c r="C635" s="122">
        <v>18.950001</v>
      </c>
      <c r="D635" s="122">
        <v>18.469999000000001</v>
      </c>
      <c r="E635" s="122">
        <v>18.57</v>
      </c>
      <c r="F635" s="122">
        <v>13.064075000000001</v>
      </c>
      <c r="G635" s="197">
        <v>199600</v>
      </c>
      <c r="H635" s="198">
        <f>IF(AND(E634&gt;=H634,E635&gt;=E634),E634*(1+'Trading Model'!$E$13),IF(AND(E635&lt;E634,E634&gt;=H634),E635*(1+'Trading Model'!$E$13),H634))</f>
        <v>27.698998950000004</v>
      </c>
      <c r="I635" s="198">
        <f>IF(K635&gt;0,E635*(1-'Trading Model'!E645),IF(E635&lt;I634,I634*(1-'Trading Model'!$E$14),I634))</f>
        <v>16.625978798285779</v>
      </c>
      <c r="J635" s="198">
        <f t="shared" si="79"/>
        <v>0</v>
      </c>
      <c r="K635" s="198">
        <f t="shared" si="74"/>
        <v>0</v>
      </c>
      <c r="L635" s="198">
        <f>COUNTIF(J635:K635,"&lt;&gt;0")*-'Trading Model'!$E$15</f>
        <v>0</v>
      </c>
      <c r="M635" s="198">
        <f t="shared" si="72"/>
        <v>0</v>
      </c>
      <c r="N635" s="75">
        <f t="shared" si="75"/>
        <v>33</v>
      </c>
      <c r="O635" s="202">
        <f t="shared" si="76"/>
        <v>0</v>
      </c>
      <c r="P635" s="199">
        <f t="shared" si="73"/>
        <v>0</v>
      </c>
      <c r="Q635" s="203">
        <f t="shared" si="77"/>
        <v>69.400000000001739</v>
      </c>
      <c r="R635" s="203" t="s">
        <v>55</v>
      </c>
      <c r="S635" s="201">
        <f t="shared" si="78"/>
        <v>-2.314571278274602E-2</v>
      </c>
    </row>
    <row r="636" spans="1:19">
      <c r="A636" s="196">
        <v>40886</v>
      </c>
      <c r="B636" s="122">
        <v>18.719999000000001</v>
      </c>
      <c r="C636" s="122">
        <v>19.379999000000002</v>
      </c>
      <c r="D636" s="122">
        <v>18.719999000000001</v>
      </c>
      <c r="E636" s="122">
        <v>19.25</v>
      </c>
      <c r="F636" s="122">
        <v>13.542458999999999</v>
      </c>
      <c r="G636" s="197">
        <v>199900</v>
      </c>
      <c r="H636" s="198">
        <f>IF(AND(E635&gt;=H635,E636&gt;=E635),E635*(1+'Trading Model'!$E$13),IF(AND(E636&lt;E635,E635&gt;=H635),E636*(1+'Trading Model'!$E$13),H635))</f>
        <v>27.698998950000004</v>
      </c>
      <c r="I636" s="198">
        <f>IF(K636&gt;0,E636*(1-'Trading Model'!E646),IF(E636&lt;I635,I635*(1-'Trading Model'!$E$14),I635))</f>
        <v>16.625978798285779</v>
      </c>
      <c r="J636" s="198">
        <f t="shared" si="79"/>
        <v>0</v>
      </c>
      <c r="K636" s="198">
        <f t="shared" si="74"/>
        <v>0</v>
      </c>
      <c r="L636" s="198">
        <f>COUNTIF(J636:K636,"&lt;&gt;0")*-'Trading Model'!$E$15</f>
        <v>0</v>
      </c>
      <c r="M636" s="198">
        <f t="shared" si="72"/>
        <v>0</v>
      </c>
      <c r="N636" s="75">
        <f t="shared" si="75"/>
        <v>33</v>
      </c>
      <c r="O636" s="202">
        <f t="shared" si="76"/>
        <v>0</v>
      </c>
      <c r="P636" s="199">
        <f t="shared" si="73"/>
        <v>0</v>
      </c>
      <c r="Q636" s="203">
        <f t="shared" si="77"/>
        <v>69.400000000001739</v>
      </c>
      <c r="R636" s="203" t="s">
        <v>55</v>
      </c>
      <c r="S636" s="201">
        <f t="shared" si="78"/>
        <v>3.6618201400107742E-2</v>
      </c>
    </row>
    <row r="637" spans="1:19">
      <c r="A637" s="196">
        <v>40889</v>
      </c>
      <c r="B637" s="122">
        <v>19.809999000000001</v>
      </c>
      <c r="C637" s="122">
        <v>19.809999000000001</v>
      </c>
      <c r="D637" s="122">
        <v>18.799999</v>
      </c>
      <c r="E637" s="122">
        <v>19.540001</v>
      </c>
      <c r="F637" s="122">
        <v>13.746473999999999</v>
      </c>
      <c r="G637" s="197">
        <v>285500</v>
      </c>
      <c r="H637" s="198">
        <f>IF(AND(E636&gt;=H636,E637&gt;=E636),E636*(1+'Trading Model'!$E$13),IF(AND(E637&lt;E636,E636&gt;=H636),E637*(1+'Trading Model'!$E$13),H636))</f>
        <v>27.698998950000004</v>
      </c>
      <c r="I637" s="198">
        <f>IF(K637&gt;0,E637*(1-'Trading Model'!E647),IF(E637&lt;I636,I636*(1-'Trading Model'!$E$14),I636))</f>
        <v>16.625978798285779</v>
      </c>
      <c r="J637" s="198">
        <f t="shared" si="79"/>
        <v>0</v>
      </c>
      <c r="K637" s="198">
        <f t="shared" si="74"/>
        <v>0</v>
      </c>
      <c r="L637" s="198">
        <f>COUNTIF(J637:K637,"&lt;&gt;0")*-'Trading Model'!$E$15</f>
        <v>0</v>
      </c>
      <c r="M637" s="198">
        <f t="shared" si="72"/>
        <v>0</v>
      </c>
      <c r="N637" s="75">
        <f t="shared" si="75"/>
        <v>33</v>
      </c>
      <c r="O637" s="202">
        <f t="shared" si="76"/>
        <v>0</v>
      </c>
      <c r="P637" s="199">
        <f t="shared" si="73"/>
        <v>0</v>
      </c>
      <c r="Q637" s="203">
        <f t="shared" si="77"/>
        <v>69.400000000001739</v>
      </c>
      <c r="R637" s="201">
        <f>E637/B633-1</f>
        <v>8.7764579877926963E-3</v>
      </c>
      <c r="S637" s="201">
        <f t="shared" si="78"/>
        <v>1.5064987012987086E-2</v>
      </c>
    </row>
    <row r="638" spans="1:19">
      <c r="A638" s="196">
        <v>40890</v>
      </c>
      <c r="B638" s="122">
        <v>19.52</v>
      </c>
      <c r="C638" s="122">
        <v>19.549999</v>
      </c>
      <c r="D638" s="122">
        <v>18.379999000000002</v>
      </c>
      <c r="E638" s="122">
        <v>18.52</v>
      </c>
      <c r="F638" s="122">
        <v>13.028898999999999</v>
      </c>
      <c r="G638" s="197">
        <v>258800</v>
      </c>
      <c r="H638" s="198">
        <f>IF(AND(E637&gt;=H637,E638&gt;=E637),E637*(1+'Trading Model'!$E$13),IF(AND(E638&lt;E637,E637&gt;=H637),E638*(1+'Trading Model'!$E$13),H637))</f>
        <v>27.698998950000004</v>
      </c>
      <c r="I638" s="198">
        <f>IF(K638&gt;0,E638*(1-'Trading Model'!E648),IF(E638&lt;I637,I637*(1-'Trading Model'!$E$14),I637))</f>
        <v>16.625978798285779</v>
      </c>
      <c r="J638" s="198">
        <f t="shared" si="79"/>
        <v>0</v>
      </c>
      <c r="K638" s="198">
        <f t="shared" si="74"/>
        <v>0</v>
      </c>
      <c r="L638" s="198">
        <f>COUNTIF(J638:K638,"&lt;&gt;0")*-'Trading Model'!$E$15</f>
        <v>0</v>
      </c>
      <c r="M638" s="198">
        <f t="shared" si="72"/>
        <v>0</v>
      </c>
      <c r="N638" s="75">
        <f t="shared" si="75"/>
        <v>33</v>
      </c>
      <c r="O638" s="202">
        <f t="shared" si="76"/>
        <v>0</v>
      </c>
      <c r="P638" s="199">
        <f t="shared" si="73"/>
        <v>0</v>
      </c>
      <c r="Q638" s="203">
        <f t="shared" si="77"/>
        <v>69.300000000001745</v>
      </c>
      <c r="R638" s="160" t="s">
        <v>55</v>
      </c>
      <c r="S638" s="201">
        <f t="shared" si="78"/>
        <v>-5.2200662630467631E-2</v>
      </c>
    </row>
    <row r="639" spans="1:19">
      <c r="A639" s="196">
        <v>40891</v>
      </c>
      <c r="B639" s="122">
        <v>18.43</v>
      </c>
      <c r="C639" s="122">
        <v>18.5</v>
      </c>
      <c r="D639" s="122">
        <v>18.170000000000002</v>
      </c>
      <c r="E639" s="122">
        <v>18.299999</v>
      </c>
      <c r="F639" s="122">
        <v>12.874128000000001</v>
      </c>
      <c r="G639" s="197">
        <v>217700</v>
      </c>
      <c r="H639" s="198">
        <f>IF(AND(E638&gt;=H638,E639&gt;=E638),E638*(1+'Trading Model'!$E$13),IF(AND(E639&lt;E638,E638&gt;=H638),E639*(1+'Trading Model'!$E$13),H638))</f>
        <v>27.698998950000004</v>
      </c>
      <c r="I639" s="198">
        <f>IF(K639&gt;0,E639*(1-'Trading Model'!E649),IF(E639&lt;I638,I638*(1-'Trading Model'!$E$14),I638))</f>
        <v>16.625978798285779</v>
      </c>
      <c r="J639" s="198">
        <f t="shared" si="79"/>
        <v>0</v>
      </c>
      <c r="K639" s="198">
        <f t="shared" si="74"/>
        <v>0</v>
      </c>
      <c r="L639" s="198">
        <f>COUNTIF(J639:K639,"&lt;&gt;0")*-'Trading Model'!$E$15</f>
        <v>0</v>
      </c>
      <c r="M639" s="198">
        <f t="shared" si="72"/>
        <v>0</v>
      </c>
      <c r="N639" s="75">
        <f t="shared" si="75"/>
        <v>33</v>
      </c>
      <c r="O639" s="202">
        <f t="shared" si="76"/>
        <v>0</v>
      </c>
      <c r="P639" s="199">
        <f t="shared" si="73"/>
        <v>0</v>
      </c>
      <c r="Q639" s="203">
        <f t="shared" si="77"/>
        <v>69.200000000001751</v>
      </c>
      <c r="R639" s="203" t="s">
        <v>55</v>
      </c>
      <c r="S639" s="201">
        <f t="shared" si="78"/>
        <v>-1.1879103671706304E-2</v>
      </c>
    </row>
    <row r="640" spans="1:19">
      <c r="A640" s="196">
        <v>40892</v>
      </c>
      <c r="B640" s="122">
        <v>18.5</v>
      </c>
      <c r="C640" s="122">
        <v>18.5</v>
      </c>
      <c r="D640" s="122">
        <v>18.129999000000002</v>
      </c>
      <c r="E640" s="122">
        <v>18.350000000000001</v>
      </c>
      <c r="F640" s="122">
        <v>12.909305</v>
      </c>
      <c r="G640" s="197">
        <v>154100</v>
      </c>
      <c r="H640" s="198">
        <f>IF(AND(E639&gt;=H639,E640&gt;=E639),E639*(1+'Trading Model'!$E$13),IF(AND(E640&lt;E639,E639&gt;=H639),E640*(1+'Trading Model'!$E$13),H639))</f>
        <v>27.698998950000004</v>
      </c>
      <c r="I640" s="198">
        <f>IF(K640&gt;0,E640*(1-'Trading Model'!E650),IF(E640&lt;I639,I639*(1-'Trading Model'!$E$14),I639))</f>
        <v>16.625978798285779</v>
      </c>
      <c r="J640" s="198">
        <f t="shared" si="79"/>
        <v>0</v>
      </c>
      <c r="K640" s="198">
        <f t="shared" si="74"/>
        <v>0</v>
      </c>
      <c r="L640" s="198">
        <f>COUNTIF(J640:K640,"&lt;&gt;0")*-'Trading Model'!$E$15</f>
        <v>0</v>
      </c>
      <c r="M640" s="198">
        <f t="shared" si="72"/>
        <v>0</v>
      </c>
      <c r="N640" s="75">
        <f t="shared" si="75"/>
        <v>33</v>
      </c>
      <c r="O640" s="202">
        <f t="shared" si="76"/>
        <v>0</v>
      </c>
      <c r="P640" s="199">
        <f t="shared" si="73"/>
        <v>0</v>
      </c>
      <c r="Q640" s="203">
        <f t="shared" si="77"/>
        <v>69.200000000001751</v>
      </c>
      <c r="R640" s="203" t="s">
        <v>55</v>
      </c>
      <c r="S640" s="201">
        <f t="shared" si="78"/>
        <v>2.732295231273163E-3</v>
      </c>
    </row>
    <row r="641" spans="1:19">
      <c r="A641" s="196">
        <v>40893</v>
      </c>
      <c r="B641" s="122">
        <v>18.469999000000001</v>
      </c>
      <c r="C641" s="122">
        <v>18.489999999999998</v>
      </c>
      <c r="D641" s="122">
        <v>18.299999</v>
      </c>
      <c r="E641" s="122">
        <v>18.370000999999998</v>
      </c>
      <c r="F641" s="122">
        <v>12.923374000000001</v>
      </c>
      <c r="G641" s="197">
        <v>125500</v>
      </c>
      <c r="H641" s="198">
        <f>IF(AND(E640&gt;=H640,E641&gt;=E640),E640*(1+'Trading Model'!$E$13),IF(AND(E641&lt;E640,E640&gt;=H640),E641*(1+'Trading Model'!$E$13),H640))</f>
        <v>27.698998950000004</v>
      </c>
      <c r="I641" s="198">
        <f>IF(K641&gt;0,E641*(1-'Trading Model'!E651),IF(E641&lt;I640,I640*(1-'Trading Model'!$E$14),I640))</f>
        <v>16.625978798285779</v>
      </c>
      <c r="J641" s="198">
        <f t="shared" si="79"/>
        <v>0</v>
      </c>
      <c r="K641" s="198">
        <f t="shared" si="74"/>
        <v>0</v>
      </c>
      <c r="L641" s="198">
        <f>COUNTIF(J641:K641,"&lt;&gt;0")*-'Trading Model'!$E$15</f>
        <v>0</v>
      </c>
      <c r="M641" s="198">
        <f t="shared" si="72"/>
        <v>0</v>
      </c>
      <c r="N641" s="75">
        <f t="shared" si="75"/>
        <v>33</v>
      </c>
      <c r="O641" s="202">
        <f t="shared" si="76"/>
        <v>0</v>
      </c>
      <c r="P641" s="199">
        <f t="shared" si="73"/>
        <v>0</v>
      </c>
      <c r="Q641" s="203">
        <f t="shared" si="77"/>
        <v>69.200000000001751</v>
      </c>
      <c r="R641" s="203" t="s">
        <v>55</v>
      </c>
      <c r="S641" s="201">
        <f t="shared" si="78"/>
        <v>1.0899727520434777E-3</v>
      </c>
    </row>
    <row r="642" spans="1:19">
      <c r="A642" s="196">
        <v>40896</v>
      </c>
      <c r="B642" s="122">
        <v>18.360001</v>
      </c>
      <c r="C642" s="122">
        <v>18.469999000000001</v>
      </c>
      <c r="D642" s="122">
        <v>17.709999</v>
      </c>
      <c r="E642" s="122">
        <v>17.739999999999998</v>
      </c>
      <c r="F642" s="122">
        <v>12.480165</v>
      </c>
      <c r="G642" s="197">
        <v>166200</v>
      </c>
      <c r="H642" s="198">
        <f>IF(AND(E641&gt;=H641,E642&gt;=E641),E641*(1+'Trading Model'!$E$13),IF(AND(E642&lt;E641,E641&gt;=H641),E642*(1+'Trading Model'!$E$13),H641))</f>
        <v>27.698998950000004</v>
      </c>
      <c r="I642" s="198">
        <f>IF(K642&gt;0,E642*(1-'Trading Model'!E652),IF(E642&lt;I641,I641*(1-'Trading Model'!$E$14),I641))</f>
        <v>16.625978798285779</v>
      </c>
      <c r="J642" s="198">
        <f t="shared" si="79"/>
        <v>0</v>
      </c>
      <c r="K642" s="198">
        <f t="shared" si="74"/>
        <v>0</v>
      </c>
      <c r="L642" s="198">
        <f>COUNTIF(J642:K642,"&lt;&gt;0")*-'Trading Model'!$E$15</f>
        <v>0</v>
      </c>
      <c r="M642" s="198">
        <f t="shared" si="72"/>
        <v>0</v>
      </c>
      <c r="N642" s="75">
        <f t="shared" si="75"/>
        <v>33</v>
      </c>
      <c r="O642" s="202">
        <f t="shared" si="76"/>
        <v>0</v>
      </c>
      <c r="P642" s="199">
        <f t="shared" si="73"/>
        <v>0</v>
      </c>
      <c r="Q642" s="203">
        <f t="shared" si="77"/>
        <v>69.100000000001756</v>
      </c>
      <c r="R642" s="201">
        <f>E642/B638-1</f>
        <v>-9.1188524590164022E-2</v>
      </c>
      <c r="S642" s="201">
        <f t="shared" si="78"/>
        <v>-3.4295098840767646E-2</v>
      </c>
    </row>
    <row r="643" spans="1:19">
      <c r="A643" s="196">
        <v>40897</v>
      </c>
      <c r="B643" s="122">
        <v>18.010000000000002</v>
      </c>
      <c r="C643" s="122">
        <v>18.440000999999999</v>
      </c>
      <c r="D643" s="122">
        <v>17.129999000000002</v>
      </c>
      <c r="E643" s="122">
        <v>17.600000000000001</v>
      </c>
      <c r="F643" s="122">
        <v>12.381675</v>
      </c>
      <c r="G643" s="197">
        <v>736800</v>
      </c>
      <c r="H643" s="198">
        <f>IF(AND(E642&gt;=H642,E643&gt;=E642),E642*(1+'Trading Model'!$E$13),IF(AND(E643&lt;E642,E642&gt;=H642),E643*(1+'Trading Model'!$E$13),H642))</f>
        <v>27.698998950000004</v>
      </c>
      <c r="I643" s="198">
        <f>IF(K643&gt;0,E643*(1-'Trading Model'!E653),IF(E643&lt;I642,I642*(1-'Trading Model'!$E$14),I642))</f>
        <v>16.625978798285779</v>
      </c>
      <c r="J643" s="198">
        <f t="shared" si="79"/>
        <v>0</v>
      </c>
      <c r="K643" s="198">
        <f t="shared" si="74"/>
        <v>0</v>
      </c>
      <c r="L643" s="198">
        <f>COUNTIF(J643:K643,"&lt;&gt;0")*-'Trading Model'!$E$15</f>
        <v>0</v>
      </c>
      <c r="M643" s="198">
        <f t="shared" ref="M643:M706" si="80">SUM(J643:L643)</f>
        <v>0</v>
      </c>
      <c r="N643" s="75">
        <f t="shared" si="75"/>
        <v>33</v>
      </c>
      <c r="O643" s="202">
        <f t="shared" si="76"/>
        <v>0</v>
      </c>
      <c r="P643" s="199">
        <f t="shared" ref="P643:P706" si="81">IFERROR(VLOOKUP(A643,Dividends,2,FALSE),$U$1)</f>
        <v>0</v>
      </c>
      <c r="Q643" s="203">
        <f t="shared" si="77"/>
        <v>69.000000000001762</v>
      </c>
      <c r="R643" s="160" t="s">
        <v>55</v>
      </c>
      <c r="S643" s="201">
        <f t="shared" si="78"/>
        <v>-7.8917700112738354E-3</v>
      </c>
    </row>
    <row r="644" spans="1:19">
      <c r="A644" s="196">
        <v>40898</v>
      </c>
      <c r="B644" s="122">
        <v>17.629999000000002</v>
      </c>
      <c r="C644" s="122">
        <v>18.100000000000001</v>
      </c>
      <c r="D644" s="122">
        <v>17.629999000000002</v>
      </c>
      <c r="E644" s="122">
        <v>18.059999000000001</v>
      </c>
      <c r="F644" s="122">
        <v>12.705289</v>
      </c>
      <c r="G644" s="197">
        <v>336800</v>
      </c>
      <c r="H644" s="198">
        <f>IF(AND(E643&gt;=H643,E644&gt;=E643),E643*(1+'Trading Model'!$E$13),IF(AND(E644&lt;E643,E643&gt;=H643),E644*(1+'Trading Model'!$E$13),H643))</f>
        <v>27.698998950000004</v>
      </c>
      <c r="I644" s="198">
        <f>IF(K644&gt;0,E644*(1-'Trading Model'!E654),IF(E644&lt;I643,I643*(1-'Trading Model'!$E$14),I643))</f>
        <v>16.625978798285779</v>
      </c>
      <c r="J644" s="198">
        <f t="shared" si="79"/>
        <v>0</v>
      </c>
      <c r="K644" s="198">
        <f t="shared" ref="K644:K707" si="82">IF(E644&gt;=H644,E644,0)</f>
        <v>0</v>
      </c>
      <c r="L644" s="198">
        <f>COUNTIF(J644:K644,"&lt;&gt;0")*-'Trading Model'!$E$15</f>
        <v>0</v>
      </c>
      <c r="M644" s="198">
        <f t="shared" si="80"/>
        <v>0</v>
      </c>
      <c r="N644" s="75">
        <f t="shared" ref="N644:N707" si="83">IF(AND(J644&lt;0,K644&gt;0),N643,(IF(J644&lt;0,N643+1,IF(K644&gt;0,N643+1,N643))))</f>
        <v>33</v>
      </c>
      <c r="O644" s="202">
        <f t="shared" ref="O644:O707" si="84">P644</f>
        <v>0</v>
      </c>
      <c r="P644" s="199">
        <f t="shared" si="81"/>
        <v>0</v>
      </c>
      <c r="Q644" s="203">
        <f t="shared" ref="Q644:Q707" si="85">IF(E644&lt;E643,Q643-0.1,Q643)</f>
        <v>69.000000000001762</v>
      </c>
      <c r="R644" s="203" t="s">
        <v>55</v>
      </c>
      <c r="S644" s="201">
        <f t="shared" ref="S644:S707" si="86">E644/E643-1</f>
        <v>2.6136306818181909E-2</v>
      </c>
    </row>
    <row r="645" spans="1:19">
      <c r="A645" s="196">
        <v>40899</v>
      </c>
      <c r="B645" s="122">
        <v>18.200001</v>
      </c>
      <c r="C645" s="122">
        <v>18.600000000000001</v>
      </c>
      <c r="D645" s="122">
        <v>18</v>
      </c>
      <c r="E645" s="122">
        <v>18.25</v>
      </c>
      <c r="F645" s="122">
        <v>12.838953</v>
      </c>
      <c r="G645" s="197">
        <v>292300</v>
      </c>
      <c r="H645" s="198">
        <f>IF(AND(E644&gt;=H644,E645&gt;=E644),E644*(1+'Trading Model'!$E$13),IF(AND(E645&lt;E644,E644&gt;=H644),E645*(1+'Trading Model'!$E$13),H644))</f>
        <v>27.698998950000004</v>
      </c>
      <c r="I645" s="198">
        <f>IF(K645&gt;0,E645*(1-'Trading Model'!E655),IF(E645&lt;I644,I644*(1-'Trading Model'!$E$14),I644))</f>
        <v>16.625978798285779</v>
      </c>
      <c r="J645" s="198">
        <f t="shared" ref="J645:J708" si="87">IF(E645&gt;=H645,-E645,IF(E645&lt;=I644,-E645,0))</f>
        <v>0</v>
      </c>
      <c r="K645" s="198">
        <f t="shared" si="82"/>
        <v>0</v>
      </c>
      <c r="L645" s="198">
        <f>COUNTIF(J645:K645,"&lt;&gt;0")*-'Trading Model'!$E$15</f>
        <v>0</v>
      </c>
      <c r="M645" s="198">
        <f t="shared" si="80"/>
        <v>0</v>
      </c>
      <c r="N645" s="75">
        <f t="shared" si="83"/>
        <v>33</v>
      </c>
      <c r="O645" s="202">
        <f t="shared" si="84"/>
        <v>0</v>
      </c>
      <c r="P645" s="199">
        <f t="shared" si="81"/>
        <v>0</v>
      </c>
      <c r="Q645" s="203">
        <f t="shared" si="85"/>
        <v>69.000000000001762</v>
      </c>
      <c r="R645" s="203" t="s">
        <v>55</v>
      </c>
      <c r="S645" s="201">
        <f t="shared" si="86"/>
        <v>1.0520543218191625E-2</v>
      </c>
    </row>
    <row r="646" spans="1:19">
      <c r="A646" s="196">
        <v>40900</v>
      </c>
      <c r="B646" s="122">
        <v>18.379999000000002</v>
      </c>
      <c r="C646" s="122">
        <v>18.420000000000002</v>
      </c>
      <c r="D646" s="122">
        <v>18.049999</v>
      </c>
      <c r="E646" s="122">
        <v>18.129999000000002</v>
      </c>
      <c r="F646" s="122">
        <v>12.754531</v>
      </c>
      <c r="G646" s="197">
        <v>113700</v>
      </c>
      <c r="H646" s="198">
        <f>IF(AND(E645&gt;=H645,E646&gt;=E645),E645*(1+'Trading Model'!$E$13),IF(AND(E646&lt;E645,E645&gt;=H645),E646*(1+'Trading Model'!$E$13),H645))</f>
        <v>27.698998950000004</v>
      </c>
      <c r="I646" s="198">
        <f>IF(K646&gt;0,E646*(1-'Trading Model'!E656),IF(E646&lt;I645,I645*(1-'Trading Model'!$E$14),I645))</f>
        <v>16.625978798285779</v>
      </c>
      <c r="J646" s="198">
        <f t="shared" si="87"/>
        <v>0</v>
      </c>
      <c r="K646" s="198">
        <f t="shared" si="82"/>
        <v>0</v>
      </c>
      <c r="L646" s="198">
        <f>COUNTIF(J646:K646,"&lt;&gt;0")*-'Trading Model'!$E$15</f>
        <v>0</v>
      </c>
      <c r="M646" s="198">
        <f t="shared" si="80"/>
        <v>0</v>
      </c>
      <c r="N646" s="75">
        <f t="shared" si="83"/>
        <v>33</v>
      </c>
      <c r="O646" s="202">
        <f t="shared" si="84"/>
        <v>0</v>
      </c>
      <c r="P646" s="199">
        <f t="shared" si="81"/>
        <v>0</v>
      </c>
      <c r="Q646" s="203">
        <f t="shared" si="85"/>
        <v>68.900000000001768</v>
      </c>
      <c r="R646" s="203" t="s">
        <v>55</v>
      </c>
      <c r="S646" s="201">
        <f t="shared" si="86"/>
        <v>-6.5753972602738964E-3</v>
      </c>
    </row>
    <row r="647" spans="1:19">
      <c r="A647" s="196">
        <v>40904</v>
      </c>
      <c r="B647" s="122">
        <v>18.129999000000002</v>
      </c>
      <c r="C647" s="122">
        <v>18.280000999999999</v>
      </c>
      <c r="D647" s="122">
        <v>17.920000000000002</v>
      </c>
      <c r="E647" s="122">
        <v>18.09</v>
      </c>
      <c r="F647" s="122">
        <v>12.726392000000001</v>
      </c>
      <c r="G647" s="197">
        <v>203200</v>
      </c>
      <c r="H647" s="198">
        <f>IF(AND(E646&gt;=H646,E647&gt;=E646),E646*(1+'Trading Model'!$E$13),IF(AND(E647&lt;E646,E646&gt;=H646),E647*(1+'Trading Model'!$E$13),H646))</f>
        <v>27.698998950000004</v>
      </c>
      <c r="I647" s="198">
        <f>IF(K647&gt;0,E647*(1-'Trading Model'!E657),IF(E647&lt;I646,I646*(1-'Trading Model'!$E$14),I646))</f>
        <v>16.625978798285779</v>
      </c>
      <c r="J647" s="198">
        <f t="shared" si="87"/>
        <v>0</v>
      </c>
      <c r="K647" s="198">
        <f t="shared" si="82"/>
        <v>0</v>
      </c>
      <c r="L647" s="198">
        <f>COUNTIF(J647:K647,"&lt;&gt;0")*-'Trading Model'!$E$15</f>
        <v>0</v>
      </c>
      <c r="M647" s="198">
        <f t="shared" si="80"/>
        <v>0</v>
      </c>
      <c r="N647" s="75">
        <f t="shared" si="83"/>
        <v>33</v>
      </c>
      <c r="O647" s="202">
        <f t="shared" si="84"/>
        <v>0</v>
      </c>
      <c r="P647" s="199">
        <f t="shared" si="81"/>
        <v>0</v>
      </c>
      <c r="Q647" s="203">
        <f t="shared" si="85"/>
        <v>68.800000000001774</v>
      </c>
      <c r="R647" s="201">
        <f>E647/B643-1</f>
        <v>4.441976679622428E-3</v>
      </c>
      <c r="S647" s="201">
        <f t="shared" si="86"/>
        <v>-2.2062328850653845E-3</v>
      </c>
    </row>
    <row r="648" spans="1:19">
      <c r="A648" s="196">
        <v>40905</v>
      </c>
      <c r="B648" s="122">
        <v>18.100000000000001</v>
      </c>
      <c r="C648" s="122">
        <v>18.16</v>
      </c>
      <c r="D648" s="122">
        <v>17.629999000000002</v>
      </c>
      <c r="E648" s="122">
        <v>17.799999</v>
      </c>
      <c r="F648" s="122">
        <v>12.522375</v>
      </c>
      <c r="G648" s="197">
        <v>221600</v>
      </c>
      <c r="H648" s="198">
        <f>IF(AND(E647&gt;=H647,E648&gt;=E647),E647*(1+'Trading Model'!$E$13),IF(AND(E648&lt;E647,E647&gt;=H647),E648*(1+'Trading Model'!$E$13),H647))</f>
        <v>27.698998950000004</v>
      </c>
      <c r="I648" s="198">
        <f>IF(K648&gt;0,E648*(1-'Trading Model'!E658),IF(E648&lt;I647,I647*(1-'Trading Model'!$E$14),I647))</f>
        <v>16.625978798285779</v>
      </c>
      <c r="J648" s="198">
        <f t="shared" si="87"/>
        <v>0</v>
      </c>
      <c r="K648" s="198">
        <f t="shared" si="82"/>
        <v>0</v>
      </c>
      <c r="L648" s="198">
        <f>COUNTIF(J648:K648,"&lt;&gt;0")*-'Trading Model'!$E$15</f>
        <v>0</v>
      </c>
      <c r="M648" s="198">
        <f t="shared" si="80"/>
        <v>0</v>
      </c>
      <c r="N648" s="75">
        <f t="shared" si="83"/>
        <v>33</v>
      </c>
      <c r="O648" s="202">
        <f t="shared" si="84"/>
        <v>0</v>
      </c>
      <c r="P648" s="199">
        <f t="shared" si="81"/>
        <v>0</v>
      </c>
      <c r="Q648" s="203">
        <f t="shared" si="85"/>
        <v>68.700000000001779</v>
      </c>
      <c r="R648" s="160" t="s">
        <v>55</v>
      </c>
      <c r="S648" s="201">
        <f t="shared" si="86"/>
        <v>-1.6031011608623524E-2</v>
      </c>
    </row>
    <row r="649" spans="1:19">
      <c r="A649" s="196">
        <v>40906</v>
      </c>
      <c r="B649" s="122">
        <v>17.870000999999998</v>
      </c>
      <c r="C649" s="122">
        <v>18.040001</v>
      </c>
      <c r="D649" s="122">
        <v>17.690000999999999</v>
      </c>
      <c r="E649" s="122">
        <v>17.920000000000002</v>
      </c>
      <c r="F649" s="122">
        <v>12.606795</v>
      </c>
      <c r="G649" s="197">
        <v>160100</v>
      </c>
      <c r="H649" s="198">
        <f>IF(AND(E648&gt;=H648,E649&gt;=E648),E648*(1+'Trading Model'!$E$13),IF(AND(E649&lt;E648,E648&gt;=H648),E649*(1+'Trading Model'!$E$13),H648))</f>
        <v>27.698998950000004</v>
      </c>
      <c r="I649" s="198">
        <f>IF(K649&gt;0,E649*(1-'Trading Model'!E659),IF(E649&lt;I648,I648*(1-'Trading Model'!$E$14),I648))</f>
        <v>16.625978798285779</v>
      </c>
      <c r="J649" s="198">
        <f t="shared" si="87"/>
        <v>0</v>
      </c>
      <c r="K649" s="198">
        <f t="shared" si="82"/>
        <v>0</v>
      </c>
      <c r="L649" s="198">
        <f>COUNTIF(J649:K649,"&lt;&gt;0")*-'Trading Model'!$E$15</f>
        <v>0</v>
      </c>
      <c r="M649" s="198">
        <f t="shared" si="80"/>
        <v>0</v>
      </c>
      <c r="N649" s="75">
        <f t="shared" si="83"/>
        <v>33</v>
      </c>
      <c r="O649" s="202">
        <f t="shared" si="84"/>
        <v>0</v>
      </c>
      <c r="P649" s="199">
        <f t="shared" si="81"/>
        <v>0</v>
      </c>
      <c r="Q649" s="203">
        <f t="shared" si="85"/>
        <v>68.700000000001779</v>
      </c>
      <c r="R649" s="203" t="s">
        <v>55</v>
      </c>
      <c r="S649" s="201">
        <f t="shared" si="86"/>
        <v>6.7416295922264613E-3</v>
      </c>
    </row>
    <row r="650" spans="1:19">
      <c r="A650" s="196">
        <v>40907</v>
      </c>
      <c r="B650" s="122">
        <v>17.760000000000002</v>
      </c>
      <c r="C650" s="122">
        <v>18.149999999999999</v>
      </c>
      <c r="D650" s="122">
        <v>17.760000000000002</v>
      </c>
      <c r="E650" s="122">
        <v>17.879999000000002</v>
      </c>
      <c r="F650" s="122">
        <v>12.578656000000001</v>
      </c>
      <c r="G650" s="197">
        <v>211000</v>
      </c>
      <c r="H650" s="198">
        <f>IF(AND(E649&gt;=H649,E650&gt;=E649),E649*(1+'Trading Model'!$E$13),IF(AND(E650&lt;E649,E649&gt;=H649),E650*(1+'Trading Model'!$E$13),H649))</f>
        <v>27.698998950000004</v>
      </c>
      <c r="I650" s="198">
        <f>IF(K650&gt;0,E650*(1-'Trading Model'!E660),IF(E650&lt;I649,I649*(1-'Trading Model'!$E$14),I649))</f>
        <v>16.625978798285779</v>
      </c>
      <c r="J650" s="198">
        <f t="shared" si="87"/>
        <v>0</v>
      </c>
      <c r="K650" s="198">
        <f t="shared" si="82"/>
        <v>0</v>
      </c>
      <c r="L650" s="198">
        <f>COUNTIF(J650:K650,"&lt;&gt;0")*-'Trading Model'!$E$15</f>
        <v>0</v>
      </c>
      <c r="M650" s="198">
        <f t="shared" si="80"/>
        <v>0</v>
      </c>
      <c r="N650" s="75">
        <f t="shared" si="83"/>
        <v>33</v>
      </c>
      <c r="O650" s="202">
        <f t="shared" si="84"/>
        <v>0</v>
      </c>
      <c r="P650" s="199">
        <f t="shared" si="81"/>
        <v>0</v>
      </c>
      <c r="Q650" s="203">
        <f t="shared" si="85"/>
        <v>68.600000000001785</v>
      </c>
      <c r="R650" s="203" t="s">
        <v>55</v>
      </c>
      <c r="S650" s="201">
        <f t="shared" si="86"/>
        <v>-2.2321986607143351E-3</v>
      </c>
    </row>
    <row r="651" spans="1:19">
      <c r="A651" s="196">
        <v>40911</v>
      </c>
      <c r="B651" s="122">
        <v>18.27</v>
      </c>
      <c r="C651" s="122">
        <v>18.719999000000001</v>
      </c>
      <c r="D651" s="122">
        <v>18.27</v>
      </c>
      <c r="E651" s="122">
        <v>18.600000000000001</v>
      </c>
      <c r="F651" s="122">
        <v>13.085179999999999</v>
      </c>
      <c r="G651" s="197">
        <v>213800</v>
      </c>
      <c r="H651" s="198">
        <f>IF(AND(E650&gt;=H650,E651&gt;=E650),E650*(1+'Trading Model'!$E$13),IF(AND(E651&lt;E650,E650&gt;=H650),E651*(1+'Trading Model'!$E$13),H650))</f>
        <v>27.698998950000004</v>
      </c>
      <c r="I651" s="198">
        <f>IF(K651&gt;0,E651*(1-'Trading Model'!E661),IF(E651&lt;I650,I650*(1-'Trading Model'!$E$14),I650))</f>
        <v>16.625978798285779</v>
      </c>
      <c r="J651" s="198">
        <f t="shared" si="87"/>
        <v>0</v>
      </c>
      <c r="K651" s="198">
        <f t="shared" si="82"/>
        <v>0</v>
      </c>
      <c r="L651" s="198">
        <f>COUNTIF(J651:K651,"&lt;&gt;0")*-'Trading Model'!$E$15</f>
        <v>0</v>
      </c>
      <c r="M651" s="198">
        <f t="shared" si="80"/>
        <v>0</v>
      </c>
      <c r="N651" s="75">
        <f t="shared" si="83"/>
        <v>33</v>
      </c>
      <c r="O651" s="202">
        <f t="shared" si="84"/>
        <v>0</v>
      </c>
      <c r="P651" s="199">
        <f t="shared" si="81"/>
        <v>0</v>
      </c>
      <c r="Q651" s="203">
        <f t="shared" si="85"/>
        <v>68.600000000001785</v>
      </c>
      <c r="R651" s="203" t="s">
        <v>55</v>
      </c>
      <c r="S651" s="201">
        <f t="shared" si="86"/>
        <v>4.0268514556404567E-2</v>
      </c>
    </row>
    <row r="652" spans="1:19">
      <c r="A652" s="196">
        <v>40912</v>
      </c>
      <c r="B652" s="122">
        <v>18.600000000000001</v>
      </c>
      <c r="C652" s="122">
        <v>19.620000999999998</v>
      </c>
      <c r="D652" s="122">
        <v>18.579999999999998</v>
      </c>
      <c r="E652" s="122">
        <v>19.600000000000001</v>
      </c>
      <c r="F652" s="122">
        <v>13.788684999999999</v>
      </c>
      <c r="G652" s="197">
        <v>418700</v>
      </c>
      <c r="H652" s="198">
        <f>IF(AND(E651&gt;=H651,E652&gt;=E651),E651*(1+'Trading Model'!$E$13),IF(AND(E652&lt;E651,E651&gt;=H651),E652*(1+'Trading Model'!$E$13),H651))</f>
        <v>27.698998950000004</v>
      </c>
      <c r="I652" s="198">
        <f>IF(K652&gt;0,E652*(1-'Trading Model'!E662),IF(E652&lt;I651,I651*(1-'Trading Model'!$E$14),I651))</f>
        <v>16.625978798285779</v>
      </c>
      <c r="J652" s="198">
        <f t="shared" si="87"/>
        <v>0</v>
      </c>
      <c r="K652" s="198">
        <f t="shared" si="82"/>
        <v>0</v>
      </c>
      <c r="L652" s="198">
        <f>COUNTIF(J652:K652,"&lt;&gt;0")*-'Trading Model'!$E$15</f>
        <v>0</v>
      </c>
      <c r="M652" s="198">
        <f t="shared" si="80"/>
        <v>0</v>
      </c>
      <c r="N652" s="75">
        <f t="shared" si="83"/>
        <v>33</v>
      </c>
      <c r="O652" s="202">
        <f t="shared" si="84"/>
        <v>0</v>
      </c>
      <c r="P652" s="199">
        <f t="shared" si="81"/>
        <v>0</v>
      </c>
      <c r="Q652" s="203">
        <f t="shared" si="85"/>
        <v>68.600000000001785</v>
      </c>
      <c r="R652" s="201">
        <f>E652/B648-1</f>
        <v>8.287292817679548E-2</v>
      </c>
      <c r="S652" s="201">
        <f t="shared" si="86"/>
        <v>5.3763440860215006E-2</v>
      </c>
    </row>
    <row r="653" spans="1:19">
      <c r="A653" s="196">
        <v>40913</v>
      </c>
      <c r="B653" s="122">
        <v>19.600000000000001</v>
      </c>
      <c r="C653" s="122">
        <v>19.600000000000001</v>
      </c>
      <c r="D653" s="122">
        <v>19.200001</v>
      </c>
      <c r="E653" s="122">
        <v>19.399999999999999</v>
      </c>
      <c r="F653" s="122">
        <v>13.647983</v>
      </c>
      <c r="G653" s="197">
        <v>282000</v>
      </c>
      <c r="H653" s="198">
        <f>IF(AND(E652&gt;=H652,E653&gt;=E652),E652*(1+'Trading Model'!$E$13),IF(AND(E653&lt;E652,E652&gt;=H652),E653*(1+'Trading Model'!$E$13),H652))</f>
        <v>27.698998950000004</v>
      </c>
      <c r="I653" s="198">
        <f>IF(K653&gt;0,E653*(1-'Trading Model'!E663),IF(E653&lt;I652,I652*(1-'Trading Model'!$E$14),I652))</f>
        <v>16.625978798285779</v>
      </c>
      <c r="J653" s="198">
        <f t="shared" si="87"/>
        <v>0</v>
      </c>
      <c r="K653" s="198">
        <f t="shared" si="82"/>
        <v>0</v>
      </c>
      <c r="L653" s="198">
        <f>COUNTIF(J653:K653,"&lt;&gt;0")*-'Trading Model'!$E$15</f>
        <v>0</v>
      </c>
      <c r="M653" s="198">
        <f t="shared" si="80"/>
        <v>0</v>
      </c>
      <c r="N653" s="75">
        <f t="shared" si="83"/>
        <v>33</v>
      </c>
      <c r="O653" s="202">
        <f t="shared" si="84"/>
        <v>0</v>
      </c>
      <c r="P653" s="199">
        <f t="shared" si="81"/>
        <v>0</v>
      </c>
      <c r="Q653" s="203">
        <f t="shared" si="85"/>
        <v>68.500000000001791</v>
      </c>
      <c r="R653" s="160" t="s">
        <v>55</v>
      </c>
      <c r="S653" s="201">
        <f t="shared" si="86"/>
        <v>-1.0204081632653184E-2</v>
      </c>
    </row>
    <row r="654" spans="1:19">
      <c r="A654" s="196">
        <v>40914</v>
      </c>
      <c r="B654" s="122">
        <v>19.440000999999999</v>
      </c>
      <c r="C654" s="122">
        <v>19.48</v>
      </c>
      <c r="D654" s="122">
        <v>19.120000999999998</v>
      </c>
      <c r="E654" s="122">
        <v>19.129999000000002</v>
      </c>
      <c r="F654" s="122">
        <v>13.458036</v>
      </c>
      <c r="G654" s="197">
        <v>188300</v>
      </c>
      <c r="H654" s="198">
        <f>IF(AND(E653&gt;=H653,E654&gt;=E653),E653*(1+'Trading Model'!$E$13),IF(AND(E654&lt;E653,E653&gt;=H653),E654*(1+'Trading Model'!$E$13),H653))</f>
        <v>27.698998950000004</v>
      </c>
      <c r="I654" s="198">
        <f>IF(K654&gt;0,E654*(1-'Trading Model'!E664),IF(E654&lt;I653,I653*(1-'Trading Model'!$E$14),I653))</f>
        <v>16.625978798285779</v>
      </c>
      <c r="J654" s="198">
        <f t="shared" si="87"/>
        <v>0</v>
      </c>
      <c r="K654" s="198">
        <f t="shared" si="82"/>
        <v>0</v>
      </c>
      <c r="L654" s="198">
        <f>COUNTIF(J654:K654,"&lt;&gt;0")*-'Trading Model'!$E$15</f>
        <v>0</v>
      </c>
      <c r="M654" s="198">
        <f t="shared" si="80"/>
        <v>0</v>
      </c>
      <c r="N654" s="75">
        <f t="shared" si="83"/>
        <v>33</v>
      </c>
      <c r="O654" s="202">
        <f t="shared" si="84"/>
        <v>0</v>
      </c>
      <c r="P654" s="199">
        <f t="shared" si="81"/>
        <v>0</v>
      </c>
      <c r="Q654" s="203">
        <f t="shared" si="85"/>
        <v>68.400000000001796</v>
      </c>
      <c r="R654" s="203" t="s">
        <v>55</v>
      </c>
      <c r="S654" s="201">
        <f t="shared" si="86"/>
        <v>-1.3917577319587426E-2</v>
      </c>
    </row>
    <row r="655" spans="1:19">
      <c r="A655" s="196">
        <v>40917</v>
      </c>
      <c r="B655" s="122">
        <v>19.190000999999999</v>
      </c>
      <c r="C655" s="122">
        <v>19.350000000000001</v>
      </c>
      <c r="D655" s="122">
        <v>18.940000999999999</v>
      </c>
      <c r="E655" s="122">
        <v>19.09</v>
      </c>
      <c r="F655" s="122">
        <v>13.429898</v>
      </c>
      <c r="G655" s="197">
        <v>250600</v>
      </c>
      <c r="H655" s="198">
        <f>IF(AND(E654&gt;=H654,E655&gt;=E654),E654*(1+'Trading Model'!$E$13),IF(AND(E655&lt;E654,E654&gt;=H654),E655*(1+'Trading Model'!$E$13),H654))</f>
        <v>27.698998950000004</v>
      </c>
      <c r="I655" s="198">
        <f>IF(K655&gt;0,E655*(1-'Trading Model'!E665),IF(E655&lt;I654,I654*(1-'Trading Model'!$E$14),I654))</f>
        <v>16.625978798285779</v>
      </c>
      <c r="J655" s="198">
        <f t="shared" si="87"/>
        <v>0</v>
      </c>
      <c r="K655" s="198">
        <f t="shared" si="82"/>
        <v>0</v>
      </c>
      <c r="L655" s="198">
        <f>COUNTIF(J655:K655,"&lt;&gt;0")*-'Trading Model'!$E$15</f>
        <v>0</v>
      </c>
      <c r="M655" s="198">
        <f t="shared" si="80"/>
        <v>0</v>
      </c>
      <c r="N655" s="75">
        <f t="shared" si="83"/>
        <v>33</v>
      </c>
      <c r="O655" s="202">
        <f t="shared" si="84"/>
        <v>0</v>
      </c>
      <c r="P655" s="199">
        <f t="shared" si="81"/>
        <v>0</v>
      </c>
      <c r="Q655" s="203">
        <f t="shared" si="85"/>
        <v>68.300000000001802</v>
      </c>
      <c r="R655" s="203" t="s">
        <v>55</v>
      </c>
      <c r="S655" s="201">
        <f t="shared" si="86"/>
        <v>-2.090904448034836E-3</v>
      </c>
    </row>
    <row r="656" spans="1:19">
      <c r="A656" s="196">
        <v>40918</v>
      </c>
      <c r="B656" s="122">
        <v>19.18</v>
      </c>
      <c r="C656" s="122">
        <v>20.41</v>
      </c>
      <c r="D656" s="122">
        <v>19.09</v>
      </c>
      <c r="E656" s="122">
        <v>20.27</v>
      </c>
      <c r="F656" s="122">
        <v>14.260031</v>
      </c>
      <c r="G656" s="197">
        <v>483600</v>
      </c>
      <c r="H656" s="198">
        <f>IF(AND(E655&gt;=H655,E656&gt;=E655),E655*(1+'Trading Model'!$E$13),IF(AND(E656&lt;E655,E655&gt;=H655),E656*(1+'Trading Model'!$E$13),H655))</f>
        <v>27.698998950000004</v>
      </c>
      <c r="I656" s="198">
        <f>IF(K656&gt;0,E656*(1-'Trading Model'!E666),IF(E656&lt;I655,I655*(1-'Trading Model'!$E$14),I655))</f>
        <v>16.625978798285779</v>
      </c>
      <c r="J656" s="198">
        <f t="shared" si="87"/>
        <v>0</v>
      </c>
      <c r="K656" s="198">
        <f t="shared" si="82"/>
        <v>0</v>
      </c>
      <c r="L656" s="198">
        <f>COUNTIF(J656:K656,"&lt;&gt;0")*-'Trading Model'!$E$15</f>
        <v>0</v>
      </c>
      <c r="M656" s="198">
        <f t="shared" si="80"/>
        <v>0</v>
      </c>
      <c r="N656" s="75">
        <f t="shared" si="83"/>
        <v>33</v>
      </c>
      <c r="O656" s="202">
        <f t="shared" si="84"/>
        <v>0</v>
      </c>
      <c r="P656" s="199">
        <f t="shared" si="81"/>
        <v>0</v>
      </c>
      <c r="Q656" s="203">
        <f t="shared" si="85"/>
        <v>68.300000000001802</v>
      </c>
      <c r="R656" s="203" t="s">
        <v>55</v>
      </c>
      <c r="S656" s="201">
        <f t="shared" si="86"/>
        <v>6.1812467260345727E-2</v>
      </c>
    </row>
    <row r="657" spans="1:19">
      <c r="A657" s="196">
        <v>40919</v>
      </c>
      <c r="B657" s="122">
        <v>20.09</v>
      </c>
      <c r="C657" s="122">
        <v>20.299999</v>
      </c>
      <c r="D657" s="122">
        <v>19.809999000000001</v>
      </c>
      <c r="E657" s="122">
        <v>20.120000999999998</v>
      </c>
      <c r="F657" s="122">
        <v>14.154506</v>
      </c>
      <c r="G657" s="197">
        <v>276000</v>
      </c>
      <c r="H657" s="198">
        <f>IF(AND(E656&gt;=H656,E657&gt;=E656),E656*(1+'Trading Model'!$E$13),IF(AND(E657&lt;E656,E656&gt;=H656),E657*(1+'Trading Model'!$E$13),H656))</f>
        <v>27.698998950000004</v>
      </c>
      <c r="I657" s="198">
        <f>IF(K657&gt;0,E657*(1-'Trading Model'!E667),IF(E657&lt;I656,I656*(1-'Trading Model'!$E$14),I656))</f>
        <v>16.625978798285779</v>
      </c>
      <c r="J657" s="198">
        <f t="shared" si="87"/>
        <v>0</v>
      </c>
      <c r="K657" s="198">
        <f t="shared" si="82"/>
        <v>0</v>
      </c>
      <c r="L657" s="198">
        <f>COUNTIF(J657:K657,"&lt;&gt;0")*-'Trading Model'!$E$15</f>
        <v>0</v>
      </c>
      <c r="M657" s="198">
        <f t="shared" si="80"/>
        <v>0</v>
      </c>
      <c r="N657" s="75">
        <f t="shared" si="83"/>
        <v>33</v>
      </c>
      <c r="O657" s="202">
        <f t="shared" si="84"/>
        <v>0</v>
      </c>
      <c r="P657" s="199">
        <f t="shared" si="81"/>
        <v>0</v>
      </c>
      <c r="Q657" s="203">
        <f t="shared" si="85"/>
        <v>68.200000000001808</v>
      </c>
      <c r="R657" s="201">
        <f>E657/B653-1</f>
        <v>2.6530663265305954E-2</v>
      </c>
      <c r="S657" s="201">
        <f t="shared" si="86"/>
        <v>-7.4000493339911877E-3</v>
      </c>
    </row>
    <row r="658" spans="1:19">
      <c r="A658" s="196">
        <v>40920</v>
      </c>
      <c r="B658" s="122">
        <v>20.190000999999999</v>
      </c>
      <c r="C658" s="122">
        <v>21.129999000000002</v>
      </c>
      <c r="D658" s="122">
        <v>20.190000999999999</v>
      </c>
      <c r="E658" s="122">
        <v>20.870000999999998</v>
      </c>
      <c r="F658" s="122">
        <v>14.682137000000001</v>
      </c>
      <c r="G658" s="197">
        <v>414200</v>
      </c>
      <c r="H658" s="198">
        <f>IF(AND(E657&gt;=H657,E658&gt;=E657),E657*(1+'Trading Model'!$E$13),IF(AND(E658&lt;E657,E657&gt;=H657),E658*(1+'Trading Model'!$E$13),H657))</f>
        <v>27.698998950000004</v>
      </c>
      <c r="I658" s="198">
        <f>IF(K658&gt;0,E658*(1-'Trading Model'!E668),IF(E658&lt;I657,I657*(1-'Trading Model'!$E$14),I657))</f>
        <v>16.625978798285779</v>
      </c>
      <c r="J658" s="198">
        <f t="shared" si="87"/>
        <v>0</v>
      </c>
      <c r="K658" s="198">
        <f t="shared" si="82"/>
        <v>0</v>
      </c>
      <c r="L658" s="198">
        <f>COUNTIF(J658:K658,"&lt;&gt;0")*-'Trading Model'!$E$15</f>
        <v>0</v>
      </c>
      <c r="M658" s="198">
        <f t="shared" si="80"/>
        <v>0</v>
      </c>
      <c r="N658" s="75">
        <f t="shared" si="83"/>
        <v>33</v>
      </c>
      <c r="O658" s="202">
        <f t="shared" si="84"/>
        <v>0</v>
      </c>
      <c r="P658" s="199">
        <f t="shared" si="81"/>
        <v>0</v>
      </c>
      <c r="Q658" s="203">
        <f t="shared" si="85"/>
        <v>68.200000000001808</v>
      </c>
      <c r="R658" s="160" t="s">
        <v>55</v>
      </c>
      <c r="S658" s="201">
        <f t="shared" si="86"/>
        <v>3.7276340095609317E-2</v>
      </c>
    </row>
    <row r="659" spans="1:19">
      <c r="A659" s="196">
        <v>40921</v>
      </c>
      <c r="B659" s="122">
        <v>20.870000999999998</v>
      </c>
      <c r="C659" s="122">
        <v>20.870000999999998</v>
      </c>
      <c r="D659" s="122">
        <v>20</v>
      </c>
      <c r="E659" s="122">
        <v>20.290001</v>
      </c>
      <c r="F659" s="122">
        <v>14.274103999999999</v>
      </c>
      <c r="G659" s="197">
        <v>180300</v>
      </c>
      <c r="H659" s="198">
        <f>IF(AND(E658&gt;=H658,E659&gt;=E658),E658*(1+'Trading Model'!$E$13),IF(AND(E659&lt;E658,E658&gt;=H658),E659*(1+'Trading Model'!$E$13),H658))</f>
        <v>27.698998950000004</v>
      </c>
      <c r="I659" s="198">
        <f>IF(K659&gt;0,E659*(1-'Trading Model'!E669),IF(E659&lt;I658,I658*(1-'Trading Model'!$E$14),I658))</f>
        <v>16.625978798285779</v>
      </c>
      <c r="J659" s="198">
        <f t="shared" si="87"/>
        <v>0</v>
      </c>
      <c r="K659" s="198">
        <f t="shared" si="82"/>
        <v>0</v>
      </c>
      <c r="L659" s="198">
        <f>COUNTIF(J659:K659,"&lt;&gt;0")*-'Trading Model'!$E$15</f>
        <v>0</v>
      </c>
      <c r="M659" s="198">
        <f t="shared" si="80"/>
        <v>0</v>
      </c>
      <c r="N659" s="75">
        <f t="shared" si="83"/>
        <v>33</v>
      </c>
      <c r="O659" s="202">
        <f t="shared" si="84"/>
        <v>0</v>
      </c>
      <c r="P659" s="199">
        <f t="shared" si="81"/>
        <v>0</v>
      </c>
      <c r="Q659" s="203">
        <f t="shared" si="85"/>
        <v>68.100000000001813</v>
      </c>
      <c r="R659" s="203" t="s">
        <v>55</v>
      </c>
      <c r="S659" s="201">
        <f t="shared" si="86"/>
        <v>-2.7791086354044703E-2</v>
      </c>
    </row>
    <row r="660" spans="1:19">
      <c r="A660" s="196">
        <v>40925</v>
      </c>
      <c r="B660" s="122">
        <v>20.51</v>
      </c>
      <c r="C660" s="122">
        <v>20.719999000000001</v>
      </c>
      <c r="D660" s="122">
        <v>20.27</v>
      </c>
      <c r="E660" s="122">
        <v>20.540001</v>
      </c>
      <c r="F660" s="122">
        <v>14.44998</v>
      </c>
      <c r="G660" s="197">
        <v>198400</v>
      </c>
      <c r="H660" s="198">
        <f>IF(AND(E659&gt;=H659,E660&gt;=E659),E659*(1+'Trading Model'!$E$13),IF(AND(E660&lt;E659,E659&gt;=H659),E660*(1+'Trading Model'!$E$13),H659))</f>
        <v>27.698998950000004</v>
      </c>
      <c r="I660" s="198">
        <f>IF(K660&gt;0,E660*(1-'Trading Model'!E670),IF(E660&lt;I659,I659*(1-'Trading Model'!$E$14),I659))</f>
        <v>16.625978798285779</v>
      </c>
      <c r="J660" s="198">
        <f t="shared" si="87"/>
        <v>0</v>
      </c>
      <c r="K660" s="198">
        <f t="shared" si="82"/>
        <v>0</v>
      </c>
      <c r="L660" s="198">
        <f>COUNTIF(J660:K660,"&lt;&gt;0")*-'Trading Model'!$E$15</f>
        <v>0</v>
      </c>
      <c r="M660" s="198">
        <f t="shared" si="80"/>
        <v>0</v>
      </c>
      <c r="N660" s="75">
        <f t="shared" si="83"/>
        <v>33</v>
      </c>
      <c r="O660" s="202">
        <f t="shared" si="84"/>
        <v>0</v>
      </c>
      <c r="P660" s="199">
        <f t="shared" si="81"/>
        <v>0</v>
      </c>
      <c r="Q660" s="203">
        <f t="shared" si="85"/>
        <v>68.100000000001813</v>
      </c>
      <c r="R660" s="203" t="s">
        <v>55</v>
      </c>
      <c r="S660" s="201">
        <f t="shared" si="86"/>
        <v>1.2321339954591393E-2</v>
      </c>
    </row>
    <row r="661" spans="1:19">
      <c r="A661" s="196">
        <v>40926</v>
      </c>
      <c r="B661" s="122">
        <v>20.540001</v>
      </c>
      <c r="C661" s="122">
        <v>21.110001</v>
      </c>
      <c r="D661" s="122">
        <v>20.34</v>
      </c>
      <c r="E661" s="122">
        <v>21.110001</v>
      </c>
      <c r="F661" s="122">
        <v>14.850974000000001</v>
      </c>
      <c r="G661" s="197">
        <v>303100</v>
      </c>
      <c r="H661" s="198">
        <f>IF(AND(E660&gt;=H660,E661&gt;=E660),E660*(1+'Trading Model'!$E$13),IF(AND(E661&lt;E660,E660&gt;=H660),E661*(1+'Trading Model'!$E$13),H660))</f>
        <v>27.698998950000004</v>
      </c>
      <c r="I661" s="198">
        <f>IF(K661&gt;0,E661*(1-'Trading Model'!E671),IF(E661&lt;I660,I660*(1-'Trading Model'!$E$14),I660))</f>
        <v>16.625978798285779</v>
      </c>
      <c r="J661" s="198">
        <f t="shared" si="87"/>
        <v>0</v>
      </c>
      <c r="K661" s="198">
        <f t="shared" si="82"/>
        <v>0</v>
      </c>
      <c r="L661" s="198">
        <f>COUNTIF(J661:K661,"&lt;&gt;0")*-'Trading Model'!$E$15</f>
        <v>0</v>
      </c>
      <c r="M661" s="198">
        <f t="shared" si="80"/>
        <v>0</v>
      </c>
      <c r="N661" s="75">
        <f t="shared" si="83"/>
        <v>33</v>
      </c>
      <c r="O661" s="202">
        <f t="shared" si="84"/>
        <v>0</v>
      </c>
      <c r="P661" s="199">
        <f t="shared" si="81"/>
        <v>0</v>
      </c>
      <c r="Q661" s="203">
        <f t="shared" si="85"/>
        <v>68.100000000001813</v>
      </c>
      <c r="R661" s="203" t="s">
        <v>55</v>
      </c>
      <c r="S661" s="201">
        <f t="shared" si="86"/>
        <v>2.7750728931317914E-2</v>
      </c>
    </row>
    <row r="662" spans="1:19">
      <c r="A662" s="196">
        <v>40927</v>
      </c>
      <c r="B662" s="122">
        <v>21.200001</v>
      </c>
      <c r="C662" s="122">
        <v>21.389999</v>
      </c>
      <c r="D662" s="122">
        <v>20.809999000000001</v>
      </c>
      <c r="E662" s="122">
        <v>21.370000999999998</v>
      </c>
      <c r="F662" s="122">
        <v>15.033886000000001</v>
      </c>
      <c r="G662" s="197">
        <v>300300</v>
      </c>
      <c r="H662" s="198">
        <f>IF(AND(E661&gt;=H661,E662&gt;=E661),E661*(1+'Trading Model'!$E$13),IF(AND(E662&lt;E661,E661&gt;=H661),E662*(1+'Trading Model'!$E$13),H661))</f>
        <v>27.698998950000004</v>
      </c>
      <c r="I662" s="198">
        <f>IF(K662&gt;0,E662*(1-'Trading Model'!E672),IF(E662&lt;I661,I661*(1-'Trading Model'!$E$14),I661))</f>
        <v>16.625978798285779</v>
      </c>
      <c r="J662" s="198">
        <f t="shared" si="87"/>
        <v>0</v>
      </c>
      <c r="K662" s="198">
        <f t="shared" si="82"/>
        <v>0</v>
      </c>
      <c r="L662" s="198">
        <f>COUNTIF(J662:K662,"&lt;&gt;0")*-'Trading Model'!$E$15</f>
        <v>0</v>
      </c>
      <c r="M662" s="198">
        <f t="shared" si="80"/>
        <v>0</v>
      </c>
      <c r="N662" s="75">
        <f t="shared" si="83"/>
        <v>33</v>
      </c>
      <c r="O662" s="202">
        <f t="shared" si="84"/>
        <v>0</v>
      </c>
      <c r="P662" s="199">
        <f t="shared" si="81"/>
        <v>0</v>
      </c>
      <c r="Q662" s="203">
        <f t="shared" si="85"/>
        <v>68.100000000001813</v>
      </c>
      <c r="R662" s="201">
        <f>E662/B658-1</f>
        <v>5.8444771746172686E-2</v>
      </c>
      <c r="S662" s="201">
        <f t="shared" si="86"/>
        <v>1.2316437123806701E-2</v>
      </c>
    </row>
    <row r="663" spans="1:19">
      <c r="A663" s="196">
        <v>40928</v>
      </c>
      <c r="B663" s="122">
        <v>21.32</v>
      </c>
      <c r="C663" s="122">
        <v>21.59</v>
      </c>
      <c r="D663" s="122">
        <v>21.299999</v>
      </c>
      <c r="E663" s="122">
        <v>21.58</v>
      </c>
      <c r="F663" s="122">
        <v>15.181622000000001</v>
      </c>
      <c r="G663" s="197">
        <v>264600</v>
      </c>
      <c r="H663" s="198">
        <f>IF(AND(E662&gt;=H662,E663&gt;=E662),E662*(1+'Trading Model'!$E$13),IF(AND(E663&lt;E662,E662&gt;=H662),E663*(1+'Trading Model'!$E$13),H662))</f>
        <v>27.698998950000004</v>
      </c>
      <c r="I663" s="198">
        <f>IF(K663&gt;0,E663*(1-'Trading Model'!E673),IF(E663&lt;I662,I662*(1-'Trading Model'!$E$14),I662))</f>
        <v>16.625978798285779</v>
      </c>
      <c r="J663" s="198">
        <f t="shared" si="87"/>
        <v>0</v>
      </c>
      <c r="K663" s="198">
        <f t="shared" si="82"/>
        <v>0</v>
      </c>
      <c r="L663" s="198">
        <f>COUNTIF(J663:K663,"&lt;&gt;0")*-'Trading Model'!$E$15</f>
        <v>0</v>
      </c>
      <c r="M663" s="198">
        <f t="shared" si="80"/>
        <v>0</v>
      </c>
      <c r="N663" s="75">
        <f t="shared" si="83"/>
        <v>33</v>
      </c>
      <c r="O663" s="202">
        <f t="shared" si="84"/>
        <v>0</v>
      </c>
      <c r="P663" s="199">
        <f t="shared" si="81"/>
        <v>0</v>
      </c>
      <c r="Q663" s="203">
        <f t="shared" si="85"/>
        <v>68.100000000001813</v>
      </c>
      <c r="R663" s="160" t="s">
        <v>55</v>
      </c>
      <c r="S663" s="201">
        <f t="shared" si="86"/>
        <v>9.8268128298169E-3</v>
      </c>
    </row>
    <row r="664" spans="1:19">
      <c r="A664" s="196">
        <v>40931</v>
      </c>
      <c r="B664" s="122">
        <v>21.790001</v>
      </c>
      <c r="C664" s="122">
        <v>21.790001</v>
      </c>
      <c r="D664" s="122">
        <v>21.299999</v>
      </c>
      <c r="E664" s="122">
        <v>21.620000999999998</v>
      </c>
      <c r="F664" s="122">
        <v>15.209764</v>
      </c>
      <c r="G664" s="197">
        <v>204600</v>
      </c>
      <c r="H664" s="198">
        <f>IF(AND(E663&gt;=H663,E664&gt;=E663),E663*(1+'Trading Model'!$E$13),IF(AND(E664&lt;E663,E663&gt;=H663),E664*(1+'Trading Model'!$E$13),H663))</f>
        <v>27.698998950000004</v>
      </c>
      <c r="I664" s="198">
        <f>IF(K664&gt;0,E664*(1-'Trading Model'!E674),IF(E664&lt;I663,I663*(1-'Trading Model'!$E$14),I663))</f>
        <v>16.625978798285779</v>
      </c>
      <c r="J664" s="198">
        <f t="shared" si="87"/>
        <v>0</v>
      </c>
      <c r="K664" s="198">
        <f t="shared" si="82"/>
        <v>0</v>
      </c>
      <c r="L664" s="198">
        <f>COUNTIF(J664:K664,"&lt;&gt;0")*-'Trading Model'!$E$15</f>
        <v>0</v>
      </c>
      <c r="M664" s="198">
        <f t="shared" si="80"/>
        <v>0</v>
      </c>
      <c r="N664" s="75">
        <f t="shared" si="83"/>
        <v>33</v>
      </c>
      <c r="O664" s="202">
        <f t="shared" si="84"/>
        <v>0</v>
      </c>
      <c r="P664" s="199">
        <f t="shared" si="81"/>
        <v>0</v>
      </c>
      <c r="Q664" s="203">
        <f t="shared" si="85"/>
        <v>68.100000000001813</v>
      </c>
      <c r="R664" s="203" t="s">
        <v>55</v>
      </c>
      <c r="S664" s="201">
        <f t="shared" si="86"/>
        <v>1.8536144578313873E-3</v>
      </c>
    </row>
    <row r="665" spans="1:19">
      <c r="A665" s="196">
        <v>40932</v>
      </c>
      <c r="B665" s="122">
        <v>21.610001</v>
      </c>
      <c r="C665" s="122">
        <v>21.76</v>
      </c>
      <c r="D665" s="122">
        <v>21.299999</v>
      </c>
      <c r="E665" s="122">
        <v>21.75</v>
      </c>
      <c r="F665" s="122">
        <v>15.301218</v>
      </c>
      <c r="G665" s="197">
        <v>239500</v>
      </c>
      <c r="H665" s="198">
        <f>IF(AND(E664&gt;=H664,E665&gt;=E664),E664*(1+'Trading Model'!$E$13),IF(AND(E665&lt;E664,E664&gt;=H664),E665*(1+'Trading Model'!$E$13),H664))</f>
        <v>27.698998950000004</v>
      </c>
      <c r="I665" s="198">
        <f>IF(K665&gt;0,E665*(1-'Trading Model'!E675),IF(E665&lt;I664,I664*(1-'Trading Model'!$E$14),I664))</f>
        <v>16.625978798285779</v>
      </c>
      <c r="J665" s="198">
        <f t="shared" si="87"/>
        <v>0</v>
      </c>
      <c r="K665" s="198">
        <f t="shared" si="82"/>
        <v>0</v>
      </c>
      <c r="L665" s="198">
        <f>COUNTIF(J665:K665,"&lt;&gt;0")*-'Trading Model'!$E$15</f>
        <v>0</v>
      </c>
      <c r="M665" s="198">
        <f t="shared" si="80"/>
        <v>0</v>
      </c>
      <c r="N665" s="75">
        <f t="shared" si="83"/>
        <v>33</v>
      </c>
      <c r="O665" s="202">
        <f t="shared" si="84"/>
        <v>0</v>
      </c>
      <c r="P665" s="199">
        <f t="shared" si="81"/>
        <v>0</v>
      </c>
      <c r="Q665" s="203">
        <f t="shared" si="85"/>
        <v>68.100000000001813</v>
      </c>
      <c r="R665" s="203" t="s">
        <v>55</v>
      </c>
      <c r="S665" s="201">
        <f t="shared" si="86"/>
        <v>6.012904439736122E-3</v>
      </c>
    </row>
    <row r="666" spans="1:19">
      <c r="A666" s="196">
        <v>40933</v>
      </c>
      <c r="B666" s="122">
        <v>21.76</v>
      </c>
      <c r="C666" s="122">
        <v>21.950001</v>
      </c>
      <c r="D666" s="122">
        <v>21.52</v>
      </c>
      <c r="E666" s="122">
        <v>21.93</v>
      </c>
      <c r="F666" s="122">
        <v>15.427851</v>
      </c>
      <c r="G666" s="197">
        <v>183000</v>
      </c>
      <c r="H666" s="198">
        <f>IF(AND(E665&gt;=H665,E666&gt;=E665),E665*(1+'Trading Model'!$E$13),IF(AND(E666&lt;E665,E665&gt;=H665),E666*(1+'Trading Model'!$E$13),H665))</f>
        <v>27.698998950000004</v>
      </c>
      <c r="I666" s="198">
        <f>IF(K666&gt;0,E666*(1-'Trading Model'!E676),IF(E666&lt;I665,I665*(1-'Trading Model'!$E$14),I665))</f>
        <v>16.625978798285779</v>
      </c>
      <c r="J666" s="198">
        <f t="shared" si="87"/>
        <v>0</v>
      </c>
      <c r="K666" s="198">
        <f t="shared" si="82"/>
        <v>0</v>
      </c>
      <c r="L666" s="198">
        <f>COUNTIF(J666:K666,"&lt;&gt;0")*-'Trading Model'!$E$15</f>
        <v>0</v>
      </c>
      <c r="M666" s="198">
        <f t="shared" si="80"/>
        <v>0</v>
      </c>
      <c r="N666" s="75">
        <f t="shared" si="83"/>
        <v>33</v>
      </c>
      <c r="O666" s="202">
        <f t="shared" si="84"/>
        <v>0</v>
      </c>
      <c r="P666" s="199">
        <f t="shared" si="81"/>
        <v>0</v>
      </c>
      <c r="Q666" s="203">
        <f t="shared" si="85"/>
        <v>68.100000000001813</v>
      </c>
      <c r="R666" s="203" t="s">
        <v>55</v>
      </c>
      <c r="S666" s="201">
        <f t="shared" si="86"/>
        <v>8.2758620689655782E-3</v>
      </c>
    </row>
    <row r="667" spans="1:19">
      <c r="A667" s="196">
        <v>40934</v>
      </c>
      <c r="B667" s="122">
        <v>21.959999</v>
      </c>
      <c r="C667" s="122">
        <v>22.33</v>
      </c>
      <c r="D667" s="122">
        <v>21.83</v>
      </c>
      <c r="E667" s="122">
        <v>21.91</v>
      </c>
      <c r="F667" s="122">
        <v>15.413779</v>
      </c>
      <c r="G667" s="197">
        <v>216300</v>
      </c>
      <c r="H667" s="198">
        <f>IF(AND(E666&gt;=H666,E667&gt;=E666),E666*(1+'Trading Model'!$E$13),IF(AND(E667&lt;E666,E666&gt;=H666),E667*(1+'Trading Model'!$E$13),H666))</f>
        <v>27.698998950000004</v>
      </c>
      <c r="I667" s="198">
        <f>IF(K667&gt;0,E667*(1-'Trading Model'!E677),IF(E667&lt;I666,I666*(1-'Trading Model'!$E$14),I666))</f>
        <v>16.625978798285779</v>
      </c>
      <c r="J667" s="198">
        <f t="shared" si="87"/>
        <v>0</v>
      </c>
      <c r="K667" s="198">
        <f t="shared" si="82"/>
        <v>0</v>
      </c>
      <c r="L667" s="198">
        <f>COUNTIF(J667:K667,"&lt;&gt;0")*-'Trading Model'!$E$15</f>
        <v>0</v>
      </c>
      <c r="M667" s="198">
        <f t="shared" si="80"/>
        <v>0</v>
      </c>
      <c r="N667" s="75">
        <f t="shared" si="83"/>
        <v>33</v>
      </c>
      <c r="O667" s="202">
        <f t="shared" si="84"/>
        <v>0</v>
      </c>
      <c r="P667" s="199">
        <f t="shared" si="81"/>
        <v>0</v>
      </c>
      <c r="Q667" s="203">
        <f t="shared" si="85"/>
        <v>68.000000000001819</v>
      </c>
      <c r="R667" s="201">
        <f>E667/B663-1</f>
        <v>2.7673545966228952E-2</v>
      </c>
      <c r="S667" s="201">
        <f t="shared" si="86"/>
        <v>-9.1199270405839528E-4</v>
      </c>
    </row>
    <row r="668" spans="1:19">
      <c r="A668" s="196">
        <v>40935</v>
      </c>
      <c r="B668" s="122">
        <v>21.92</v>
      </c>
      <c r="C668" s="122">
        <v>21.940000999999999</v>
      </c>
      <c r="D668" s="122">
        <v>21.48</v>
      </c>
      <c r="E668" s="122">
        <v>21.59</v>
      </c>
      <c r="F668" s="122">
        <v>15.188658</v>
      </c>
      <c r="G668" s="197">
        <v>171400</v>
      </c>
      <c r="H668" s="198">
        <f>IF(AND(E667&gt;=H667,E668&gt;=E667),E667*(1+'Trading Model'!$E$13),IF(AND(E668&lt;E667,E667&gt;=H667),E668*(1+'Trading Model'!$E$13),H667))</f>
        <v>27.698998950000004</v>
      </c>
      <c r="I668" s="198">
        <f>IF(K668&gt;0,E668*(1-'Trading Model'!E678),IF(E668&lt;I667,I667*(1-'Trading Model'!$E$14),I667))</f>
        <v>16.625978798285779</v>
      </c>
      <c r="J668" s="198">
        <f t="shared" si="87"/>
        <v>0</v>
      </c>
      <c r="K668" s="198">
        <f t="shared" si="82"/>
        <v>0</v>
      </c>
      <c r="L668" s="198">
        <f>COUNTIF(J668:K668,"&lt;&gt;0")*-'Trading Model'!$E$15</f>
        <v>0</v>
      </c>
      <c r="M668" s="198">
        <f t="shared" si="80"/>
        <v>0</v>
      </c>
      <c r="N668" s="75">
        <f t="shared" si="83"/>
        <v>33</v>
      </c>
      <c r="O668" s="202">
        <f t="shared" si="84"/>
        <v>0</v>
      </c>
      <c r="P668" s="199">
        <f t="shared" si="81"/>
        <v>0</v>
      </c>
      <c r="Q668" s="203">
        <f t="shared" si="85"/>
        <v>67.900000000001825</v>
      </c>
      <c r="R668" s="160" t="s">
        <v>55</v>
      </c>
      <c r="S668" s="201">
        <f t="shared" si="86"/>
        <v>-1.4605203103605691E-2</v>
      </c>
    </row>
    <row r="669" spans="1:19">
      <c r="A669" s="196">
        <v>40938</v>
      </c>
      <c r="B669" s="122">
        <v>21.5</v>
      </c>
      <c r="C669" s="122">
        <v>21.530000999999999</v>
      </c>
      <c r="D669" s="122">
        <v>20.9</v>
      </c>
      <c r="E669" s="122">
        <v>21.07</v>
      </c>
      <c r="F669" s="122">
        <v>14.822835</v>
      </c>
      <c r="G669" s="197">
        <v>255900</v>
      </c>
      <c r="H669" s="198">
        <f>IF(AND(E668&gt;=H668,E669&gt;=E668),E668*(1+'Trading Model'!$E$13),IF(AND(E669&lt;E668,E668&gt;=H668),E669*(1+'Trading Model'!$E$13),H668))</f>
        <v>27.698998950000004</v>
      </c>
      <c r="I669" s="198">
        <f>IF(K669&gt;0,E669*(1-'Trading Model'!E679),IF(E669&lt;I668,I668*(1-'Trading Model'!$E$14),I668))</f>
        <v>16.625978798285779</v>
      </c>
      <c r="J669" s="198">
        <f t="shared" si="87"/>
        <v>0</v>
      </c>
      <c r="K669" s="198">
        <f t="shared" si="82"/>
        <v>0</v>
      </c>
      <c r="L669" s="198">
        <f>COUNTIF(J669:K669,"&lt;&gt;0")*-'Trading Model'!$E$15</f>
        <v>0</v>
      </c>
      <c r="M669" s="198">
        <f t="shared" si="80"/>
        <v>0</v>
      </c>
      <c r="N669" s="75">
        <f t="shared" si="83"/>
        <v>33</v>
      </c>
      <c r="O669" s="202">
        <f t="shared" si="84"/>
        <v>0</v>
      </c>
      <c r="P669" s="199">
        <f t="shared" si="81"/>
        <v>0</v>
      </c>
      <c r="Q669" s="203">
        <f t="shared" si="85"/>
        <v>67.80000000000183</v>
      </c>
      <c r="R669" s="203" t="s">
        <v>55</v>
      </c>
      <c r="S669" s="201">
        <f t="shared" si="86"/>
        <v>-2.4085224641037462E-2</v>
      </c>
    </row>
    <row r="670" spans="1:19">
      <c r="A670" s="196">
        <v>40939</v>
      </c>
      <c r="B670" s="122">
        <v>21.389999</v>
      </c>
      <c r="C670" s="122">
        <v>21.690000999999999</v>
      </c>
      <c r="D670" s="122">
        <v>20.780000999999999</v>
      </c>
      <c r="E670" s="122">
        <v>20.950001</v>
      </c>
      <c r="F670" s="122">
        <v>14.738413</v>
      </c>
      <c r="G670" s="197">
        <v>147800</v>
      </c>
      <c r="H670" s="198">
        <f>IF(AND(E669&gt;=H669,E670&gt;=E669),E669*(1+'Trading Model'!$E$13),IF(AND(E670&lt;E669,E669&gt;=H669),E670*(1+'Trading Model'!$E$13),H669))</f>
        <v>27.698998950000004</v>
      </c>
      <c r="I670" s="198">
        <f>IF(K670&gt;0,E670*(1-'Trading Model'!E680),IF(E670&lt;I669,I669*(1-'Trading Model'!$E$14),I669))</f>
        <v>16.625978798285779</v>
      </c>
      <c r="J670" s="198">
        <f t="shared" si="87"/>
        <v>0</v>
      </c>
      <c r="K670" s="198">
        <f t="shared" si="82"/>
        <v>0</v>
      </c>
      <c r="L670" s="198">
        <f>COUNTIF(J670:K670,"&lt;&gt;0")*-'Trading Model'!$E$15</f>
        <v>0</v>
      </c>
      <c r="M670" s="198">
        <f t="shared" si="80"/>
        <v>0</v>
      </c>
      <c r="N670" s="75">
        <f t="shared" si="83"/>
        <v>33</v>
      </c>
      <c r="O670" s="202">
        <f t="shared" si="84"/>
        <v>0</v>
      </c>
      <c r="P670" s="199">
        <f t="shared" si="81"/>
        <v>0</v>
      </c>
      <c r="Q670" s="203">
        <f t="shared" si="85"/>
        <v>67.700000000001836</v>
      </c>
      <c r="R670" s="203" t="s">
        <v>55</v>
      </c>
      <c r="S670" s="201">
        <f t="shared" si="86"/>
        <v>-5.6952539155197268E-3</v>
      </c>
    </row>
    <row r="671" spans="1:19">
      <c r="A671" s="196">
        <v>40940</v>
      </c>
      <c r="B671" s="122">
        <v>21.15</v>
      </c>
      <c r="C671" s="122">
        <v>22</v>
      </c>
      <c r="D671" s="122">
        <v>21.15</v>
      </c>
      <c r="E671" s="122">
        <v>21.940000999999999</v>
      </c>
      <c r="F671" s="122">
        <v>15.434882999999999</v>
      </c>
      <c r="G671" s="197">
        <v>396400</v>
      </c>
      <c r="H671" s="198">
        <f>IF(AND(E670&gt;=H670,E671&gt;=E670),E670*(1+'Trading Model'!$E$13),IF(AND(E671&lt;E670,E670&gt;=H670),E671*(1+'Trading Model'!$E$13),H670))</f>
        <v>27.698998950000004</v>
      </c>
      <c r="I671" s="198">
        <f>IF(K671&gt;0,E671*(1-'Trading Model'!E681),IF(E671&lt;I670,I670*(1-'Trading Model'!$E$14),I670))</f>
        <v>16.625978798285779</v>
      </c>
      <c r="J671" s="198">
        <f t="shared" si="87"/>
        <v>0</v>
      </c>
      <c r="K671" s="198">
        <f t="shared" si="82"/>
        <v>0</v>
      </c>
      <c r="L671" s="198">
        <f>COUNTIF(J671:K671,"&lt;&gt;0")*-'Trading Model'!$E$15</f>
        <v>0</v>
      </c>
      <c r="M671" s="198">
        <f t="shared" si="80"/>
        <v>0</v>
      </c>
      <c r="N671" s="75">
        <f t="shared" si="83"/>
        <v>33</v>
      </c>
      <c r="O671" s="202">
        <f t="shared" si="84"/>
        <v>0</v>
      </c>
      <c r="P671" s="199">
        <f t="shared" si="81"/>
        <v>0</v>
      </c>
      <c r="Q671" s="203">
        <f t="shared" si="85"/>
        <v>67.700000000001836</v>
      </c>
      <c r="R671" s="203" t="s">
        <v>55</v>
      </c>
      <c r="S671" s="201">
        <f t="shared" si="86"/>
        <v>4.7255367672774717E-2</v>
      </c>
    </row>
    <row r="672" spans="1:19">
      <c r="A672" s="196">
        <v>40941</v>
      </c>
      <c r="B672" s="122">
        <v>22.26</v>
      </c>
      <c r="C672" s="122">
        <v>22.26</v>
      </c>
      <c r="D672" s="122">
        <v>21.77</v>
      </c>
      <c r="E672" s="122">
        <v>21.91</v>
      </c>
      <c r="F672" s="122">
        <v>15.413779</v>
      </c>
      <c r="G672" s="197">
        <v>341500</v>
      </c>
      <c r="H672" s="198">
        <f>IF(AND(E671&gt;=H671,E672&gt;=E671),E671*(1+'Trading Model'!$E$13),IF(AND(E672&lt;E671,E671&gt;=H671),E672*(1+'Trading Model'!$E$13),H671))</f>
        <v>27.698998950000004</v>
      </c>
      <c r="I672" s="198">
        <f>IF(K672&gt;0,E672*(1-'Trading Model'!E682),IF(E672&lt;I671,I671*(1-'Trading Model'!$E$14),I671))</f>
        <v>16.625978798285779</v>
      </c>
      <c r="J672" s="198">
        <f t="shared" si="87"/>
        <v>0</v>
      </c>
      <c r="K672" s="198">
        <f t="shared" si="82"/>
        <v>0</v>
      </c>
      <c r="L672" s="198">
        <f>COUNTIF(J672:K672,"&lt;&gt;0")*-'Trading Model'!$E$15</f>
        <v>0</v>
      </c>
      <c r="M672" s="198">
        <f t="shared" si="80"/>
        <v>0</v>
      </c>
      <c r="N672" s="75">
        <f t="shared" si="83"/>
        <v>33</v>
      </c>
      <c r="O672" s="202">
        <f t="shared" si="84"/>
        <v>0</v>
      </c>
      <c r="P672" s="199">
        <f t="shared" si="81"/>
        <v>0</v>
      </c>
      <c r="Q672" s="203">
        <f t="shared" si="85"/>
        <v>67.600000000001842</v>
      </c>
      <c r="R672" s="201">
        <f>E672/B668-1</f>
        <v>-4.5620437956206406E-4</v>
      </c>
      <c r="S672" s="201">
        <f t="shared" si="86"/>
        <v>-1.3674110589146915E-3</v>
      </c>
    </row>
    <row r="673" spans="1:19">
      <c r="A673" s="196">
        <v>40942</v>
      </c>
      <c r="B673" s="122">
        <v>22</v>
      </c>
      <c r="C673" s="122">
        <v>22.139999</v>
      </c>
      <c r="D673" s="122">
        <v>21.459999</v>
      </c>
      <c r="E673" s="122">
        <v>21.5</v>
      </c>
      <c r="F673" s="122">
        <v>15.125343000000001</v>
      </c>
      <c r="G673" s="197">
        <v>304900</v>
      </c>
      <c r="H673" s="198">
        <f>IF(AND(E672&gt;=H672,E673&gt;=E672),E672*(1+'Trading Model'!$E$13),IF(AND(E673&lt;E672,E672&gt;=H672),E673*(1+'Trading Model'!$E$13),H672))</f>
        <v>27.698998950000004</v>
      </c>
      <c r="I673" s="198">
        <f>IF(K673&gt;0,E673*(1-'Trading Model'!E683),IF(E673&lt;I672,I672*(1-'Trading Model'!$E$14),I672))</f>
        <v>16.625978798285779</v>
      </c>
      <c r="J673" s="198">
        <f t="shared" si="87"/>
        <v>0</v>
      </c>
      <c r="K673" s="198">
        <f t="shared" si="82"/>
        <v>0</v>
      </c>
      <c r="L673" s="198">
        <f>COUNTIF(J673:K673,"&lt;&gt;0")*-'Trading Model'!$E$15</f>
        <v>0</v>
      </c>
      <c r="M673" s="198">
        <f t="shared" si="80"/>
        <v>0</v>
      </c>
      <c r="N673" s="75">
        <f t="shared" si="83"/>
        <v>33</v>
      </c>
      <c r="O673" s="202">
        <f t="shared" si="84"/>
        <v>0</v>
      </c>
      <c r="P673" s="199">
        <f t="shared" si="81"/>
        <v>0</v>
      </c>
      <c r="Q673" s="203">
        <f t="shared" si="85"/>
        <v>67.500000000001847</v>
      </c>
      <c r="R673" s="160" t="s">
        <v>55</v>
      </c>
      <c r="S673" s="201">
        <f t="shared" si="86"/>
        <v>-1.8712916476494756E-2</v>
      </c>
    </row>
    <row r="674" spans="1:19">
      <c r="A674" s="196">
        <v>40945</v>
      </c>
      <c r="B674" s="122">
        <v>21.48</v>
      </c>
      <c r="C674" s="122">
        <v>21.5</v>
      </c>
      <c r="D674" s="122">
        <v>21.15</v>
      </c>
      <c r="E674" s="122">
        <v>21.32</v>
      </c>
      <c r="F674" s="122">
        <v>14.998711</v>
      </c>
      <c r="G674" s="197">
        <v>221800</v>
      </c>
      <c r="H674" s="198">
        <f>IF(AND(E673&gt;=H673,E674&gt;=E673),E673*(1+'Trading Model'!$E$13),IF(AND(E674&lt;E673,E673&gt;=H673),E674*(1+'Trading Model'!$E$13),H673))</f>
        <v>27.698998950000004</v>
      </c>
      <c r="I674" s="198">
        <f>IF(K674&gt;0,E674*(1-'Trading Model'!E684),IF(E674&lt;I673,I673*(1-'Trading Model'!$E$14),I673))</f>
        <v>16.625978798285779</v>
      </c>
      <c r="J674" s="198">
        <f t="shared" si="87"/>
        <v>0</v>
      </c>
      <c r="K674" s="198">
        <f t="shared" si="82"/>
        <v>0</v>
      </c>
      <c r="L674" s="198">
        <f>COUNTIF(J674:K674,"&lt;&gt;0")*-'Trading Model'!$E$15</f>
        <v>0</v>
      </c>
      <c r="M674" s="198">
        <f t="shared" si="80"/>
        <v>0</v>
      </c>
      <c r="N674" s="75">
        <f t="shared" si="83"/>
        <v>33</v>
      </c>
      <c r="O674" s="202">
        <f t="shared" si="84"/>
        <v>0</v>
      </c>
      <c r="P674" s="199">
        <f t="shared" si="81"/>
        <v>0</v>
      </c>
      <c r="Q674" s="203">
        <f t="shared" si="85"/>
        <v>67.400000000001853</v>
      </c>
      <c r="R674" s="203" t="s">
        <v>55</v>
      </c>
      <c r="S674" s="201">
        <f t="shared" si="86"/>
        <v>-8.3720930232558111E-3</v>
      </c>
    </row>
    <row r="675" spans="1:19">
      <c r="A675" s="196">
        <v>40946</v>
      </c>
      <c r="B675" s="122">
        <v>21.360001</v>
      </c>
      <c r="C675" s="122">
        <v>21.379999000000002</v>
      </c>
      <c r="D675" s="122">
        <v>20.49</v>
      </c>
      <c r="E675" s="122">
        <v>20.530000999999999</v>
      </c>
      <c r="F675" s="122">
        <v>14.442944000000001</v>
      </c>
      <c r="G675" s="197">
        <v>377600</v>
      </c>
      <c r="H675" s="198">
        <f>IF(AND(E674&gt;=H674,E675&gt;=E674),E674*(1+'Trading Model'!$E$13),IF(AND(E675&lt;E674,E674&gt;=H674),E675*(1+'Trading Model'!$E$13),H674))</f>
        <v>27.698998950000004</v>
      </c>
      <c r="I675" s="198">
        <f>IF(K675&gt;0,E675*(1-'Trading Model'!E685),IF(E675&lt;I674,I674*(1-'Trading Model'!$E$14),I674))</f>
        <v>16.625978798285779</v>
      </c>
      <c r="J675" s="198">
        <f t="shared" si="87"/>
        <v>0</v>
      </c>
      <c r="K675" s="198">
        <f t="shared" si="82"/>
        <v>0</v>
      </c>
      <c r="L675" s="198">
        <f>COUNTIF(J675:K675,"&lt;&gt;0")*-'Trading Model'!$E$15</f>
        <v>0</v>
      </c>
      <c r="M675" s="198">
        <f t="shared" si="80"/>
        <v>0</v>
      </c>
      <c r="N675" s="75">
        <f t="shared" si="83"/>
        <v>33</v>
      </c>
      <c r="O675" s="202">
        <f t="shared" si="84"/>
        <v>0</v>
      </c>
      <c r="P675" s="199">
        <f t="shared" si="81"/>
        <v>0</v>
      </c>
      <c r="Q675" s="203">
        <f t="shared" si="85"/>
        <v>67.300000000001859</v>
      </c>
      <c r="R675" s="203" t="s">
        <v>55</v>
      </c>
      <c r="S675" s="201">
        <f t="shared" si="86"/>
        <v>-3.7054362101313409E-2</v>
      </c>
    </row>
    <row r="676" spans="1:19">
      <c r="A676" s="196">
        <v>40947</v>
      </c>
      <c r="B676" s="122">
        <v>20.629999000000002</v>
      </c>
      <c r="C676" s="122">
        <v>20.67</v>
      </c>
      <c r="D676" s="122">
        <v>20.100000000000001</v>
      </c>
      <c r="E676" s="122">
        <v>20.27</v>
      </c>
      <c r="F676" s="122">
        <v>14.260031</v>
      </c>
      <c r="G676" s="197">
        <v>314100</v>
      </c>
      <c r="H676" s="198">
        <f>IF(AND(E675&gt;=H675,E676&gt;=E675),E675*(1+'Trading Model'!$E$13),IF(AND(E676&lt;E675,E675&gt;=H675),E676*(1+'Trading Model'!$E$13),H675))</f>
        <v>27.698998950000004</v>
      </c>
      <c r="I676" s="198">
        <f>IF(K676&gt;0,E676*(1-'Trading Model'!E686),IF(E676&lt;I675,I675*(1-'Trading Model'!$E$14),I675))</f>
        <v>16.625978798285779</v>
      </c>
      <c r="J676" s="198">
        <f t="shared" si="87"/>
        <v>0</v>
      </c>
      <c r="K676" s="198">
        <f t="shared" si="82"/>
        <v>0</v>
      </c>
      <c r="L676" s="198">
        <f>COUNTIF(J676:K676,"&lt;&gt;0")*-'Trading Model'!$E$15</f>
        <v>0</v>
      </c>
      <c r="M676" s="198">
        <f t="shared" si="80"/>
        <v>0</v>
      </c>
      <c r="N676" s="75">
        <f t="shared" si="83"/>
        <v>33</v>
      </c>
      <c r="O676" s="202">
        <f t="shared" si="84"/>
        <v>0</v>
      </c>
      <c r="P676" s="199">
        <f t="shared" si="81"/>
        <v>0</v>
      </c>
      <c r="Q676" s="203">
        <f t="shared" si="85"/>
        <v>67.200000000001864</v>
      </c>
      <c r="R676" s="203" t="s">
        <v>55</v>
      </c>
      <c r="S676" s="201">
        <f t="shared" si="86"/>
        <v>-1.2664441662715853E-2</v>
      </c>
    </row>
    <row r="677" spans="1:19">
      <c r="A677" s="196">
        <v>40948</v>
      </c>
      <c r="B677" s="122">
        <v>20.34</v>
      </c>
      <c r="C677" s="122">
        <v>20.459999</v>
      </c>
      <c r="D677" s="122">
        <v>19.870000999999998</v>
      </c>
      <c r="E677" s="122">
        <v>20.059999000000001</v>
      </c>
      <c r="F677" s="122">
        <v>14.112294</v>
      </c>
      <c r="G677" s="197">
        <v>372300</v>
      </c>
      <c r="H677" s="198">
        <f>IF(AND(E676&gt;=H676,E677&gt;=E676),E676*(1+'Trading Model'!$E$13),IF(AND(E677&lt;E676,E676&gt;=H676),E677*(1+'Trading Model'!$E$13),H676))</f>
        <v>27.698998950000004</v>
      </c>
      <c r="I677" s="198">
        <f>IF(K677&gt;0,E677*(1-'Trading Model'!E687),IF(E677&lt;I676,I676*(1-'Trading Model'!$E$14),I676))</f>
        <v>16.625978798285779</v>
      </c>
      <c r="J677" s="198">
        <f t="shared" si="87"/>
        <v>0</v>
      </c>
      <c r="K677" s="198">
        <f t="shared" si="82"/>
        <v>0</v>
      </c>
      <c r="L677" s="198">
        <f>COUNTIF(J677:K677,"&lt;&gt;0")*-'Trading Model'!$E$15</f>
        <v>0</v>
      </c>
      <c r="M677" s="198">
        <f t="shared" si="80"/>
        <v>0</v>
      </c>
      <c r="N677" s="75">
        <f t="shared" si="83"/>
        <v>33</v>
      </c>
      <c r="O677" s="202">
        <f t="shared" si="84"/>
        <v>0</v>
      </c>
      <c r="P677" s="199">
        <f t="shared" si="81"/>
        <v>0</v>
      </c>
      <c r="Q677" s="203">
        <f t="shared" si="85"/>
        <v>67.10000000000187</v>
      </c>
      <c r="R677" s="201">
        <f>E677/B673-1</f>
        <v>-8.81818636363636E-2</v>
      </c>
      <c r="S677" s="201">
        <f t="shared" si="86"/>
        <v>-1.0360187469166227E-2</v>
      </c>
    </row>
    <row r="678" spans="1:19">
      <c r="A678" s="196">
        <v>40949</v>
      </c>
      <c r="B678" s="122">
        <v>19.91</v>
      </c>
      <c r="C678" s="122">
        <v>20</v>
      </c>
      <c r="D678" s="122">
        <v>19.649999999999999</v>
      </c>
      <c r="E678" s="122">
        <v>19.940000999999999</v>
      </c>
      <c r="F678" s="122">
        <v>14.027875</v>
      </c>
      <c r="G678" s="197">
        <v>199200</v>
      </c>
      <c r="H678" s="198">
        <f>IF(AND(E677&gt;=H677,E678&gt;=E677),E677*(1+'Trading Model'!$E$13),IF(AND(E678&lt;E677,E677&gt;=H677),E678*(1+'Trading Model'!$E$13),H677))</f>
        <v>27.698998950000004</v>
      </c>
      <c r="I678" s="198">
        <f>IF(K678&gt;0,E678*(1-'Trading Model'!E688),IF(E678&lt;I677,I677*(1-'Trading Model'!$E$14),I677))</f>
        <v>16.625978798285779</v>
      </c>
      <c r="J678" s="198">
        <f t="shared" si="87"/>
        <v>0</v>
      </c>
      <c r="K678" s="198">
        <f t="shared" si="82"/>
        <v>0</v>
      </c>
      <c r="L678" s="198">
        <f>COUNTIF(J678:K678,"&lt;&gt;0")*-'Trading Model'!$E$15</f>
        <v>0</v>
      </c>
      <c r="M678" s="198">
        <f t="shared" si="80"/>
        <v>0</v>
      </c>
      <c r="N678" s="75">
        <f t="shared" si="83"/>
        <v>33</v>
      </c>
      <c r="O678" s="202">
        <f t="shared" si="84"/>
        <v>0</v>
      </c>
      <c r="P678" s="199">
        <f t="shared" si="81"/>
        <v>0</v>
      </c>
      <c r="Q678" s="203">
        <f t="shared" si="85"/>
        <v>67.000000000001876</v>
      </c>
      <c r="R678" s="160" t="s">
        <v>55</v>
      </c>
      <c r="S678" s="201">
        <f t="shared" si="86"/>
        <v>-5.9819544357905263E-3</v>
      </c>
    </row>
    <row r="679" spans="1:19">
      <c r="A679" s="196">
        <v>40952</v>
      </c>
      <c r="B679" s="122">
        <v>20.209999</v>
      </c>
      <c r="C679" s="122">
        <v>20.23</v>
      </c>
      <c r="D679" s="122">
        <v>19.75</v>
      </c>
      <c r="E679" s="122">
        <v>19.790001</v>
      </c>
      <c r="F679" s="122">
        <v>13.922349000000001</v>
      </c>
      <c r="G679" s="197">
        <v>221800</v>
      </c>
      <c r="H679" s="198">
        <f>IF(AND(E678&gt;=H678,E679&gt;=E678),E678*(1+'Trading Model'!$E$13),IF(AND(E679&lt;E678,E678&gt;=H678),E679*(1+'Trading Model'!$E$13),H678))</f>
        <v>27.698998950000004</v>
      </c>
      <c r="I679" s="198">
        <f>IF(K679&gt;0,E679*(1-'Trading Model'!E689),IF(E679&lt;I678,I678*(1-'Trading Model'!$E$14),I678))</f>
        <v>16.625978798285779</v>
      </c>
      <c r="J679" s="198">
        <f t="shared" si="87"/>
        <v>0</v>
      </c>
      <c r="K679" s="198">
        <f t="shared" si="82"/>
        <v>0</v>
      </c>
      <c r="L679" s="198">
        <f>COUNTIF(J679:K679,"&lt;&gt;0")*-'Trading Model'!$E$15</f>
        <v>0</v>
      </c>
      <c r="M679" s="198">
        <f t="shared" si="80"/>
        <v>0</v>
      </c>
      <c r="N679" s="75">
        <f t="shared" si="83"/>
        <v>33</v>
      </c>
      <c r="O679" s="202">
        <f t="shared" si="84"/>
        <v>0</v>
      </c>
      <c r="P679" s="199">
        <f t="shared" si="81"/>
        <v>0</v>
      </c>
      <c r="Q679" s="203">
        <f t="shared" si="85"/>
        <v>66.900000000001882</v>
      </c>
      <c r="R679" s="203" t="s">
        <v>55</v>
      </c>
      <c r="S679" s="201">
        <f t="shared" si="86"/>
        <v>-7.5225673258491055E-3</v>
      </c>
    </row>
    <row r="680" spans="1:19">
      <c r="A680" s="196">
        <v>40953</v>
      </c>
      <c r="B680" s="122">
        <v>19.709999</v>
      </c>
      <c r="C680" s="122">
        <v>19.73</v>
      </c>
      <c r="D680" s="122">
        <v>19.049999</v>
      </c>
      <c r="E680" s="122">
        <v>19.129999000000002</v>
      </c>
      <c r="F680" s="122">
        <v>13.458036</v>
      </c>
      <c r="G680" s="197">
        <v>378900</v>
      </c>
      <c r="H680" s="198">
        <f>IF(AND(E679&gt;=H679,E680&gt;=E679),E679*(1+'Trading Model'!$E$13),IF(AND(E680&lt;E679,E679&gt;=H679),E680*(1+'Trading Model'!$E$13),H679))</f>
        <v>27.698998950000004</v>
      </c>
      <c r="I680" s="198">
        <f>IF(K680&gt;0,E680*(1-'Trading Model'!E690),IF(E680&lt;I679,I679*(1-'Trading Model'!$E$14),I679))</f>
        <v>16.625978798285779</v>
      </c>
      <c r="J680" s="198">
        <f t="shared" si="87"/>
        <v>0</v>
      </c>
      <c r="K680" s="198">
        <f t="shared" si="82"/>
        <v>0</v>
      </c>
      <c r="L680" s="198">
        <f>COUNTIF(J680:K680,"&lt;&gt;0")*-'Trading Model'!$E$15</f>
        <v>0</v>
      </c>
      <c r="M680" s="198">
        <f t="shared" si="80"/>
        <v>0</v>
      </c>
      <c r="N680" s="75">
        <f t="shared" si="83"/>
        <v>33</v>
      </c>
      <c r="O680" s="202">
        <f t="shared" si="84"/>
        <v>0</v>
      </c>
      <c r="P680" s="199">
        <f t="shared" si="81"/>
        <v>0</v>
      </c>
      <c r="Q680" s="203">
        <f t="shared" si="85"/>
        <v>66.800000000001887</v>
      </c>
      <c r="R680" s="203" t="s">
        <v>55</v>
      </c>
      <c r="S680" s="201">
        <f t="shared" si="86"/>
        <v>-3.3350276232931853E-2</v>
      </c>
    </row>
    <row r="681" spans="1:19">
      <c r="A681" s="196">
        <v>40954</v>
      </c>
      <c r="B681" s="122">
        <v>19.25</v>
      </c>
      <c r="C681" s="122">
        <v>19.329999999999998</v>
      </c>
      <c r="D681" s="122">
        <v>18.799999</v>
      </c>
      <c r="E681" s="122">
        <v>19.149999999999999</v>
      </c>
      <c r="F681" s="122">
        <v>13.472106</v>
      </c>
      <c r="G681" s="197">
        <v>831800</v>
      </c>
      <c r="H681" s="198">
        <f>IF(AND(E680&gt;=H680,E681&gt;=E680),E680*(1+'Trading Model'!$E$13),IF(AND(E681&lt;E680,E680&gt;=H680),E681*(1+'Trading Model'!$E$13),H680))</f>
        <v>27.698998950000004</v>
      </c>
      <c r="I681" s="198">
        <f>IF(K681&gt;0,E681*(1-'Trading Model'!E691),IF(E681&lt;I680,I680*(1-'Trading Model'!$E$14),I680))</f>
        <v>16.625978798285779</v>
      </c>
      <c r="J681" s="198">
        <f t="shared" si="87"/>
        <v>0</v>
      </c>
      <c r="K681" s="198">
        <f t="shared" si="82"/>
        <v>0</v>
      </c>
      <c r="L681" s="198">
        <f>COUNTIF(J681:K681,"&lt;&gt;0")*-'Trading Model'!$E$15</f>
        <v>0</v>
      </c>
      <c r="M681" s="198">
        <f t="shared" si="80"/>
        <v>0</v>
      </c>
      <c r="N681" s="75">
        <f t="shared" si="83"/>
        <v>33</v>
      </c>
      <c r="O681" s="202">
        <f t="shared" si="84"/>
        <v>0</v>
      </c>
      <c r="P681" s="199">
        <f t="shared" si="81"/>
        <v>0</v>
      </c>
      <c r="Q681" s="203">
        <f t="shared" si="85"/>
        <v>66.800000000001887</v>
      </c>
      <c r="R681" s="203" t="s">
        <v>55</v>
      </c>
      <c r="S681" s="201">
        <f t="shared" si="86"/>
        <v>1.0455306348942095E-3</v>
      </c>
    </row>
    <row r="682" spans="1:19">
      <c r="A682" s="196">
        <v>40955</v>
      </c>
      <c r="B682" s="122">
        <v>19.170000000000002</v>
      </c>
      <c r="C682" s="122">
        <v>19.629999000000002</v>
      </c>
      <c r="D682" s="122">
        <v>18.870000999999998</v>
      </c>
      <c r="E682" s="122">
        <v>19.600000000000001</v>
      </c>
      <c r="F682" s="122">
        <v>13.788684999999999</v>
      </c>
      <c r="G682" s="197">
        <v>473300</v>
      </c>
      <c r="H682" s="198">
        <f>IF(AND(E681&gt;=H681,E682&gt;=E681),E681*(1+'Trading Model'!$E$13),IF(AND(E682&lt;E681,E681&gt;=H681),E682*(1+'Trading Model'!$E$13),H681))</f>
        <v>27.698998950000004</v>
      </c>
      <c r="I682" s="198">
        <f>IF(K682&gt;0,E682*(1-'Trading Model'!E692),IF(E682&lt;I681,I681*(1-'Trading Model'!$E$14),I681))</f>
        <v>16.625978798285779</v>
      </c>
      <c r="J682" s="198">
        <f t="shared" si="87"/>
        <v>0</v>
      </c>
      <c r="K682" s="198">
        <f t="shared" si="82"/>
        <v>0</v>
      </c>
      <c r="L682" s="198">
        <f>COUNTIF(J682:K682,"&lt;&gt;0")*-'Trading Model'!$E$15</f>
        <v>0</v>
      </c>
      <c r="M682" s="198">
        <f t="shared" si="80"/>
        <v>0</v>
      </c>
      <c r="N682" s="75">
        <f t="shared" si="83"/>
        <v>33</v>
      </c>
      <c r="O682" s="202">
        <f t="shared" si="84"/>
        <v>0</v>
      </c>
      <c r="P682" s="199">
        <f t="shared" si="81"/>
        <v>0</v>
      </c>
      <c r="Q682" s="203">
        <f t="shared" si="85"/>
        <v>66.800000000001887</v>
      </c>
      <c r="R682" s="201">
        <f>E682/B678-1</f>
        <v>-1.55700652938221E-2</v>
      </c>
      <c r="S682" s="201">
        <f t="shared" si="86"/>
        <v>2.3498694516971508E-2</v>
      </c>
    </row>
    <row r="683" spans="1:19">
      <c r="A683" s="196">
        <v>40956</v>
      </c>
      <c r="B683" s="122">
        <v>19.629999000000002</v>
      </c>
      <c r="C683" s="122">
        <v>20.079999999999998</v>
      </c>
      <c r="D683" s="122">
        <v>19.600000000000001</v>
      </c>
      <c r="E683" s="122">
        <v>20</v>
      </c>
      <c r="F683" s="122">
        <v>14.070086999999999</v>
      </c>
      <c r="G683" s="197">
        <v>424400</v>
      </c>
      <c r="H683" s="198">
        <f>IF(AND(E682&gt;=H682,E683&gt;=E682),E682*(1+'Trading Model'!$E$13),IF(AND(E683&lt;E682,E682&gt;=H682),E683*(1+'Trading Model'!$E$13),H682))</f>
        <v>27.698998950000004</v>
      </c>
      <c r="I683" s="198">
        <f>IF(K683&gt;0,E683*(1-'Trading Model'!E693),IF(E683&lt;I682,I682*(1-'Trading Model'!$E$14),I682))</f>
        <v>16.625978798285779</v>
      </c>
      <c r="J683" s="198">
        <f t="shared" si="87"/>
        <v>0</v>
      </c>
      <c r="K683" s="198">
        <f t="shared" si="82"/>
        <v>0</v>
      </c>
      <c r="L683" s="198">
        <f>COUNTIF(J683:K683,"&lt;&gt;0")*-'Trading Model'!$E$15</f>
        <v>0</v>
      </c>
      <c r="M683" s="198">
        <f t="shared" si="80"/>
        <v>0</v>
      </c>
      <c r="N683" s="75">
        <f t="shared" si="83"/>
        <v>33</v>
      </c>
      <c r="O683" s="202">
        <f t="shared" si="84"/>
        <v>0</v>
      </c>
      <c r="P683" s="199">
        <f t="shared" si="81"/>
        <v>0</v>
      </c>
      <c r="Q683" s="203">
        <f t="shared" si="85"/>
        <v>66.800000000001887</v>
      </c>
      <c r="R683" s="160" t="s">
        <v>55</v>
      </c>
      <c r="S683" s="201">
        <f t="shared" si="86"/>
        <v>2.0408163265306145E-2</v>
      </c>
    </row>
    <row r="684" spans="1:19">
      <c r="A684" s="196">
        <v>40960</v>
      </c>
      <c r="B684" s="122">
        <v>20.239999999999998</v>
      </c>
      <c r="C684" s="122">
        <v>20.6</v>
      </c>
      <c r="D684" s="122">
        <v>19.829999999999998</v>
      </c>
      <c r="E684" s="122">
        <v>20</v>
      </c>
      <c r="F684" s="122">
        <v>14.070086999999999</v>
      </c>
      <c r="G684" s="197">
        <v>210800</v>
      </c>
      <c r="H684" s="198">
        <f>IF(AND(E683&gt;=H683,E684&gt;=E683),E683*(1+'Trading Model'!$E$13),IF(AND(E684&lt;E683,E683&gt;=H683),E684*(1+'Trading Model'!$E$13),H683))</f>
        <v>27.698998950000004</v>
      </c>
      <c r="I684" s="198">
        <f>IF(K684&gt;0,E684*(1-'Trading Model'!E694),IF(E684&lt;I683,I683*(1-'Trading Model'!$E$14),I683))</f>
        <v>16.625978798285779</v>
      </c>
      <c r="J684" s="198">
        <f t="shared" si="87"/>
        <v>0</v>
      </c>
      <c r="K684" s="198">
        <f t="shared" si="82"/>
        <v>0</v>
      </c>
      <c r="L684" s="198">
        <f>COUNTIF(J684:K684,"&lt;&gt;0")*-'Trading Model'!$E$15</f>
        <v>0</v>
      </c>
      <c r="M684" s="198">
        <f t="shared" si="80"/>
        <v>0</v>
      </c>
      <c r="N684" s="75">
        <f t="shared" si="83"/>
        <v>33</v>
      </c>
      <c r="O684" s="202">
        <f t="shared" si="84"/>
        <v>0</v>
      </c>
      <c r="P684" s="199">
        <f t="shared" si="81"/>
        <v>0</v>
      </c>
      <c r="Q684" s="203">
        <f t="shared" si="85"/>
        <v>66.800000000001887</v>
      </c>
      <c r="R684" s="203" t="s">
        <v>55</v>
      </c>
      <c r="S684" s="201">
        <f t="shared" si="86"/>
        <v>0</v>
      </c>
    </row>
    <row r="685" spans="1:19">
      <c r="A685" s="196">
        <v>40961</v>
      </c>
      <c r="B685" s="122">
        <v>19.959999</v>
      </c>
      <c r="C685" s="122">
        <v>20.02</v>
      </c>
      <c r="D685" s="122">
        <v>19.649999999999999</v>
      </c>
      <c r="E685" s="122">
        <v>19.889999</v>
      </c>
      <c r="F685" s="122">
        <v>13.992699</v>
      </c>
      <c r="G685" s="197">
        <v>236900</v>
      </c>
      <c r="H685" s="198">
        <f>IF(AND(E684&gt;=H684,E685&gt;=E684),E684*(1+'Trading Model'!$E$13),IF(AND(E685&lt;E684,E684&gt;=H684),E685*(1+'Trading Model'!$E$13),H684))</f>
        <v>27.698998950000004</v>
      </c>
      <c r="I685" s="198">
        <f>IF(K685&gt;0,E685*(1-'Trading Model'!E695),IF(E685&lt;I684,I684*(1-'Trading Model'!$E$14),I684))</f>
        <v>16.625978798285779</v>
      </c>
      <c r="J685" s="198">
        <f t="shared" si="87"/>
        <v>0</v>
      </c>
      <c r="K685" s="198">
        <f t="shared" si="82"/>
        <v>0</v>
      </c>
      <c r="L685" s="198">
        <f>COUNTIF(J685:K685,"&lt;&gt;0")*-'Trading Model'!$E$15</f>
        <v>0</v>
      </c>
      <c r="M685" s="198">
        <f t="shared" si="80"/>
        <v>0</v>
      </c>
      <c r="N685" s="75">
        <f t="shared" si="83"/>
        <v>33</v>
      </c>
      <c r="O685" s="202">
        <f t="shared" si="84"/>
        <v>0</v>
      </c>
      <c r="P685" s="199">
        <f t="shared" si="81"/>
        <v>0</v>
      </c>
      <c r="Q685" s="203">
        <f t="shared" si="85"/>
        <v>66.700000000001893</v>
      </c>
      <c r="R685" s="203" t="s">
        <v>55</v>
      </c>
      <c r="S685" s="201">
        <f t="shared" si="86"/>
        <v>-5.5000499999999786E-3</v>
      </c>
    </row>
    <row r="686" spans="1:19">
      <c r="A686" s="196">
        <v>40962</v>
      </c>
      <c r="B686" s="122">
        <v>19.98</v>
      </c>
      <c r="C686" s="122">
        <v>20.059999000000001</v>
      </c>
      <c r="D686" s="122">
        <v>19.670000000000002</v>
      </c>
      <c r="E686" s="122">
        <v>19.77</v>
      </c>
      <c r="F686" s="122">
        <v>13.908281000000001</v>
      </c>
      <c r="G686" s="197">
        <v>194500</v>
      </c>
      <c r="H686" s="198">
        <f>IF(AND(E685&gt;=H685,E686&gt;=E685),E685*(1+'Trading Model'!$E$13),IF(AND(E686&lt;E685,E685&gt;=H685),E686*(1+'Trading Model'!$E$13),H685))</f>
        <v>27.698998950000004</v>
      </c>
      <c r="I686" s="198">
        <f>IF(K686&gt;0,E686*(1-'Trading Model'!E696),IF(E686&lt;I685,I685*(1-'Trading Model'!$E$14),I685))</f>
        <v>16.625978798285779</v>
      </c>
      <c r="J686" s="198">
        <f t="shared" si="87"/>
        <v>0</v>
      </c>
      <c r="K686" s="198">
        <f t="shared" si="82"/>
        <v>0</v>
      </c>
      <c r="L686" s="198">
        <f>COUNTIF(J686:K686,"&lt;&gt;0")*-'Trading Model'!$E$15</f>
        <v>0</v>
      </c>
      <c r="M686" s="198">
        <f t="shared" si="80"/>
        <v>0</v>
      </c>
      <c r="N686" s="75">
        <f t="shared" si="83"/>
        <v>33</v>
      </c>
      <c r="O686" s="202">
        <f t="shared" si="84"/>
        <v>0</v>
      </c>
      <c r="P686" s="199">
        <f t="shared" si="81"/>
        <v>0</v>
      </c>
      <c r="Q686" s="203">
        <f t="shared" si="85"/>
        <v>66.600000000001899</v>
      </c>
      <c r="R686" s="203" t="s">
        <v>55</v>
      </c>
      <c r="S686" s="201">
        <f t="shared" si="86"/>
        <v>-6.0331325305748029E-3</v>
      </c>
    </row>
    <row r="687" spans="1:19">
      <c r="A687" s="196">
        <v>40963</v>
      </c>
      <c r="B687" s="122">
        <v>19.940000999999999</v>
      </c>
      <c r="C687" s="122">
        <v>19.940000999999999</v>
      </c>
      <c r="D687" s="122">
        <v>18.989999999999998</v>
      </c>
      <c r="E687" s="122">
        <v>19.059999000000001</v>
      </c>
      <c r="F687" s="122">
        <v>13.408792</v>
      </c>
      <c r="G687" s="197">
        <v>246200</v>
      </c>
      <c r="H687" s="198">
        <f>IF(AND(E686&gt;=H686,E687&gt;=E686),E686*(1+'Trading Model'!$E$13),IF(AND(E687&lt;E686,E686&gt;=H686),E687*(1+'Trading Model'!$E$13),H686))</f>
        <v>27.698998950000004</v>
      </c>
      <c r="I687" s="198">
        <f>IF(K687&gt;0,E687*(1-'Trading Model'!E697),IF(E687&lt;I686,I686*(1-'Trading Model'!$E$14),I686))</f>
        <v>16.625978798285779</v>
      </c>
      <c r="J687" s="198">
        <f t="shared" si="87"/>
        <v>0</v>
      </c>
      <c r="K687" s="198">
        <f t="shared" si="82"/>
        <v>0</v>
      </c>
      <c r="L687" s="198">
        <f>COUNTIF(J687:K687,"&lt;&gt;0")*-'Trading Model'!$E$15</f>
        <v>0</v>
      </c>
      <c r="M687" s="198">
        <f t="shared" si="80"/>
        <v>0</v>
      </c>
      <c r="N687" s="75">
        <f t="shared" si="83"/>
        <v>33</v>
      </c>
      <c r="O687" s="202">
        <f t="shared" si="84"/>
        <v>0</v>
      </c>
      <c r="P687" s="199">
        <f t="shared" si="81"/>
        <v>0</v>
      </c>
      <c r="Q687" s="203">
        <f t="shared" si="85"/>
        <v>66.500000000001904</v>
      </c>
      <c r="R687" s="201">
        <f>E687/B683-1</f>
        <v>-2.9037189456810442E-2</v>
      </c>
      <c r="S687" s="201">
        <f t="shared" si="86"/>
        <v>-3.5913050075872421E-2</v>
      </c>
    </row>
    <row r="688" spans="1:19">
      <c r="A688" s="196">
        <v>40966</v>
      </c>
      <c r="B688" s="122">
        <v>19</v>
      </c>
      <c r="C688" s="122">
        <v>19.010000000000002</v>
      </c>
      <c r="D688" s="122">
        <v>18.5</v>
      </c>
      <c r="E688" s="122">
        <v>18.600000000000001</v>
      </c>
      <c r="F688" s="122">
        <v>13.085179999999999</v>
      </c>
      <c r="G688" s="197">
        <v>352900</v>
      </c>
      <c r="H688" s="198">
        <f>IF(AND(E687&gt;=H687,E688&gt;=E687),E687*(1+'Trading Model'!$E$13),IF(AND(E688&lt;E687,E687&gt;=H687),E688*(1+'Trading Model'!$E$13),H687))</f>
        <v>27.698998950000004</v>
      </c>
      <c r="I688" s="198">
        <f>IF(K688&gt;0,E688*(1-'Trading Model'!E698),IF(E688&lt;I687,I687*(1-'Trading Model'!$E$14),I687))</f>
        <v>16.625978798285779</v>
      </c>
      <c r="J688" s="198">
        <f t="shared" si="87"/>
        <v>0</v>
      </c>
      <c r="K688" s="198">
        <f t="shared" si="82"/>
        <v>0</v>
      </c>
      <c r="L688" s="198">
        <f>COUNTIF(J688:K688,"&lt;&gt;0")*-'Trading Model'!$E$15</f>
        <v>0</v>
      </c>
      <c r="M688" s="198">
        <f t="shared" si="80"/>
        <v>0</v>
      </c>
      <c r="N688" s="75">
        <f t="shared" si="83"/>
        <v>33</v>
      </c>
      <c r="O688" s="202">
        <f t="shared" si="84"/>
        <v>0</v>
      </c>
      <c r="P688" s="199">
        <f t="shared" si="81"/>
        <v>0</v>
      </c>
      <c r="Q688" s="203">
        <f t="shared" si="85"/>
        <v>66.40000000000191</v>
      </c>
      <c r="R688" s="160" t="s">
        <v>55</v>
      </c>
      <c r="S688" s="201">
        <f t="shared" si="86"/>
        <v>-2.4134261497075649E-2</v>
      </c>
    </row>
    <row r="689" spans="1:19">
      <c r="A689" s="196">
        <v>40967</v>
      </c>
      <c r="B689" s="122">
        <v>18.510000000000002</v>
      </c>
      <c r="C689" s="122">
        <v>18.639999</v>
      </c>
      <c r="D689" s="122">
        <v>18.02</v>
      </c>
      <c r="E689" s="122">
        <v>18.309999000000001</v>
      </c>
      <c r="F689" s="122">
        <v>12.881162</v>
      </c>
      <c r="G689" s="197">
        <v>492300</v>
      </c>
      <c r="H689" s="198">
        <f>IF(AND(E688&gt;=H688,E689&gt;=E688),E688*(1+'Trading Model'!$E$13),IF(AND(E689&lt;E688,E688&gt;=H688),E689*(1+'Trading Model'!$E$13),H688))</f>
        <v>27.698998950000004</v>
      </c>
      <c r="I689" s="198">
        <f>IF(K689&gt;0,E689*(1-'Trading Model'!E699),IF(E689&lt;I688,I688*(1-'Trading Model'!$E$14),I688))</f>
        <v>16.625978798285779</v>
      </c>
      <c r="J689" s="198">
        <f t="shared" si="87"/>
        <v>0</v>
      </c>
      <c r="K689" s="198">
        <f t="shared" si="82"/>
        <v>0</v>
      </c>
      <c r="L689" s="198">
        <f>COUNTIF(J689:K689,"&lt;&gt;0")*-'Trading Model'!$E$15</f>
        <v>0</v>
      </c>
      <c r="M689" s="198">
        <f t="shared" si="80"/>
        <v>0</v>
      </c>
      <c r="N689" s="75">
        <f t="shared" si="83"/>
        <v>33</v>
      </c>
      <c r="O689" s="202">
        <f t="shared" si="84"/>
        <v>0</v>
      </c>
      <c r="P689" s="199">
        <f t="shared" si="81"/>
        <v>0</v>
      </c>
      <c r="Q689" s="203">
        <f t="shared" si="85"/>
        <v>66.300000000001916</v>
      </c>
      <c r="R689" s="203" t="s">
        <v>55</v>
      </c>
      <c r="S689" s="201">
        <f t="shared" si="86"/>
        <v>-1.5591451612903207E-2</v>
      </c>
    </row>
    <row r="690" spans="1:19">
      <c r="A690" s="196">
        <v>40968</v>
      </c>
      <c r="B690" s="122">
        <v>18.52</v>
      </c>
      <c r="C690" s="122">
        <v>18.620000999999998</v>
      </c>
      <c r="D690" s="122">
        <v>18.100000000000001</v>
      </c>
      <c r="E690" s="122">
        <v>18.459999</v>
      </c>
      <c r="F690" s="122">
        <v>12.986689</v>
      </c>
      <c r="G690" s="197">
        <v>371500</v>
      </c>
      <c r="H690" s="198">
        <f>IF(AND(E689&gt;=H689,E690&gt;=E689),E689*(1+'Trading Model'!$E$13),IF(AND(E690&lt;E689,E689&gt;=H689),E690*(1+'Trading Model'!$E$13),H689))</f>
        <v>27.698998950000004</v>
      </c>
      <c r="I690" s="198">
        <f>IF(K690&gt;0,E690*(1-'Trading Model'!E700),IF(E690&lt;I689,I689*(1-'Trading Model'!$E$14),I689))</f>
        <v>16.625978798285779</v>
      </c>
      <c r="J690" s="198">
        <f t="shared" si="87"/>
        <v>0</v>
      </c>
      <c r="K690" s="198">
        <f t="shared" si="82"/>
        <v>0</v>
      </c>
      <c r="L690" s="198">
        <f>COUNTIF(J690:K690,"&lt;&gt;0")*-'Trading Model'!$E$15</f>
        <v>0</v>
      </c>
      <c r="M690" s="198">
        <f t="shared" si="80"/>
        <v>0</v>
      </c>
      <c r="N690" s="75">
        <f t="shared" si="83"/>
        <v>33</v>
      </c>
      <c r="O690" s="202">
        <f t="shared" si="84"/>
        <v>0</v>
      </c>
      <c r="P690" s="199">
        <f t="shared" si="81"/>
        <v>0</v>
      </c>
      <c r="Q690" s="203">
        <f t="shared" si="85"/>
        <v>66.300000000001916</v>
      </c>
      <c r="R690" s="203" t="s">
        <v>55</v>
      </c>
      <c r="S690" s="201">
        <f t="shared" si="86"/>
        <v>8.1922451224600845E-3</v>
      </c>
    </row>
    <row r="691" spans="1:19">
      <c r="A691" s="196">
        <v>40969</v>
      </c>
      <c r="B691" s="122">
        <v>18.530000999999999</v>
      </c>
      <c r="C691" s="122">
        <v>18.760000000000002</v>
      </c>
      <c r="D691" s="122">
        <v>18.379999000000002</v>
      </c>
      <c r="E691" s="122">
        <v>18.68</v>
      </c>
      <c r="F691" s="122">
        <v>13.141458999999999</v>
      </c>
      <c r="G691" s="197">
        <v>341200</v>
      </c>
      <c r="H691" s="198">
        <f>IF(AND(E690&gt;=H690,E691&gt;=E690),E690*(1+'Trading Model'!$E$13),IF(AND(E691&lt;E690,E690&gt;=H690),E691*(1+'Trading Model'!$E$13),H690))</f>
        <v>27.698998950000004</v>
      </c>
      <c r="I691" s="198">
        <f>IF(K691&gt;0,E691*(1-'Trading Model'!E701),IF(E691&lt;I690,I690*(1-'Trading Model'!$E$14),I690))</f>
        <v>16.625978798285779</v>
      </c>
      <c r="J691" s="198">
        <f t="shared" si="87"/>
        <v>0</v>
      </c>
      <c r="K691" s="198">
        <f t="shared" si="82"/>
        <v>0</v>
      </c>
      <c r="L691" s="198">
        <f>COUNTIF(J691:K691,"&lt;&gt;0")*-'Trading Model'!$E$15</f>
        <v>0</v>
      </c>
      <c r="M691" s="198">
        <f t="shared" si="80"/>
        <v>0</v>
      </c>
      <c r="N691" s="75">
        <f t="shared" si="83"/>
        <v>33</v>
      </c>
      <c r="O691" s="202">
        <f t="shared" si="84"/>
        <v>0</v>
      </c>
      <c r="P691" s="199">
        <f t="shared" si="81"/>
        <v>0</v>
      </c>
      <c r="Q691" s="203">
        <f t="shared" si="85"/>
        <v>66.300000000001916</v>
      </c>
      <c r="R691" s="203" t="s">
        <v>55</v>
      </c>
      <c r="S691" s="201">
        <f t="shared" si="86"/>
        <v>1.1917714621761277E-2</v>
      </c>
    </row>
    <row r="692" spans="1:19">
      <c r="A692" s="196">
        <v>40970</v>
      </c>
      <c r="B692" s="122">
        <v>18.629999000000002</v>
      </c>
      <c r="C692" s="122">
        <v>18.829999999999998</v>
      </c>
      <c r="D692" s="122">
        <v>18.540001</v>
      </c>
      <c r="E692" s="122">
        <v>18.700001</v>
      </c>
      <c r="F692" s="122">
        <v>13.155531999999999</v>
      </c>
      <c r="G692" s="197">
        <v>139900</v>
      </c>
      <c r="H692" s="198">
        <f>IF(AND(E691&gt;=H691,E692&gt;=E691),E691*(1+'Trading Model'!$E$13),IF(AND(E692&lt;E691,E691&gt;=H691),E692*(1+'Trading Model'!$E$13),H691))</f>
        <v>27.698998950000004</v>
      </c>
      <c r="I692" s="198">
        <f>IF(K692&gt;0,E692*(1-'Trading Model'!E702),IF(E692&lt;I691,I691*(1-'Trading Model'!$E$14),I691))</f>
        <v>16.625978798285779</v>
      </c>
      <c r="J692" s="198">
        <f t="shared" si="87"/>
        <v>0</v>
      </c>
      <c r="K692" s="198">
        <f t="shared" si="82"/>
        <v>0</v>
      </c>
      <c r="L692" s="198">
        <f>COUNTIF(J692:K692,"&lt;&gt;0")*-'Trading Model'!$E$15</f>
        <v>0</v>
      </c>
      <c r="M692" s="198">
        <f t="shared" si="80"/>
        <v>0</v>
      </c>
      <c r="N692" s="75">
        <f t="shared" si="83"/>
        <v>33</v>
      </c>
      <c r="O692" s="202">
        <f t="shared" si="84"/>
        <v>0</v>
      </c>
      <c r="P692" s="199">
        <f t="shared" si="81"/>
        <v>0</v>
      </c>
      <c r="Q692" s="203">
        <f t="shared" si="85"/>
        <v>66.300000000001916</v>
      </c>
      <c r="R692" s="201">
        <f>E692/B688-1</f>
        <v>-1.5789421052631591E-2</v>
      </c>
      <c r="S692" s="201">
        <f t="shared" si="86"/>
        <v>1.0707173447537244E-3</v>
      </c>
    </row>
    <row r="693" spans="1:19">
      <c r="A693" s="196">
        <v>40973</v>
      </c>
      <c r="B693" s="122">
        <v>18.700001</v>
      </c>
      <c r="C693" s="122">
        <v>18.700001</v>
      </c>
      <c r="D693" s="122">
        <v>18.18</v>
      </c>
      <c r="E693" s="122">
        <v>18.52</v>
      </c>
      <c r="F693" s="122">
        <v>13.028898999999999</v>
      </c>
      <c r="G693" s="197">
        <v>160000</v>
      </c>
      <c r="H693" s="198">
        <f>IF(AND(E692&gt;=H692,E693&gt;=E692),E692*(1+'Trading Model'!$E$13),IF(AND(E693&lt;E692,E692&gt;=H692),E693*(1+'Trading Model'!$E$13),H692))</f>
        <v>27.698998950000004</v>
      </c>
      <c r="I693" s="198">
        <f>IF(K693&gt;0,E693*(1-'Trading Model'!E703),IF(E693&lt;I692,I692*(1-'Trading Model'!$E$14),I692))</f>
        <v>16.625978798285779</v>
      </c>
      <c r="J693" s="198">
        <f t="shared" si="87"/>
        <v>0</v>
      </c>
      <c r="K693" s="198">
        <f t="shared" si="82"/>
        <v>0</v>
      </c>
      <c r="L693" s="198">
        <f>COUNTIF(J693:K693,"&lt;&gt;0")*-'Trading Model'!$E$15</f>
        <v>0</v>
      </c>
      <c r="M693" s="198">
        <f t="shared" si="80"/>
        <v>0</v>
      </c>
      <c r="N693" s="75">
        <f t="shared" si="83"/>
        <v>33</v>
      </c>
      <c r="O693" s="202">
        <f t="shared" si="84"/>
        <v>0</v>
      </c>
      <c r="P693" s="199">
        <f t="shared" si="81"/>
        <v>0</v>
      </c>
      <c r="Q693" s="203">
        <f t="shared" si="85"/>
        <v>66.200000000001921</v>
      </c>
      <c r="R693" s="160" t="s">
        <v>55</v>
      </c>
      <c r="S693" s="201">
        <f t="shared" si="86"/>
        <v>-9.6257214103893096E-3</v>
      </c>
    </row>
    <row r="694" spans="1:19">
      <c r="A694" s="196">
        <v>40974</v>
      </c>
      <c r="B694" s="122">
        <v>18.5</v>
      </c>
      <c r="C694" s="122">
        <v>18.700001</v>
      </c>
      <c r="D694" s="122">
        <v>18.010000000000002</v>
      </c>
      <c r="E694" s="122">
        <v>18.049999</v>
      </c>
      <c r="F694" s="122">
        <v>12.698252999999999</v>
      </c>
      <c r="G694" s="197">
        <v>330600</v>
      </c>
      <c r="H694" s="198">
        <f>IF(AND(E693&gt;=H693,E694&gt;=E693),E693*(1+'Trading Model'!$E$13),IF(AND(E694&lt;E693,E693&gt;=H693),E694*(1+'Trading Model'!$E$13),H693))</f>
        <v>27.698998950000004</v>
      </c>
      <c r="I694" s="198">
        <f>IF(K694&gt;0,E694*(1-'Trading Model'!E704),IF(E694&lt;I693,I693*(1-'Trading Model'!$E$14),I693))</f>
        <v>16.625978798285779</v>
      </c>
      <c r="J694" s="198">
        <f t="shared" si="87"/>
        <v>0</v>
      </c>
      <c r="K694" s="198">
        <f t="shared" si="82"/>
        <v>0</v>
      </c>
      <c r="L694" s="198">
        <f>COUNTIF(J694:K694,"&lt;&gt;0")*-'Trading Model'!$E$15</f>
        <v>0</v>
      </c>
      <c r="M694" s="198">
        <f t="shared" si="80"/>
        <v>0</v>
      </c>
      <c r="N694" s="75">
        <f t="shared" si="83"/>
        <v>33</v>
      </c>
      <c r="O694" s="202">
        <f t="shared" si="84"/>
        <v>0</v>
      </c>
      <c r="P694" s="199">
        <f t="shared" si="81"/>
        <v>0</v>
      </c>
      <c r="Q694" s="203">
        <f t="shared" si="85"/>
        <v>66.100000000001927</v>
      </c>
      <c r="R694" s="203" t="s">
        <v>55</v>
      </c>
      <c r="S694" s="201">
        <f t="shared" si="86"/>
        <v>-2.5378023758099388E-2</v>
      </c>
    </row>
    <row r="695" spans="1:19">
      <c r="A695" s="196">
        <v>40975</v>
      </c>
      <c r="B695" s="122">
        <v>18.049999</v>
      </c>
      <c r="C695" s="122">
        <v>18.450001</v>
      </c>
      <c r="D695" s="122">
        <v>18.010000000000002</v>
      </c>
      <c r="E695" s="122">
        <v>18.379999000000002</v>
      </c>
      <c r="F695" s="122">
        <v>12.930407000000001</v>
      </c>
      <c r="G695" s="197">
        <v>136900</v>
      </c>
      <c r="H695" s="198">
        <f>IF(AND(E694&gt;=H694,E695&gt;=E694),E694*(1+'Trading Model'!$E$13),IF(AND(E695&lt;E694,E694&gt;=H694),E695*(1+'Trading Model'!$E$13),H694))</f>
        <v>27.698998950000004</v>
      </c>
      <c r="I695" s="198">
        <f>IF(K695&gt;0,E695*(1-'Trading Model'!E705),IF(E695&lt;I694,I694*(1-'Trading Model'!$E$14),I694))</f>
        <v>16.625978798285779</v>
      </c>
      <c r="J695" s="198">
        <f t="shared" si="87"/>
        <v>0</v>
      </c>
      <c r="K695" s="198">
        <f t="shared" si="82"/>
        <v>0</v>
      </c>
      <c r="L695" s="198">
        <f>COUNTIF(J695:K695,"&lt;&gt;0")*-'Trading Model'!$E$15</f>
        <v>0</v>
      </c>
      <c r="M695" s="198">
        <f t="shared" si="80"/>
        <v>0</v>
      </c>
      <c r="N695" s="75">
        <f t="shared" si="83"/>
        <v>33</v>
      </c>
      <c r="O695" s="202">
        <f t="shared" si="84"/>
        <v>0</v>
      </c>
      <c r="P695" s="199">
        <f t="shared" si="81"/>
        <v>0</v>
      </c>
      <c r="Q695" s="203">
        <f t="shared" si="85"/>
        <v>66.100000000001927</v>
      </c>
      <c r="R695" s="203" t="s">
        <v>55</v>
      </c>
      <c r="S695" s="201">
        <f t="shared" si="86"/>
        <v>1.828254948933794E-2</v>
      </c>
    </row>
    <row r="696" spans="1:19">
      <c r="A696" s="196">
        <v>40976</v>
      </c>
      <c r="B696" s="122">
        <v>18.620000999999998</v>
      </c>
      <c r="C696" s="122">
        <v>18.620000999999998</v>
      </c>
      <c r="D696" s="122">
        <v>18.32</v>
      </c>
      <c r="E696" s="122">
        <v>18.399999999999999</v>
      </c>
      <c r="F696" s="122">
        <v>12.944478999999999</v>
      </c>
      <c r="G696" s="197">
        <v>136300</v>
      </c>
      <c r="H696" s="198">
        <f>IF(AND(E695&gt;=H695,E696&gt;=E695),E695*(1+'Trading Model'!$E$13),IF(AND(E696&lt;E695,E695&gt;=H695),E696*(1+'Trading Model'!$E$13),H695))</f>
        <v>27.698998950000004</v>
      </c>
      <c r="I696" s="198">
        <f>IF(K696&gt;0,E696*(1-'Trading Model'!E706),IF(E696&lt;I695,I695*(1-'Trading Model'!$E$14),I695))</f>
        <v>16.625978798285779</v>
      </c>
      <c r="J696" s="198">
        <f t="shared" si="87"/>
        <v>0</v>
      </c>
      <c r="K696" s="198">
        <f t="shared" si="82"/>
        <v>0</v>
      </c>
      <c r="L696" s="198">
        <f>COUNTIF(J696:K696,"&lt;&gt;0")*-'Trading Model'!$E$15</f>
        <v>0</v>
      </c>
      <c r="M696" s="198">
        <f t="shared" si="80"/>
        <v>0</v>
      </c>
      <c r="N696" s="75">
        <f t="shared" si="83"/>
        <v>33</v>
      </c>
      <c r="O696" s="202">
        <f t="shared" si="84"/>
        <v>0</v>
      </c>
      <c r="P696" s="199">
        <f t="shared" si="81"/>
        <v>0</v>
      </c>
      <c r="Q696" s="203">
        <f t="shared" si="85"/>
        <v>66.100000000001927</v>
      </c>
      <c r="R696" s="203" t="s">
        <v>55</v>
      </c>
      <c r="S696" s="201">
        <f t="shared" si="86"/>
        <v>1.0881937479974013E-3</v>
      </c>
    </row>
    <row r="697" spans="1:19">
      <c r="A697" s="196">
        <v>40977</v>
      </c>
      <c r="B697" s="122">
        <v>18.48</v>
      </c>
      <c r="C697" s="122">
        <v>18.530000999999999</v>
      </c>
      <c r="D697" s="122">
        <v>18.120000999999998</v>
      </c>
      <c r="E697" s="122">
        <v>18.260000000000002</v>
      </c>
      <c r="F697" s="122">
        <v>12.845986999999999</v>
      </c>
      <c r="G697" s="197">
        <v>165300</v>
      </c>
      <c r="H697" s="198">
        <f>IF(AND(E696&gt;=H696,E697&gt;=E696),E696*(1+'Trading Model'!$E$13),IF(AND(E697&lt;E696,E696&gt;=H696),E697*(1+'Trading Model'!$E$13),H696))</f>
        <v>27.698998950000004</v>
      </c>
      <c r="I697" s="198">
        <f>IF(K697&gt;0,E697*(1-'Trading Model'!E707),IF(E697&lt;I696,I696*(1-'Trading Model'!$E$14),I696))</f>
        <v>16.625978798285779</v>
      </c>
      <c r="J697" s="198">
        <f t="shared" si="87"/>
        <v>0</v>
      </c>
      <c r="K697" s="198">
        <f t="shared" si="82"/>
        <v>0</v>
      </c>
      <c r="L697" s="198">
        <f>COUNTIF(J697:K697,"&lt;&gt;0")*-'Trading Model'!$E$15</f>
        <v>0</v>
      </c>
      <c r="M697" s="198">
        <f t="shared" si="80"/>
        <v>0</v>
      </c>
      <c r="N697" s="75">
        <f t="shared" si="83"/>
        <v>33</v>
      </c>
      <c r="O697" s="202">
        <f t="shared" si="84"/>
        <v>0</v>
      </c>
      <c r="P697" s="199">
        <f t="shared" si="81"/>
        <v>0</v>
      </c>
      <c r="Q697" s="203">
        <f t="shared" si="85"/>
        <v>66.000000000001933</v>
      </c>
      <c r="R697" s="201">
        <f>E697/B693-1</f>
        <v>-2.3529463982381538E-2</v>
      </c>
      <c r="S697" s="201">
        <f t="shared" si="86"/>
        <v>-7.6086956521737026E-3</v>
      </c>
    </row>
    <row r="698" spans="1:19">
      <c r="A698" s="196">
        <v>40980</v>
      </c>
      <c r="B698" s="122">
        <v>18.25</v>
      </c>
      <c r="C698" s="122">
        <v>18.25</v>
      </c>
      <c r="D698" s="122">
        <v>18.040001</v>
      </c>
      <c r="E698" s="122">
        <v>18.120000999999998</v>
      </c>
      <c r="F698" s="122">
        <v>12.7475</v>
      </c>
      <c r="G698" s="197">
        <v>216600</v>
      </c>
      <c r="H698" s="198">
        <f>IF(AND(E697&gt;=H697,E698&gt;=E697),E697*(1+'Trading Model'!$E$13),IF(AND(E698&lt;E697,E697&gt;=H697),E698*(1+'Trading Model'!$E$13),H697))</f>
        <v>27.698998950000004</v>
      </c>
      <c r="I698" s="198">
        <f>IF(K698&gt;0,E698*(1-'Trading Model'!E708),IF(E698&lt;I697,I697*(1-'Trading Model'!$E$14),I697))</f>
        <v>16.625978798285779</v>
      </c>
      <c r="J698" s="198">
        <f t="shared" si="87"/>
        <v>0</v>
      </c>
      <c r="K698" s="198">
        <f t="shared" si="82"/>
        <v>0</v>
      </c>
      <c r="L698" s="198">
        <f>COUNTIF(J698:K698,"&lt;&gt;0")*-'Trading Model'!$E$15</f>
        <v>0</v>
      </c>
      <c r="M698" s="198">
        <f t="shared" si="80"/>
        <v>0</v>
      </c>
      <c r="N698" s="75">
        <f t="shared" si="83"/>
        <v>33</v>
      </c>
      <c r="O698" s="202">
        <f t="shared" si="84"/>
        <v>0</v>
      </c>
      <c r="P698" s="199">
        <f t="shared" si="81"/>
        <v>0</v>
      </c>
      <c r="Q698" s="203">
        <f t="shared" si="85"/>
        <v>65.900000000001938</v>
      </c>
      <c r="R698" s="160" t="s">
        <v>55</v>
      </c>
      <c r="S698" s="201">
        <f t="shared" si="86"/>
        <v>-7.6669769989048397E-3</v>
      </c>
    </row>
    <row r="699" spans="1:19">
      <c r="A699" s="196">
        <v>40981</v>
      </c>
      <c r="B699" s="122">
        <v>18.260000000000002</v>
      </c>
      <c r="C699" s="122">
        <v>18.309999000000001</v>
      </c>
      <c r="D699" s="122">
        <v>18.040001</v>
      </c>
      <c r="E699" s="122">
        <v>18.25</v>
      </c>
      <c r="F699" s="122">
        <v>12.838953</v>
      </c>
      <c r="G699" s="197">
        <v>134400</v>
      </c>
      <c r="H699" s="198">
        <f>IF(AND(E698&gt;=H698,E699&gt;=E698),E698*(1+'Trading Model'!$E$13),IF(AND(E699&lt;E698,E698&gt;=H698),E699*(1+'Trading Model'!$E$13),H698))</f>
        <v>27.698998950000004</v>
      </c>
      <c r="I699" s="198">
        <f>IF(K699&gt;0,E699*(1-'Trading Model'!E709),IF(E699&lt;I698,I698*(1-'Trading Model'!$E$14),I698))</f>
        <v>16.625978798285779</v>
      </c>
      <c r="J699" s="198">
        <f t="shared" si="87"/>
        <v>0</v>
      </c>
      <c r="K699" s="198">
        <f t="shared" si="82"/>
        <v>0</v>
      </c>
      <c r="L699" s="198">
        <f>COUNTIF(J699:K699,"&lt;&gt;0")*-'Trading Model'!$E$15</f>
        <v>0</v>
      </c>
      <c r="M699" s="198">
        <f t="shared" si="80"/>
        <v>0</v>
      </c>
      <c r="N699" s="75">
        <f t="shared" si="83"/>
        <v>33</v>
      </c>
      <c r="O699" s="202">
        <f t="shared" si="84"/>
        <v>0</v>
      </c>
      <c r="P699" s="199">
        <f t="shared" si="81"/>
        <v>0</v>
      </c>
      <c r="Q699" s="203">
        <f t="shared" si="85"/>
        <v>65.900000000001938</v>
      </c>
      <c r="R699" s="203" t="s">
        <v>55</v>
      </c>
      <c r="S699" s="201">
        <f t="shared" si="86"/>
        <v>7.1743373524097986E-3</v>
      </c>
    </row>
    <row r="700" spans="1:19">
      <c r="A700" s="196">
        <v>40982</v>
      </c>
      <c r="B700" s="122">
        <v>18.25</v>
      </c>
      <c r="C700" s="122">
        <v>18.73</v>
      </c>
      <c r="D700" s="122">
        <v>18.239999999999998</v>
      </c>
      <c r="E700" s="122">
        <v>18.510000000000002</v>
      </c>
      <c r="F700" s="122">
        <v>13.021865999999999</v>
      </c>
      <c r="G700" s="197">
        <v>316300</v>
      </c>
      <c r="H700" s="198">
        <f>IF(AND(E699&gt;=H699,E700&gt;=E699),E699*(1+'Trading Model'!$E$13),IF(AND(E700&lt;E699,E699&gt;=H699),E700*(1+'Trading Model'!$E$13),H699))</f>
        <v>27.698998950000004</v>
      </c>
      <c r="I700" s="198">
        <f>IF(K700&gt;0,E700*(1-'Trading Model'!E710),IF(E700&lt;I699,I699*(1-'Trading Model'!$E$14),I699))</f>
        <v>16.625978798285779</v>
      </c>
      <c r="J700" s="198">
        <f t="shared" si="87"/>
        <v>0</v>
      </c>
      <c r="K700" s="198">
        <f t="shared" si="82"/>
        <v>0</v>
      </c>
      <c r="L700" s="198">
        <f>COUNTIF(J700:K700,"&lt;&gt;0")*-'Trading Model'!$E$15</f>
        <v>0</v>
      </c>
      <c r="M700" s="198">
        <f t="shared" si="80"/>
        <v>0</v>
      </c>
      <c r="N700" s="75">
        <f t="shared" si="83"/>
        <v>33</v>
      </c>
      <c r="O700" s="202">
        <f t="shared" si="84"/>
        <v>0</v>
      </c>
      <c r="P700" s="199">
        <f t="shared" si="81"/>
        <v>0</v>
      </c>
      <c r="Q700" s="203">
        <f t="shared" si="85"/>
        <v>65.900000000001938</v>
      </c>
      <c r="R700" s="203" t="s">
        <v>55</v>
      </c>
      <c r="S700" s="201">
        <f t="shared" si="86"/>
        <v>1.4246575342465873E-2</v>
      </c>
    </row>
    <row r="701" spans="1:19">
      <c r="A701" s="196">
        <v>40983</v>
      </c>
      <c r="B701" s="122">
        <v>18.600000000000001</v>
      </c>
      <c r="C701" s="122">
        <v>18.959999</v>
      </c>
      <c r="D701" s="122">
        <v>18.459999</v>
      </c>
      <c r="E701" s="122">
        <v>18.93</v>
      </c>
      <c r="F701" s="122">
        <v>13.317335999999999</v>
      </c>
      <c r="G701" s="197">
        <v>270700</v>
      </c>
      <c r="H701" s="198">
        <f>IF(AND(E700&gt;=H700,E701&gt;=E700),E700*(1+'Trading Model'!$E$13),IF(AND(E701&lt;E700,E700&gt;=H700),E701*(1+'Trading Model'!$E$13),H700))</f>
        <v>27.698998950000004</v>
      </c>
      <c r="I701" s="198">
        <f>IF(K701&gt;0,E701*(1-'Trading Model'!E711),IF(E701&lt;I700,I700*(1-'Trading Model'!$E$14),I700))</f>
        <v>16.625978798285779</v>
      </c>
      <c r="J701" s="198">
        <f t="shared" si="87"/>
        <v>0</v>
      </c>
      <c r="K701" s="198">
        <f t="shared" si="82"/>
        <v>0</v>
      </c>
      <c r="L701" s="198">
        <f>COUNTIF(J701:K701,"&lt;&gt;0")*-'Trading Model'!$E$15</f>
        <v>0</v>
      </c>
      <c r="M701" s="198">
        <f t="shared" si="80"/>
        <v>0</v>
      </c>
      <c r="N701" s="75">
        <f t="shared" si="83"/>
        <v>33</v>
      </c>
      <c r="O701" s="202">
        <f t="shared" si="84"/>
        <v>0</v>
      </c>
      <c r="P701" s="199">
        <f t="shared" si="81"/>
        <v>0</v>
      </c>
      <c r="Q701" s="203">
        <f t="shared" si="85"/>
        <v>65.900000000001938</v>
      </c>
      <c r="R701" s="203" t="s">
        <v>55</v>
      </c>
      <c r="S701" s="201">
        <f t="shared" si="86"/>
        <v>2.2690437601296409E-2</v>
      </c>
    </row>
    <row r="702" spans="1:19">
      <c r="A702" s="196">
        <v>40984</v>
      </c>
      <c r="B702" s="122">
        <v>19</v>
      </c>
      <c r="C702" s="122">
        <v>19.27</v>
      </c>
      <c r="D702" s="122">
        <v>18.700001</v>
      </c>
      <c r="E702" s="122">
        <v>18.82</v>
      </c>
      <c r="F702" s="122">
        <v>13.239952000000001</v>
      </c>
      <c r="G702" s="197">
        <v>181700</v>
      </c>
      <c r="H702" s="198">
        <f>IF(AND(E701&gt;=H701,E702&gt;=E701),E701*(1+'Trading Model'!$E$13),IF(AND(E702&lt;E701,E701&gt;=H701),E702*(1+'Trading Model'!$E$13),H701))</f>
        <v>27.698998950000004</v>
      </c>
      <c r="I702" s="198">
        <f>IF(K702&gt;0,E702*(1-'Trading Model'!E712),IF(E702&lt;I701,I701*(1-'Trading Model'!$E$14),I701))</f>
        <v>16.625978798285779</v>
      </c>
      <c r="J702" s="198">
        <f t="shared" si="87"/>
        <v>0</v>
      </c>
      <c r="K702" s="198">
        <f t="shared" si="82"/>
        <v>0</v>
      </c>
      <c r="L702" s="198">
        <f>COUNTIF(J702:K702,"&lt;&gt;0")*-'Trading Model'!$E$15</f>
        <v>0</v>
      </c>
      <c r="M702" s="198">
        <f t="shared" si="80"/>
        <v>0</v>
      </c>
      <c r="N702" s="75">
        <f t="shared" si="83"/>
        <v>33</v>
      </c>
      <c r="O702" s="202">
        <f t="shared" si="84"/>
        <v>0</v>
      </c>
      <c r="P702" s="199">
        <f t="shared" si="81"/>
        <v>0</v>
      </c>
      <c r="Q702" s="203">
        <f t="shared" si="85"/>
        <v>65.800000000001944</v>
      </c>
      <c r="R702" s="201">
        <f>E702/B698-1</f>
        <v>3.1232876712328883E-2</v>
      </c>
      <c r="S702" s="201">
        <f t="shared" si="86"/>
        <v>-5.8108821975699776E-3</v>
      </c>
    </row>
    <row r="703" spans="1:19">
      <c r="A703" s="196">
        <v>40987</v>
      </c>
      <c r="B703" s="122">
        <v>18.809999000000001</v>
      </c>
      <c r="C703" s="122">
        <v>19.18</v>
      </c>
      <c r="D703" s="122">
        <v>18.75</v>
      </c>
      <c r="E703" s="122">
        <v>18.93</v>
      </c>
      <c r="F703" s="122">
        <v>13.317335999999999</v>
      </c>
      <c r="G703" s="197">
        <v>223300</v>
      </c>
      <c r="H703" s="198">
        <f>IF(AND(E702&gt;=H702,E703&gt;=E702),E702*(1+'Trading Model'!$E$13),IF(AND(E703&lt;E702,E702&gt;=H702),E703*(1+'Trading Model'!$E$13),H702))</f>
        <v>27.698998950000004</v>
      </c>
      <c r="I703" s="198">
        <f>IF(K703&gt;0,E703*(1-'Trading Model'!E713),IF(E703&lt;I702,I702*(1-'Trading Model'!$E$14),I702))</f>
        <v>16.625978798285779</v>
      </c>
      <c r="J703" s="198">
        <f t="shared" si="87"/>
        <v>0</v>
      </c>
      <c r="K703" s="198">
        <f t="shared" si="82"/>
        <v>0</v>
      </c>
      <c r="L703" s="198">
        <f>COUNTIF(J703:K703,"&lt;&gt;0")*-'Trading Model'!$E$15</f>
        <v>0</v>
      </c>
      <c r="M703" s="198">
        <f t="shared" si="80"/>
        <v>0</v>
      </c>
      <c r="N703" s="75">
        <f t="shared" si="83"/>
        <v>33</v>
      </c>
      <c r="O703" s="202">
        <f t="shared" si="84"/>
        <v>0</v>
      </c>
      <c r="P703" s="199">
        <f t="shared" si="81"/>
        <v>0</v>
      </c>
      <c r="Q703" s="203">
        <f t="shared" si="85"/>
        <v>65.800000000001944</v>
      </c>
      <c r="R703" s="160" t="s">
        <v>55</v>
      </c>
      <c r="S703" s="201">
        <f t="shared" si="86"/>
        <v>5.8448459086077875E-3</v>
      </c>
    </row>
    <row r="704" spans="1:19">
      <c r="A704" s="196">
        <v>40988</v>
      </c>
      <c r="B704" s="122">
        <v>18.870000999999998</v>
      </c>
      <c r="C704" s="122">
        <v>18.870000999999998</v>
      </c>
      <c r="D704" s="122">
        <v>18.420000000000002</v>
      </c>
      <c r="E704" s="122">
        <v>18.5</v>
      </c>
      <c r="F704" s="122">
        <v>13.01483</v>
      </c>
      <c r="G704" s="197">
        <v>174200</v>
      </c>
      <c r="H704" s="198">
        <f>IF(AND(E703&gt;=H703,E704&gt;=E703),E703*(1+'Trading Model'!$E$13),IF(AND(E704&lt;E703,E703&gt;=H703),E704*(1+'Trading Model'!$E$13),H703))</f>
        <v>27.698998950000004</v>
      </c>
      <c r="I704" s="198">
        <f>IF(K704&gt;0,E704*(1-'Trading Model'!E714),IF(E704&lt;I703,I703*(1-'Trading Model'!$E$14),I703))</f>
        <v>16.625978798285779</v>
      </c>
      <c r="J704" s="198">
        <f t="shared" si="87"/>
        <v>0</v>
      </c>
      <c r="K704" s="198">
        <f t="shared" si="82"/>
        <v>0</v>
      </c>
      <c r="L704" s="198">
        <f>COUNTIF(J704:K704,"&lt;&gt;0")*-'Trading Model'!$E$15</f>
        <v>0</v>
      </c>
      <c r="M704" s="198">
        <f t="shared" si="80"/>
        <v>0</v>
      </c>
      <c r="N704" s="75">
        <f t="shared" si="83"/>
        <v>33</v>
      </c>
      <c r="O704" s="202">
        <f t="shared" si="84"/>
        <v>0</v>
      </c>
      <c r="P704" s="199">
        <f t="shared" si="81"/>
        <v>0</v>
      </c>
      <c r="Q704" s="203">
        <f t="shared" si="85"/>
        <v>65.70000000000195</v>
      </c>
      <c r="R704" s="203" t="s">
        <v>55</v>
      </c>
      <c r="S704" s="201">
        <f t="shared" si="86"/>
        <v>-2.2715266772319054E-2</v>
      </c>
    </row>
    <row r="705" spans="1:19">
      <c r="A705" s="196">
        <v>40989</v>
      </c>
      <c r="B705" s="122">
        <v>18.530000999999999</v>
      </c>
      <c r="C705" s="122">
        <v>18.860001</v>
      </c>
      <c r="D705" s="122">
        <v>18.389999</v>
      </c>
      <c r="E705" s="122">
        <v>18.850000000000001</v>
      </c>
      <c r="F705" s="122">
        <v>13.261056999999999</v>
      </c>
      <c r="G705" s="197">
        <v>283600</v>
      </c>
      <c r="H705" s="198">
        <f>IF(AND(E704&gt;=H704,E705&gt;=E704),E704*(1+'Trading Model'!$E$13),IF(AND(E705&lt;E704,E704&gt;=H704),E705*(1+'Trading Model'!$E$13),H704))</f>
        <v>27.698998950000004</v>
      </c>
      <c r="I705" s="198">
        <f>IF(K705&gt;0,E705*(1-'Trading Model'!E715),IF(E705&lt;I704,I704*(1-'Trading Model'!$E$14),I704))</f>
        <v>16.625978798285779</v>
      </c>
      <c r="J705" s="198">
        <f t="shared" si="87"/>
        <v>0</v>
      </c>
      <c r="K705" s="198">
        <f t="shared" si="82"/>
        <v>0</v>
      </c>
      <c r="L705" s="198">
        <f>COUNTIF(J705:K705,"&lt;&gt;0")*-'Trading Model'!$E$15</f>
        <v>0</v>
      </c>
      <c r="M705" s="198">
        <f t="shared" si="80"/>
        <v>0</v>
      </c>
      <c r="N705" s="75">
        <f t="shared" si="83"/>
        <v>33</v>
      </c>
      <c r="O705" s="202">
        <f t="shared" si="84"/>
        <v>0</v>
      </c>
      <c r="P705" s="199">
        <f t="shared" si="81"/>
        <v>0</v>
      </c>
      <c r="Q705" s="203">
        <f t="shared" si="85"/>
        <v>65.70000000000195</v>
      </c>
      <c r="R705" s="203" t="s">
        <v>55</v>
      </c>
      <c r="S705" s="201">
        <f t="shared" si="86"/>
        <v>1.8918918918918948E-2</v>
      </c>
    </row>
    <row r="706" spans="1:19">
      <c r="A706" s="196">
        <v>40990</v>
      </c>
      <c r="B706" s="122">
        <v>18.829999999999998</v>
      </c>
      <c r="C706" s="122">
        <v>19.049999</v>
      </c>
      <c r="D706" s="122">
        <v>18.639999</v>
      </c>
      <c r="E706" s="122">
        <v>19.02</v>
      </c>
      <c r="F706" s="122">
        <v>13.380652</v>
      </c>
      <c r="G706" s="197">
        <v>271500</v>
      </c>
      <c r="H706" s="198">
        <f>IF(AND(E705&gt;=H705,E706&gt;=E705),E705*(1+'Trading Model'!$E$13),IF(AND(E706&lt;E705,E705&gt;=H705),E706*(1+'Trading Model'!$E$13),H705))</f>
        <v>27.698998950000004</v>
      </c>
      <c r="I706" s="198">
        <f>IF(K706&gt;0,E706*(1-'Trading Model'!E716),IF(E706&lt;I705,I705*(1-'Trading Model'!$E$14),I705))</f>
        <v>16.625978798285779</v>
      </c>
      <c r="J706" s="198">
        <f t="shared" si="87"/>
        <v>0</v>
      </c>
      <c r="K706" s="198">
        <f t="shared" si="82"/>
        <v>0</v>
      </c>
      <c r="L706" s="198">
        <f>COUNTIF(J706:K706,"&lt;&gt;0")*-'Trading Model'!$E$15</f>
        <v>0</v>
      </c>
      <c r="M706" s="198">
        <f t="shared" si="80"/>
        <v>0</v>
      </c>
      <c r="N706" s="75">
        <f t="shared" si="83"/>
        <v>33</v>
      </c>
      <c r="O706" s="202">
        <f t="shared" si="84"/>
        <v>0</v>
      </c>
      <c r="P706" s="199">
        <f t="shared" si="81"/>
        <v>0</v>
      </c>
      <c r="Q706" s="203">
        <f t="shared" si="85"/>
        <v>65.70000000000195</v>
      </c>
      <c r="R706" s="203" t="s">
        <v>55</v>
      </c>
      <c r="S706" s="201">
        <f t="shared" si="86"/>
        <v>9.0185676392571246E-3</v>
      </c>
    </row>
    <row r="707" spans="1:19">
      <c r="A707" s="196">
        <v>40991</v>
      </c>
      <c r="B707" s="122">
        <v>19.02</v>
      </c>
      <c r="C707" s="122">
        <v>19.049999</v>
      </c>
      <c r="D707" s="122">
        <v>18.450001</v>
      </c>
      <c r="E707" s="122">
        <v>18.629999000000002</v>
      </c>
      <c r="F707" s="122">
        <v>13.106284</v>
      </c>
      <c r="G707" s="197">
        <v>247200</v>
      </c>
      <c r="H707" s="198">
        <f>IF(AND(E706&gt;=H706,E707&gt;=E706),E706*(1+'Trading Model'!$E$13),IF(AND(E707&lt;E706,E706&gt;=H706),E707*(1+'Trading Model'!$E$13),H706))</f>
        <v>27.698998950000004</v>
      </c>
      <c r="I707" s="198">
        <f>IF(K707&gt;0,E707*(1-'Trading Model'!E717),IF(E707&lt;I706,I706*(1-'Trading Model'!$E$14),I706))</f>
        <v>16.625978798285779</v>
      </c>
      <c r="J707" s="198">
        <f t="shared" si="87"/>
        <v>0</v>
      </c>
      <c r="K707" s="198">
        <f t="shared" si="82"/>
        <v>0</v>
      </c>
      <c r="L707" s="198">
        <f>COUNTIF(J707:K707,"&lt;&gt;0")*-'Trading Model'!$E$15</f>
        <v>0</v>
      </c>
      <c r="M707" s="198">
        <f t="shared" ref="M707:M770" si="88">SUM(J707:L707)</f>
        <v>0</v>
      </c>
      <c r="N707" s="75">
        <f t="shared" si="83"/>
        <v>33</v>
      </c>
      <c r="O707" s="202">
        <f t="shared" si="84"/>
        <v>0</v>
      </c>
      <c r="P707" s="199">
        <f t="shared" ref="P707:P770" si="89">IFERROR(VLOOKUP(A707,Dividends,2,FALSE),$U$1)</f>
        <v>0</v>
      </c>
      <c r="Q707" s="203">
        <f t="shared" si="85"/>
        <v>65.600000000001955</v>
      </c>
      <c r="R707" s="201">
        <f>E707/B703-1</f>
        <v>-9.5693784991695008E-3</v>
      </c>
      <c r="S707" s="201">
        <f t="shared" si="86"/>
        <v>-2.0504784437434198E-2</v>
      </c>
    </row>
    <row r="708" spans="1:19">
      <c r="A708" s="196">
        <v>40994</v>
      </c>
      <c r="B708" s="122">
        <v>18.469999000000001</v>
      </c>
      <c r="C708" s="122">
        <v>18.850000000000001</v>
      </c>
      <c r="D708" s="122">
        <v>17.450001</v>
      </c>
      <c r="E708" s="122">
        <v>17.82</v>
      </c>
      <c r="F708" s="122">
        <v>12.536446</v>
      </c>
      <c r="G708" s="197">
        <v>788500</v>
      </c>
      <c r="H708" s="198">
        <f>IF(AND(E707&gt;=H707,E708&gt;=E707),E707*(1+'Trading Model'!$E$13),IF(AND(E708&lt;E707,E707&gt;=H707),E708*(1+'Trading Model'!$E$13),H707))</f>
        <v>27.698998950000004</v>
      </c>
      <c r="I708" s="198">
        <f>IF(K708&gt;0,E708*(1-'Trading Model'!E718),IF(E708&lt;I707,I707*(1-'Trading Model'!$E$14),I707))</f>
        <v>16.625978798285779</v>
      </c>
      <c r="J708" s="198">
        <f t="shared" si="87"/>
        <v>0</v>
      </c>
      <c r="K708" s="198">
        <f t="shared" ref="K708:K771" si="90">IF(E708&gt;=H708,E708,0)</f>
        <v>0</v>
      </c>
      <c r="L708" s="198">
        <f>COUNTIF(J708:K708,"&lt;&gt;0")*-'Trading Model'!$E$15</f>
        <v>0</v>
      </c>
      <c r="M708" s="198">
        <f t="shared" si="88"/>
        <v>0</v>
      </c>
      <c r="N708" s="75">
        <f t="shared" ref="N708:N771" si="91">IF(AND(J708&lt;0,K708&gt;0),N707,(IF(J708&lt;0,N707+1,IF(K708&gt;0,N707+1,N707))))</f>
        <v>33</v>
      </c>
      <c r="O708" s="202">
        <f t="shared" ref="O708:O771" si="92">P708</f>
        <v>0</v>
      </c>
      <c r="P708" s="199">
        <f t="shared" si="89"/>
        <v>0</v>
      </c>
      <c r="Q708" s="203">
        <f t="shared" ref="Q708:Q771" si="93">IF(E708&lt;E707,Q707-0.1,Q707)</f>
        <v>65.500000000001961</v>
      </c>
      <c r="R708" s="160" t="s">
        <v>55</v>
      </c>
      <c r="S708" s="201">
        <f t="shared" ref="S708:S771" si="94">E708/E707-1</f>
        <v>-4.3478209526473965E-2</v>
      </c>
    </row>
    <row r="709" spans="1:19">
      <c r="A709" s="196">
        <v>40995</v>
      </c>
      <c r="B709" s="122">
        <v>17.829999999999998</v>
      </c>
      <c r="C709" s="122">
        <v>17.889999</v>
      </c>
      <c r="D709" s="122">
        <v>17.459999</v>
      </c>
      <c r="E709" s="122">
        <v>17.610001</v>
      </c>
      <c r="F709" s="122">
        <v>12.38871</v>
      </c>
      <c r="G709" s="197">
        <v>357300</v>
      </c>
      <c r="H709" s="198">
        <f>IF(AND(E708&gt;=H708,E709&gt;=E708),E708*(1+'Trading Model'!$E$13),IF(AND(E709&lt;E708,E708&gt;=H708),E709*(1+'Trading Model'!$E$13),H708))</f>
        <v>27.698998950000004</v>
      </c>
      <c r="I709" s="198">
        <f>IF(K709&gt;0,E709*(1-'Trading Model'!E719),IF(E709&lt;I708,I708*(1-'Trading Model'!$E$14),I708))</f>
        <v>16.625978798285779</v>
      </c>
      <c r="J709" s="198">
        <f t="shared" ref="J709:J772" si="95">IF(E709&gt;=H709,-E709,IF(E709&lt;=I708,-E709,0))</f>
        <v>0</v>
      </c>
      <c r="K709" s="198">
        <f t="shared" si="90"/>
        <v>0</v>
      </c>
      <c r="L709" s="198">
        <f>COUNTIF(J709:K709,"&lt;&gt;0")*-'Trading Model'!$E$15</f>
        <v>0</v>
      </c>
      <c r="M709" s="198">
        <f t="shared" si="88"/>
        <v>0</v>
      </c>
      <c r="N709" s="75">
        <f t="shared" si="91"/>
        <v>33</v>
      </c>
      <c r="O709" s="202">
        <f t="shared" si="92"/>
        <v>0</v>
      </c>
      <c r="P709" s="199">
        <f t="shared" si="89"/>
        <v>0</v>
      </c>
      <c r="Q709" s="203">
        <f t="shared" si="93"/>
        <v>65.400000000001967</v>
      </c>
      <c r="R709" s="203" t="s">
        <v>55</v>
      </c>
      <c r="S709" s="201">
        <f t="shared" si="94"/>
        <v>-1.1784455667788962E-2</v>
      </c>
    </row>
    <row r="710" spans="1:19">
      <c r="A710" s="196">
        <v>40996</v>
      </c>
      <c r="B710" s="122">
        <v>17.73</v>
      </c>
      <c r="C710" s="122">
        <v>17.799999</v>
      </c>
      <c r="D710" s="122">
        <v>17.299999</v>
      </c>
      <c r="E710" s="122">
        <v>17.510000000000002</v>
      </c>
      <c r="F710" s="122">
        <v>12.318358</v>
      </c>
      <c r="G710" s="197">
        <v>431600</v>
      </c>
      <c r="H710" s="198">
        <f>IF(AND(E709&gt;=H709,E710&gt;=E709),E709*(1+'Trading Model'!$E$13),IF(AND(E710&lt;E709,E709&gt;=H709),E710*(1+'Trading Model'!$E$13),H709))</f>
        <v>27.698998950000004</v>
      </c>
      <c r="I710" s="198">
        <f>IF(K710&gt;0,E710*(1-'Trading Model'!E720),IF(E710&lt;I709,I709*(1-'Trading Model'!$E$14),I709))</f>
        <v>16.625978798285779</v>
      </c>
      <c r="J710" s="198">
        <f t="shared" si="95"/>
        <v>0</v>
      </c>
      <c r="K710" s="198">
        <f t="shared" si="90"/>
        <v>0</v>
      </c>
      <c r="L710" s="198">
        <f>COUNTIF(J710:K710,"&lt;&gt;0")*-'Trading Model'!$E$15</f>
        <v>0</v>
      </c>
      <c r="M710" s="198">
        <f t="shared" si="88"/>
        <v>0</v>
      </c>
      <c r="N710" s="75">
        <f t="shared" si="91"/>
        <v>33</v>
      </c>
      <c r="O710" s="202">
        <f t="shared" si="92"/>
        <v>0</v>
      </c>
      <c r="P710" s="199">
        <f t="shared" si="89"/>
        <v>0</v>
      </c>
      <c r="Q710" s="203">
        <f t="shared" si="93"/>
        <v>65.300000000001972</v>
      </c>
      <c r="R710" s="203" t="s">
        <v>55</v>
      </c>
      <c r="S710" s="201">
        <f t="shared" si="94"/>
        <v>-5.6786481727059135E-3</v>
      </c>
    </row>
    <row r="711" spans="1:19">
      <c r="A711" s="196">
        <v>40997</v>
      </c>
      <c r="B711" s="122">
        <v>17.510000000000002</v>
      </c>
      <c r="C711" s="122">
        <v>17.68</v>
      </c>
      <c r="D711" s="122">
        <v>17.219999000000001</v>
      </c>
      <c r="E711" s="122">
        <v>17.600000000000001</v>
      </c>
      <c r="F711" s="122">
        <v>12.381675</v>
      </c>
      <c r="G711" s="197">
        <v>481500</v>
      </c>
      <c r="H711" s="198">
        <f>IF(AND(E710&gt;=H710,E711&gt;=E710),E710*(1+'Trading Model'!$E$13),IF(AND(E711&lt;E710,E710&gt;=H710),E711*(1+'Trading Model'!$E$13),H710))</f>
        <v>27.698998950000004</v>
      </c>
      <c r="I711" s="198">
        <f>IF(K711&gt;0,E711*(1-'Trading Model'!E721),IF(E711&lt;I710,I710*(1-'Trading Model'!$E$14),I710))</f>
        <v>16.625978798285779</v>
      </c>
      <c r="J711" s="198">
        <f t="shared" si="95"/>
        <v>0</v>
      </c>
      <c r="K711" s="198">
        <f t="shared" si="90"/>
        <v>0</v>
      </c>
      <c r="L711" s="198">
        <f>COUNTIF(J711:K711,"&lt;&gt;0")*-'Trading Model'!$E$15</f>
        <v>0</v>
      </c>
      <c r="M711" s="198">
        <f t="shared" si="88"/>
        <v>0</v>
      </c>
      <c r="N711" s="75">
        <f t="shared" si="91"/>
        <v>33</v>
      </c>
      <c r="O711" s="202">
        <f t="shared" si="92"/>
        <v>0</v>
      </c>
      <c r="P711" s="199">
        <f t="shared" si="89"/>
        <v>0</v>
      </c>
      <c r="Q711" s="203">
        <f t="shared" si="93"/>
        <v>65.300000000001972</v>
      </c>
      <c r="R711" s="203" t="s">
        <v>55</v>
      </c>
      <c r="S711" s="201">
        <f t="shared" si="94"/>
        <v>5.1399200456880845E-3</v>
      </c>
    </row>
    <row r="712" spans="1:19">
      <c r="A712" s="196">
        <v>40998</v>
      </c>
      <c r="B712" s="122">
        <v>17.600000000000001</v>
      </c>
      <c r="C712" s="122">
        <v>17.98</v>
      </c>
      <c r="D712" s="122">
        <v>17.600000000000001</v>
      </c>
      <c r="E712" s="122">
        <v>17.719999000000001</v>
      </c>
      <c r="F712" s="122">
        <v>12.466096</v>
      </c>
      <c r="G712" s="197">
        <v>254800</v>
      </c>
      <c r="H712" s="198">
        <f>IF(AND(E711&gt;=H711,E712&gt;=E711),E711*(1+'Trading Model'!$E$13),IF(AND(E712&lt;E711,E711&gt;=H711),E712*(1+'Trading Model'!$E$13),H711))</f>
        <v>27.698998950000004</v>
      </c>
      <c r="I712" s="198">
        <f>IF(K712&gt;0,E712*(1-'Trading Model'!E722),IF(E712&lt;I711,I711*(1-'Trading Model'!$E$14),I711))</f>
        <v>16.625978798285779</v>
      </c>
      <c r="J712" s="198">
        <f t="shared" si="95"/>
        <v>0</v>
      </c>
      <c r="K712" s="198">
        <f t="shared" si="90"/>
        <v>0</v>
      </c>
      <c r="L712" s="198">
        <f>COUNTIF(J712:K712,"&lt;&gt;0")*-'Trading Model'!$E$15</f>
        <v>0</v>
      </c>
      <c r="M712" s="198">
        <f t="shared" si="88"/>
        <v>0</v>
      </c>
      <c r="N712" s="75">
        <f t="shared" si="91"/>
        <v>33</v>
      </c>
      <c r="O712" s="202">
        <f t="shared" si="92"/>
        <v>0</v>
      </c>
      <c r="P712" s="199">
        <f t="shared" si="89"/>
        <v>0</v>
      </c>
      <c r="Q712" s="203">
        <f t="shared" si="93"/>
        <v>65.300000000001972</v>
      </c>
      <c r="R712" s="201">
        <f>E712/B708-1</f>
        <v>-4.0606390937000025E-2</v>
      </c>
      <c r="S712" s="201">
        <f t="shared" si="94"/>
        <v>6.8181249999998972E-3</v>
      </c>
    </row>
    <row r="713" spans="1:19">
      <c r="A713" s="196">
        <v>41001</v>
      </c>
      <c r="B713" s="122">
        <v>17.719999000000001</v>
      </c>
      <c r="C713" s="122">
        <v>17.920000000000002</v>
      </c>
      <c r="D713" s="122">
        <v>17.350000000000001</v>
      </c>
      <c r="E713" s="122">
        <v>17.379999000000002</v>
      </c>
      <c r="F713" s="122">
        <v>12.226903999999999</v>
      </c>
      <c r="G713" s="197">
        <v>422600</v>
      </c>
      <c r="H713" s="198">
        <f>IF(AND(E712&gt;=H712,E713&gt;=E712),E712*(1+'Trading Model'!$E$13),IF(AND(E713&lt;E712,E712&gt;=H712),E713*(1+'Trading Model'!$E$13),H712))</f>
        <v>27.698998950000004</v>
      </c>
      <c r="I713" s="198">
        <f>IF(K713&gt;0,E713*(1-'Trading Model'!E723),IF(E713&lt;I712,I712*(1-'Trading Model'!$E$14),I712))</f>
        <v>16.625978798285779</v>
      </c>
      <c r="J713" s="198">
        <f t="shared" si="95"/>
        <v>0</v>
      </c>
      <c r="K713" s="198">
        <f t="shared" si="90"/>
        <v>0</v>
      </c>
      <c r="L713" s="198">
        <f>COUNTIF(J713:K713,"&lt;&gt;0")*-'Trading Model'!$E$15</f>
        <v>0</v>
      </c>
      <c r="M713" s="198">
        <f t="shared" si="88"/>
        <v>0</v>
      </c>
      <c r="N713" s="75">
        <f t="shared" si="91"/>
        <v>33</v>
      </c>
      <c r="O713" s="202">
        <f t="shared" si="92"/>
        <v>0</v>
      </c>
      <c r="P713" s="199">
        <f t="shared" si="89"/>
        <v>0</v>
      </c>
      <c r="Q713" s="203">
        <f t="shared" si="93"/>
        <v>65.200000000001978</v>
      </c>
      <c r="R713" s="160" t="s">
        <v>55</v>
      </c>
      <c r="S713" s="201">
        <f t="shared" si="94"/>
        <v>-1.9187359999286668E-2</v>
      </c>
    </row>
    <row r="714" spans="1:19">
      <c r="A714" s="196">
        <v>41002</v>
      </c>
      <c r="B714" s="122">
        <v>17.43</v>
      </c>
      <c r="C714" s="122">
        <v>17.68</v>
      </c>
      <c r="D714" s="122">
        <v>17.209999</v>
      </c>
      <c r="E714" s="122">
        <v>17.549999</v>
      </c>
      <c r="F714" s="122">
        <v>12.346500000000001</v>
      </c>
      <c r="G714" s="197">
        <v>315800</v>
      </c>
      <c r="H714" s="198">
        <f>IF(AND(E713&gt;=H713,E714&gt;=E713),E713*(1+'Trading Model'!$E$13),IF(AND(E714&lt;E713,E713&gt;=H713),E714*(1+'Trading Model'!$E$13),H713))</f>
        <v>27.698998950000004</v>
      </c>
      <c r="I714" s="198">
        <f>IF(K714&gt;0,E714*(1-'Trading Model'!E724),IF(E714&lt;I713,I713*(1-'Trading Model'!$E$14),I713))</f>
        <v>16.625978798285779</v>
      </c>
      <c r="J714" s="198">
        <f t="shared" si="95"/>
        <v>0</v>
      </c>
      <c r="K714" s="198">
        <f t="shared" si="90"/>
        <v>0</v>
      </c>
      <c r="L714" s="198">
        <f>COUNTIF(J714:K714,"&lt;&gt;0")*-'Trading Model'!$E$15</f>
        <v>0</v>
      </c>
      <c r="M714" s="198">
        <f t="shared" si="88"/>
        <v>0</v>
      </c>
      <c r="N714" s="75">
        <f t="shared" si="91"/>
        <v>33</v>
      </c>
      <c r="O714" s="202">
        <f t="shared" si="92"/>
        <v>0</v>
      </c>
      <c r="P714" s="199">
        <f t="shared" si="89"/>
        <v>0</v>
      </c>
      <c r="Q714" s="203">
        <f t="shared" si="93"/>
        <v>65.200000000001978</v>
      </c>
      <c r="R714" s="203" t="s">
        <v>55</v>
      </c>
      <c r="S714" s="201">
        <f t="shared" si="94"/>
        <v>9.7813584454176095E-3</v>
      </c>
    </row>
    <row r="715" spans="1:19">
      <c r="A715" s="196">
        <v>41003</v>
      </c>
      <c r="B715" s="122">
        <v>17.52</v>
      </c>
      <c r="C715" s="122">
        <v>17.549999</v>
      </c>
      <c r="D715" s="122">
        <v>17.280000999999999</v>
      </c>
      <c r="E715" s="122">
        <v>17.299999</v>
      </c>
      <c r="F715" s="122">
        <v>12.170623000000001</v>
      </c>
      <c r="G715" s="197">
        <v>623700</v>
      </c>
      <c r="H715" s="198">
        <f>IF(AND(E714&gt;=H714,E715&gt;=E714),E714*(1+'Trading Model'!$E$13),IF(AND(E715&lt;E714,E714&gt;=H714),E715*(1+'Trading Model'!$E$13),H714))</f>
        <v>27.698998950000004</v>
      </c>
      <c r="I715" s="198">
        <f>IF(K715&gt;0,E715*(1-'Trading Model'!E725),IF(E715&lt;I714,I714*(1-'Trading Model'!$E$14),I714))</f>
        <v>16.625978798285779</v>
      </c>
      <c r="J715" s="198">
        <f t="shared" si="95"/>
        <v>0</v>
      </c>
      <c r="K715" s="198">
        <f t="shared" si="90"/>
        <v>0</v>
      </c>
      <c r="L715" s="198">
        <f>COUNTIF(J715:K715,"&lt;&gt;0")*-'Trading Model'!$E$15</f>
        <v>0</v>
      </c>
      <c r="M715" s="198">
        <f t="shared" si="88"/>
        <v>0</v>
      </c>
      <c r="N715" s="75">
        <f t="shared" si="91"/>
        <v>33</v>
      </c>
      <c r="O715" s="202">
        <f t="shared" si="92"/>
        <v>0</v>
      </c>
      <c r="P715" s="199">
        <f t="shared" si="89"/>
        <v>0</v>
      </c>
      <c r="Q715" s="203">
        <f t="shared" si="93"/>
        <v>65.100000000001984</v>
      </c>
      <c r="R715" s="203" t="s">
        <v>55</v>
      </c>
      <c r="S715" s="201">
        <f t="shared" si="94"/>
        <v>-1.4245015056696064E-2</v>
      </c>
    </row>
    <row r="716" spans="1:19">
      <c r="A716" s="196">
        <v>41004</v>
      </c>
      <c r="B716" s="122">
        <v>17.25</v>
      </c>
      <c r="C716" s="122">
        <v>17.34</v>
      </c>
      <c r="D716" s="122">
        <v>17.07</v>
      </c>
      <c r="E716" s="122">
        <v>17.149999999999999</v>
      </c>
      <c r="F716" s="122">
        <v>12.065099</v>
      </c>
      <c r="G716" s="197">
        <v>217600</v>
      </c>
      <c r="H716" s="198">
        <f>IF(AND(E715&gt;=H715,E716&gt;=E715),E715*(1+'Trading Model'!$E$13),IF(AND(E716&lt;E715,E715&gt;=H715),E716*(1+'Trading Model'!$E$13),H715))</f>
        <v>27.698998950000004</v>
      </c>
      <c r="I716" s="198">
        <f>IF(K716&gt;0,E716*(1-'Trading Model'!E726),IF(E716&lt;I715,I715*(1-'Trading Model'!$E$14),I715))</f>
        <v>16.625978798285779</v>
      </c>
      <c r="J716" s="198">
        <f t="shared" si="95"/>
        <v>0</v>
      </c>
      <c r="K716" s="198">
        <f t="shared" si="90"/>
        <v>0</v>
      </c>
      <c r="L716" s="198">
        <f>COUNTIF(J716:K716,"&lt;&gt;0")*-'Trading Model'!$E$15</f>
        <v>0</v>
      </c>
      <c r="M716" s="198">
        <f t="shared" si="88"/>
        <v>0</v>
      </c>
      <c r="N716" s="75">
        <f t="shared" si="91"/>
        <v>33</v>
      </c>
      <c r="O716" s="202">
        <f t="shared" si="92"/>
        <v>0</v>
      </c>
      <c r="P716" s="199">
        <f t="shared" si="89"/>
        <v>0</v>
      </c>
      <c r="Q716" s="203">
        <f t="shared" si="93"/>
        <v>65.00000000000199</v>
      </c>
      <c r="R716" s="203" t="s">
        <v>55</v>
      </c>
      <c r="S716" s="201">
        <f t="shared" si="94"/>
        <v>-8.6704629289285906E-3</v>
      </c>
    </row>
    <row r="717" spans="1:19">
      <c r="A717" s="196">
        <v>41008</v>
      </c>
      <c r="B717" s="122">
        <v>17.040001</v>
      </c>
      <c r="C717" s="122">
        <v>17.129999000000002</v>
      </c>
      <c r="D717" s="122">
        <v>17</v>
      </c>
      <c r="E717" s="122">
        <v>17.100000000000001</v>
      </c>
      <c r="F717" s="122">
        <v>12.029923999999999</v>
      </c>
      <c r="G717" s="197">
        <v>183100</v>
      </c>
      <c r="H717" s="198">
        <f>IF(AND(E716&gt;=H716,E717&gt;=E716),E716*(1+'Trading Model'!$E$13),IF(AND(E717&lt;E716,E716&gt;=H716),E717*(1+'Trading Model'!$E$13),H716))</f>
        <v>27.698998950000004</v>
      </c>
      <c r="I717" s="198">
        <f>IF(K717&gt;0,E717*(1-'Trading Model'!E727),IF(E717&lt;I716,I716*(1-'Trading Model'!$E$14),I716))</f>
        <v>16.625978798285779</v>
      </c>
      <c r="J717" s="198">
        <f t="shared" si="95"/>
        <v>0</v>
      </c>
      <c r="K717" s="198">
        <f t="shared" si="90"/>
        <v>0</v>
      </c>
      <c r="L717" s="198">
        <f>COUNTIF(J717:K717,"&lt;&gt;0")*-'Trading Model'!$E$15</f>
        <v>0</v>
      </c>
      <c r="M717" s="198">
        <f t="shared" si="88"/>
        <v>0</v>
      </c>
      <c r="N717" s="75">
        <f t="shared" si="91"/>
        <v>33</v>
      </c>
      <c r="O717" s="202">
        <f t="shared" si="92"/>
        <v>0</v>
      </c>
      <c r="P717" s="199">
        <f t="shared" si="89"/>
        <v>0</v>
      </c>
      <c r="Q717" s="203">
        <f t="shared" si="93"/>
        <v>64.900000000001995</v>
      </c>
      <c r="R717" s="201">
        <f>E717/B713-1</f>
        <v>-3.4988658859405164E-2</v>
      </c>
      <c r="S717" s="201">
        <f t="shared" si="94"/>
        <v>-2.9154518950436081E-3</v>
      </c>
    </row>
    <row r="718" spans="1:19">
      <c r="A718" s="196">
        <v>41009</v>
      </c>
      <c r="B718" s="122">
        <v>17.100000000000001</v>
      </c>
      <c r="C718" s="122">
        <v>17.190000999999999</v>
      </c>
      <c r="D718" s="122">
        <v>16.950001</v>
      </c>
      <c r="E718" s="122">
        <v>17.190000999999999</v>
      </c>
      <c r="F718" s="122">
        <v>12.093237999999999</v>
      </c>
      <c r="G718" s="197">
        <v>501800</v>
      </c>
      <c r="H718" s="198">
        <f>IF(AND(E717&gt;=H717,E718&gt;=E717),E717*(1+'Trading Model'!$E$13),IF(AND(E718&lt;E717,E717&gt;=H717),E718*(1+'Trading Model'!$E$13),H717))</f>
        <v>27.698998950000004</v>
      </c>
      <c r="I718" s="198">
        <f>IF(K718&gt;0,E718*(1-'Trading Model'!E728),IF(E718&lt;I717,I717*(1-'Trading Model'!$E$14),I717))</f>
        <v>16.625978798285779</v>
      </c>
      <c r="J718" s="198">
        <f t="shared" si="95"/>
        <v>0</v>
      </c>
      <c r="K718" s="198">
        <f t="shared" si="90"/>
        <v>0</v>
      </c>
      <c r="L718" s="198">
        <f>COUNTIF(J718:K718,"&lt;&gt;0")*-'Trading Model'!$E$15</f>
        <v>0</v>
      </c>
      <c r="M718" s="198">
        <f t="shared" si="88"/>
        <v>0</v>
      </c>
      <c r="N718" s="75">
        <f t="shared" si="91"/>
        <v>33</v>
      </c>
      <c r="O718" s="202">
        <f t="shared" si="92"/>
        <v>0</v>
      </c>
      <c r="P718" s="199">
        <f t="shared" si="89"/>
        <v>0</v>
      </c>
      <c r="Q718" s="203">
        <f t="shared" si="93"/>
        <v>64.900000000001995</v>
      </c>
      <c r="R718" s="160" t="s">
        <v>55</v>
      </c>
      <c r="S718" s="201">
        <f t="shared" si="94"/>
        <v>5.2632163742687421E-3</v>
      </c>
    </row>
    <row r="719" spans="1:19">
      <c r="A719" s="196">
        <v>41010</v>
      </c>
      <c r="B719" s="122">
        <v>17.290001</v>
      </c>
      <c r="C719" s="122">
        <v>17.370000999999998</v>
      </c>
      <c r="D719" s="122">
        <v>17.200001</v>
      </c>
      <c r="E719" s="122">
        <v>17.34</v>
      </c>
      <c r="F719" s="122">
        <v>12.198763</v>
      </c>
      <c r="G719" s="197">
        <v>293600</v>
      </c>
      <c r="H719" s="198">
        <f>IF(AND(E718&gt;=H718,E719&gt;=E718),E718*(1+'Trading Model'!$E$13),IF(AND(E719&lt;E718,E718&gt;=H718),E719*(1+'Trading Model'!$E$13),H718))</f>
        <v>27.698998950000004</v>
      </c>
      <c r="I719" s="198">
        <f>IF(K719&gt;0,E719*(1-'Trading Model'!E729),IF(E719&lt;I718,I718*(1-'Trading Model'!$E$14),I718))</f>
        <v>16.625978798285779</v>
      </c>
      <c r="J719" s="198">
        <f t="shared" si="95"/>
        <v>0</v>
      </c>
      <c r="K719" s="198">
        <f t="shared" si="90"/>
        <v>0</v>
      </c>
      <c r="L719" s="198">
        <f>COUNTIF(J719:K719,"&lt;&gt;0")*-'Trading Model'!$E$15</f>
        <v>0</v>
      </c>
      <c r="M719" s="198">
        <f t="shared" si="88"/>
        <v>0</v>
      </c>
      <c r="N719" s="75">
        <f t="shared" si="91"/>
        <v>33</v>
      </c>
      <c r="O719" s="202">
        <f t="shared" si="92"/>
        <v>0</v>
      </c>
      <c r="P719" s="199">
        <f t="shared" si="89"/>
        <v>0</v>
      </c>
      <c r="Q719" s="203">
        <f t="shared" si="93"/>
        <v>64.900000000001995</v>
      </c>
      <c r="R719" s="203" t="s">
        <v>55</v>
      </c>
      <c r="S719" s="201">
        <f t="shared" si="94"/>
        <v>8.725944809427455E-3</v>
      </c>
    </row>
    <row r="720" spans="1:19">
      <c r="A720" s="196">
        <v>41011</v>
      </c>
      <c r="B720" s="122">
        <v>17.290001</v>
      </c>
      <c r="C720" s="122">
        <v>17.48</v>
      </c>
      <c r="D720" s="122">
        <v>17.190000999999999</v>
      </c>
      <c r="E720" s="122">
        <v>17.27</v>
      </c>
      <c r="F720" s="122">
        <v>12.149520000000001</v>
      </c>
      <c r="G720" s="197">
        <v>265500</v>
      </c>
      <c r="H720" s="198">
        <f>IF(AND(E719&gt;=H719,E720&gt;=E719),E719*(1+'Trading Model'!$E$13),IF(AND(E720&lt;E719,E719&gt;=H719),E720*(1+'Trading Model'!$E$13),H719))</f>
        <v>27.698998950000004</v>
      </c>
      <c r="I720" s="198">
        <f>IF(K720&gt;0,E720*(1-'Trading Model'!E730),IF(E720&lt;I719,I719*(1-'Trading Model'!$E$14),I719))</f>
        <v>16.625978798285779</v>
      </c>
      <c r="J720" s="198">
        <f t="shared" si="95"/>
        <v>0</v>
      </c>
      <c r="K720" s="198">
        <f t="shared" si="90"/>
        <v>0</v>
      </c>
      <c r="L720" s="198">
        <f>COUNTIF(J720:K720,"&lt;&gt;0")*-'Trading Model'!$E$15</f>
        <v>0</v>
      </c>
      <c r="M720" s="198">
        <f t="shared" si="88"/>
        <v>0</v>
      </c>
      <c r="N720" s="75">
        <f t="shared" si="91"/>
        <v>33</v>
      </c>
      <c r="O720" s="202">
        <f t="shared" si="92"/>
        <v>0</v>
      </c>
      <c r="P720" s="199">
        <f t="shared" si="89"/>
        <v>0</v>
      </c>
      <c r="Q720" s="203">
        <f t="shared" si="93"/>
        <v>64.800000000002001</v>
      </c>
      <c r="R720" s="203" t="s">
        <v>55</v>
      </c>
      <c r="S720" s="201">
        <f t="shared" si="94"/>
        <v>-4.0369088811995635E-3</v>
      </c>
    </row>
    <row r="721" spans="1:19">
      <c r="A721" s="196">
        <v>41012</v>
      </c>
      <c r="B721" s="122">
        <v>17.18</v>
      </c>
      <c r="C721" s="122">
        <v>17.260000000000002</v>
      </c>
      <c r="D721" s="122">
        <v>16.690000999999999</v>
      </c>
      <c r="E721" s="122">
        <v>16.829999999999998</v>
      </c>
      <c r="F721" s="122">
        <v>11.839976</v>
      </c>
      <c r="G721" s="197">
        <v>445600</v>
      </c>
      <c r="H721" s="198">
        <f>IF(AND(E720&gt;=H720,E721&gt;=E720),E720*(1+'Trading Model'!$E$13),IF(AND(E721&lt;E720,E720&gt;=H720),E721*(1+'Trading Model'!$E$13),H720))</f>
        <v>27.698998950000004</v>
      </c>
      <c r="I721" s="198">
        <f>IF(K721&gt;0,E721*(1-'Trading Model'!E731),IF(E721&lt;I720,I720*(1-'Trading Model'!$E$14),I720))</f>
        <v>16.625978798285779</v>
      </c>
      <c r="J721" s="198">
        <f t="shared" si="95"/>
        <v>0</v>
      </c>
      <c r="K721" s="198">
        <f t="shared" si="90"/>
        <v>0</v>
      </c>
      <c r="L721" s="198">
        <f>COUNTIF(J721:K721,"&lt;&gt;0")*-'Trading Model'!$E$15</f>
        <v>0</v>
      </c>
      <c r="M721" s="198">
        <f t="shared" si="88"/>
        <v>0</v>
      </c>
      <c r="N721" s="75">
        <f t="shared" si="91"/>
        <v>33</v>
      </c>
      <c r="O721" s="202">
        <f t="shared" si="92"/>
        <v>0</v>
      </c>
      <c r="P721" s="199">
        <f t="shared" si="89"/>
        <v>0</v>
      </c>
      <c r="Q721" s="203">
        <f t="shared" si="93"/>
        <v>64.700000000002007</v>
      </c>
      <c r="R721" s="203" t="s">
        <v>55</v>
      </c>
      <c r="S721" s="201">
        <f t="shared" si="94"/>
        <v>-2.5477707006369532E-2</v>
      </c>
    </row>
    <row r="722" spans="1:19">
      <c r="A722" s="196">
        <v>41015</v>
      </c>
      <c r="B722" s="122">
        <v>16.82</v>
      </c>
      <c r="C722" s="122">
        <v>16.82</v>
      </c>
      <c r="D722" s="122">
        <v>16.18</v>
      </c>
      <c r="E722" s="122">
        <v>16.27</v>
      </c>
      <c r="F722" s="122">
        <v>11.446014</v>
      </c>
      <c r="G722" s="197">
        <v>535900</v>
      </c>
      <c r="H722" s="198">
        <f>IF(AND(E721&gt;=H721,E722&gt;=E721),E721*(1+'Trading Model'!$E$13),IF(AND(E722&lt;E721,E721&gt;=H721),E722*(1+'Trading Model'!$E$13),H721))</f>
        <v>27.698998950000004</v>
      </c>
      <c r="I722" s="198">
        <f>IF(K722&gt;0,E722*(1-'Trading Model'!E732),IF(E722&lt;I721,I721*(1-'Trading Model'!$E$14),I721))</f>
        <v>15.79467985837149</v>
      </c>
      <c r="J722" s="198">
        <f t="shared" si="95"/>
        <v>-16.27</v>
      </c>
      <c r="K722" s="198">
        <f t="shared" si="90"/>
        <v>0</v>
      </c>
      <c r="L722" s="198">
        <f>COUNTIF(J722:K722,"&lt;&gt;0")*-'Trading Model'!$E$15</f>
        <v>-0.1</v>
      </c>
      <c r="M722" s="198">
        <f t="shared" si="88"/>
        <v>-16.37</v>
      </c>
      <c r="N722" s="75">
        <f t="shared" si="91"/>
        <v>34</v>
      </c>
      <c r="O722" s="202">
        <f t="shared" si="92"/>
        <v>0</v>
      </c>
      <c r="P722" s="199">
        <f t="shared" si="89"/>
        <v>0</v>
      </c>
      <c r="Q722" s="203">
        <f t="shared" si="93"/>
        <v>64.600000000002012</v>
      </c>
      <c r="R722" s="201">
        <f>E722/B718-1</f>
        <v>-4.8538011695906547E-2</v>
      </c>
      <c r="S722" s="201">
        <f t="shared" si="94"/>
        <v>-3.3273915626856776E-2</v>
      </c>
    </row>
    <row r="723" spans="1:19">
      <c r="A723" s="196">
        <v>41016</v>
      </c>
      <c r="B723" s="122">
        <v>15.9</v>
      </c>
      <c r="C723" s="122">
        <v>15.95</v>
      </c>
      <c r="D723" s="122">
        <v>14.47</v>
      </c>
      <c r="E723" s="122">
        <v>14.59</v>
      </c>
      <c r="F723" s="122">
        <v>10.264127999999999</v>
      </c>
      <c r="G723" s="197">
        <v>1849100</v>
      </c>
      <c r="H723" s="198">
        <f>IF(AND(E722&gt;=H722,E723&gt;=E722),E722*(1+'Trading Model'!$E$13),IF(AND(E723&lt;E722,E722&gt;=H722),E723*(1+'Trading Model'!$E$13),H722))</f>
        <v>27.698998950000004</v>
      </c>
      <c r="I723" s="198">
        <f>IF(K723&gt;0,E723*(1-'Trading Model'!E733),IF(E723&lt;I722,I722*(1-'Trading Model'!$E$14),I722))</f>
        <v>15.004945865452914</v>
      </c>
      <c r="J723" s="198">
        <f t="shared" si="95"/>
        <v>-14.59</v>
      </c>
      <c r="K723" s="198">
        <f t="shared" si="90"/>
        <v>0</v>
      </c>
      <c r="L723" s="198">
        <f>COUNTIF(J723:K723,"&lt;&gt;0")*-'Trading Model'!$E$15</f>
        <v>-0.1</v>
      </c>
      <c r="M723" s="198">
        <f t="shared" si="88"/>
        <v>-14.69</v>
      </c>
      <c r="N723" s="75">
        <f t="shared" si="91"/>
        <v>35</v>
      </c>
      <c r="O723" s="202">
        <f t="shared" si="92"/>
        <v>0</v>
      </c>
      <c r="P723" s="199">
        <f t="shared" si="89"/>
        <v>0</v>
      </c>
      <c r="Q723" s="203">
        <f t="shared" si="93"/>
        <v>64.500000000002018</v>
      </c>
      <c r="R723" s="160" t="s">
        <v>55</v>
      </c>
      <c r="S723" s="201">
        <f t="shared" si="94"/>
        <v>-0.10325752919483711</v>
      </c>
    </row>
    <row r="724" spans="1:19">
      <c r="A724" s="196">
        <v>41017</v>
      </c>
      <c r="B724" s="122">
        <v>14.94</v>
      </c>
      <c r="C724" s="122">
        <v>14.95</v>
      </c>
      <c r="D724" s="122">
        <v>13.89</v>
      </c>
      <c r="E724" s="122">
        <v>14.79</v>
      </c>
      <c r="F724" s="122">
        <v>10.404828</v>
      </c>
      <c r="G724" s="197">
        <v>1496000</v>
      </c>
      <c r="H724" s="198">
        <f>IF(AND(E723&gt;=H723,E724&gt;=E723),E723*(1+'Trading Model'!$E$13),IF(AND(E724&lt;E723,E723&gt;=H723),E724*(1+'Trading Model'!$E$13),H723))</f>
        <v>27.698998950000004</v>
      </c>
      <c r="I724" s="198">
        <f>IF(K724&gt;0,E724*(1-'Trading Model'!E734),IF(E724&lt;I723,I723*(1-'Trading Model'!$E$14),I723))</f>
        <v>14.254698572180267</v>
      </c>
      <c r="J724" s="198">
        <f t="shared" si="95"/>
        <v>-14.79</v>
      </c>
      <c r="K724" s="198">
        <f t="shared" si="90"/>
        <v>0</v>
      </c>
      <c r="L724" s="198">
        <f>COUNTIF(J724:K724,"&lt;&gt;0")*-'Trading Model'!$E$15</f>
        <v>-0.1</v>
      </c>
      <c r="M724" s="198">
        <f t="shared" si="88"/>
        <v>-14.889999999999999</v>
      </c>
      <c r="N724" s="75">
        <f t="shared" si="91"/>
        <v>36</v>
      </c>
      <c r="O724" s="202">
        <f t="shared" si="92"/>
        <v>0</v>
      </c>
      <c r="P724" s="199">
        <f t="shared" si="89"/>
        <v>0</v>
      </c>
      <c r="Q724" s="203">
        <f t="shared" si="93"/>
        <v>64.500000000002018</v>
      </c>
      <c r="R724" s="203" t="s">
        <v>55</v>
      </c>
      <c r="S724" s="201">
        <f t="shared" si="94"/>
        <v>1.3708019191226883E-2</v>
      </c>
    </row>
    <row r="725" spans="1:19">
      <c r="A725" s="196">
        <v>41018</v>
      </c>
      <c r="B725" s="122">
        <v>14.68</v>
      </c>
      <c r="C725" s="122">
        <v>14.87</v>
      </c>
      <c r="D725" s="122">
        <v>14.17</v>
      </c>
      <c r="E725" s="122">
        <v>14.69</v>
      </c>
      <c r="F725" s="122">
        <v>10.334477</v>
      </c>
      <c r="G725" s="197">
        <v>870900</v>
      </c>
      <c r="H725" s="198">
        <f>IF(AND(E724&gt;=H724,E725&gt;=E724),E724*(1+'Trading Model'!$E$13),IF(AND(E725&lt;E724,E724&gt;=H724),E725*(1+'Trading Model'!$E$13),H724))</f>
        <v>27.698998950000004</v>
      </c>
      <c r="I725" s="198">
        <f>IF(K725&gt;0,E725*(1-'Trading Model'!E735),IF(E725&lt;I724,I724*(1-'Trading Model'!$E$14),I724))</f>
        <v>14.254698572180267</v>
      </c>
      <c r="J725" s="198">
        <f t="shared" si="95"/>
        <v>0</v>
      </c>
      <c r="K725" s="198">
        <f t="shared" si="90"/>
        <v>0</v>
      </c>
      <c r="L725" s="198">
        <f>COUNTIF(J725:K725,"&lt;&gt;0")*-'Trading Model'!$E$15</f>
        <v>0</v>
      </c>
      <c r="M725" s="198">
        <f t="shared" si="88"/>
        <v>0</v>
      </c>
      <c r="N725" s="75">
        <f t="shared" si="91"/>
        <v>36</v>
      </c>
      <c r="O725" s="202">
        <f t="shared" si="92"/>
        <v>0</v>
      </c>
      <c r="P725" s="199">
        <f t="shared" si="89"/>
        <v>0</v>
      </c>
      <c r="Q725" s="203">
        <f t="shared" si="93"/>
        <v>64.400000000002024</v>
      </c>
      <c r="R725" s="203" t="s">
        <v>55</v>
      </c>
      <c r="S725" s="201">
        <f t="shared" si="94"/>
        <v>-6.7613252197430418E-3</v>
      </c>
    </row>
    <row r="726" spans="1:19">
      <c r="A726" s="196">
        <v>41019</v>
      </c>
      <c r="B726" s="122">
        <v>14.71</v>
      </c>
      <c r="C726" s="122">
        <v>14.93</v>
      </c>
      <c r="D726" s="122">
        <v>14.5</v>
      </c>
      <c r="E726" s="122">
        <v>14.76</v>
      </c>
      <c r="F726" s="122">
        <v>10.383724000000001</v>
      </c>
      <c r="G726" s="197">
        <v>504600</v>
      </c>
      <c r="H726" s="198">
        <f>IF(AND(E725&gt;=H725,E726&gt;=E725),E725*(1+'Trading Model'!$E$13),IF(AND(E726&lt;E725,E725&gt;=H725),E726*(1+'Trading Model'!$E$13),H725))</f>
        <v>27.698998950000004</v>
      </c>
      <c r="I726" s="198">
        <f>IF(K726&gt;0,E726*(1-'Trading Model'!E736),IF(E726&lt;I725,I725*(1-'Trading Model'!$E$14),I725))</f>
        <v>14.254698572180267</v>
      </c>
      <c r="J726" s="198">
        <f t="shared" si="95"/>
        <v>0</v>
      </c>
      <c r="K726" s="198">
        <f t="shared" si="90"/>
        <v>0</v>
      </c>
      <c r="L726" s="198">
        <f>COUNTIF(J726:K726,"&lt;&gt;0")*-'Trading Model'!$E$15</f>
        <v>0</v>
      </c>
      <c r="M726" s="198">
        <f t="shared" si="88"/>
        <v>0</v>
      </c>
      <c r="N726" s="75">
        <f t="shared" si="91"/>
        <v>36</v>
      </c>
      <c r="O726" s="202">
        <f t="shared" si="92"/>
        <v>0</v>
      </c>
      <c r="P726" s="199">
        <f t="shared" si="89"/>
        <v>0</v>
      </c>
      <c r="Q726" s="203">
        <f t="shared" si="93"/>
        <v>64.400000000002024</v>
      </c>
      <c r="R726" s="203" t="s">
        <v>55</v>
      </c>
      <c r="S726" s="201">
        <f t="shared" si="94"/>
        <v>4.7651463580666853E-3</v>
      </c>
    </row>
    <row r="727" spans="1:19">
      <c r="A727" s="196">
        <v>41022</v>
      </c>
      <c r="B727" s="122">
        <v>14.54</v>
      </c>
      <c r="C727" s="122">
        <v>14.87</v>
      </c>
      <c r="D727" s="122">
        <v>14.32</v>
      </c>
      <c r="E727" s="122">
        <v>14.68</v>
      </c>
      <c r="F727" s="122">
        <v>10.327444</v>
      </c>
      <c r="G727" s="197">
        <v>436500</v>
      </c>
      <c r="H727" s="198">
        <f>IF(AND(E726&gt;=H726,E727&gt;=E726),E726*(1+'Trading Model'!$E$13),IF(AND(E727&lt;E726,E726&gt;=H726),E727*(1+'Trading Model'!$E$13),H726))</f>
        <v>27.698998950000004</v>
      </c>
      <c r="I727" s="198">
        <f>IF(K727&gt;0,E727*(1-'Trading Model'!E737),IF(E727&lt;I726,I726*(1-'Trading Model'!$E$14),I726))</f>
        <v>14.254698572180267</v>
      </c>
      <c r="J727" s="198">
        <f t="shared" si="95"/>
        <v>0</v>
      </c>
      <c r="K727" s="198">
        <f t="shared" si="90"/>
        <v>0</v>
      </c>
      <c r="L727" s="198">
        <f>COUNTIF(J727:K727,"&lt;&gt;0")*-'Trading Model'!$E$15</f>
        <v>0</v>
      </c>
      <c r="M727" s="198">
        <f t="shared" si="88"/>
        <v>0</v>
      </c>
      <c r="N727" s="75">
        <f t="shared" si="91"/>
        <v>36</v>
      </c>
      <c r="O727" s="202">
        <f t="shared" si="92"/>
        <v>0</v>
      </c>
      <c r="P727" s="199">
        <f t="shared" si="89"/>
        <v>0</v>
      </c>
      <c r="Q727" s="203">
        <f t="shared" si="93"/>
        <v>64.300000000002029</v>
      </c>
      <c r="R727" s="201">
        <f>E727/B723-1</f>
        <v>-7.6729559748427767E-2</v>
      </c>
      <c r="S727" s="201">
        <f t="shared" si="94"/>
        <v>-5.4200542005420349E-3</v>
      </c>
    </row>
    <row r="728" spans="1:19">
      <c r="A728" s="196">
        <v>41023</v>
      </c>
      <c r="B728" s="122">
        <v>14.73</v>
      </c>
      <c r="C728" s="122">
        <v>14.96</v>
      </c>
      <c r="D728" s="122">
        <v>14.7</v>
      </c>
      <c r="E728" s="122">
        <v>14.8</v>
      </c>
      <c r="F728" s="122">
        <v>10.411863</v>
      </c>
      <c r="G728" s="197">
        <v>430500</v>
      </c>
      <c r="H728" s="198">
        <f>IF(AND(E727&gt;=H727,E728&gt;=E727),E727*(1+'Trading Model'!$E$13),IF(AND(E728&lt;E727,E727&gt;=H727),E728*(1+'Trading Model'!$E$13),H727))</f>
        <v>27.698998950000004</v>
      </c>
      <c r="I728" s="198">
        <f>IF(K728&gt;0,E728*(1-'Trading Model'!E738),IF(E728&lt;I727,I727*(1-'Trading Model'!$E$14),I727))</f>
        <v>14.254698572180267</v>
      </c>
      <c r="J728" s="198">
        <f t="shared" si="95"/>
        <v>0</v>
      </c>
      <c r="K728" s="198">
        <f t="shared" si="90"/>
        <v>0</v>
      </c>
      <c r="L728" s="198">
        <f>COUNTIF(J728:K728,"&lt;&gt;0")*-'Trading Model'!$E$15</f>
        <v>0</v>
      </c>
      <c r="M728" s="198">
        <f t="shared" si="88"/>
        <v>0</v>
      </c>
      <c r="N728" s="75">
        <f t="shared" si="91"/>
        <v>36</v>
      </c>
      <c r="O728" s="202">
        <f t="shared" si="92"/>
        <v>0</v>
      </c>
      <c r="P728" s="199">
        <f t="shared" si="89"/>
        <v>0</v>
      </c>
      <c r="Q728" s="203">
        <f t="shared" si="93"/>
        <v>64.300000000002029</v>
      </c>
      <c r="R728" s="160" t="s">
        <v>55</v>
      </c>
      <c r="S728" s="201">
        <f t="shared" si="94"/>
        <v>8.1743869209809361E-3</v>
      </c>
    </row>
    <row r="729" spans="1:19">
      <c r="A729" s="196">
        <v>41024</v>
      </c>
      <c r="B729" s="122">
        <v>14.83</v>
      </c>
      <c r="C729" s="122">
        <v>14.89</v>
      </c>
      <c r="D729" s="122">
        <v>14.47</v>
      </c>
      <c r="E729" s="122">
        <v>14.78</v>
      </c>
      <c r="F729" s="122">
        <v>10.397793</v>
      </c>
      <c r="G729" s="197">
        <v>360500</v>
      </c>
      <c r="H729" s="198">
        <f>IF(AND(E728&gt;=H728,E729&gt;=E728),E728*(1+'Trading Model'!$E$13),IF(AND(E729&lt;E728,E728&gt;=H728),E729*(1+'Trading Model'!$E$13),H728))</f>
        <v>27.698998950000004</v>
      </c>
      <c r="I729" s="198">
        <f>IF(K729&gt;0,E729*(1-'Trading Model'!E739),IF(E729&lt;I728,I728*(1-'Trading Model'!$E$14),I728))</f>
        <v>14.254698572180267</v>
      </c>
      <c r="J729" s="198">
        <f t="shared" si="95"/>
        <v>0</v>
      </c>
      <c r="K729" s="198">
        <f t="shared" si="90"/>
        <v>0</v>
      </c>
      <c r="L729" s="198">
        <f>COUNTIF(J729:K729,"&lt;&gt;0")*-'Trading Model'!$E$15</f>
        <v>0</v>
      </c>
      <c r="M729" s="198">
        <f t="shared" si="88"/>
        <v>0</v>
      </c>
      <c r="N729" s="75">
        <f t="shared" si="91"/>
        <v>36</v>
      </c>
      <c r="O729" s="202">
        <f t="shared" si="92"/>
        <v>0</v>
      </c>
      <c r="P729" s="199">
        <f t="shared" si="89"/>
        <v>0</v>
      </c>
      <c r="Q729" s="203">
        <f t="shared" si="93"/>
        <v>64.200000000002035</v>
      </c>
      <c r="R729" s="203" t="s">
        <v>55</v>
      </c>
      <c r="S729" s="201">
        <f t="shared" si="94"/>
        <v>-1.3513513513514486E-3</v>
      </c>
    </row>
    <row r="730" spans="1:19">
      <c r="A730" s="196">
        <v>41025</v>
      </c>
      <c r="B730" s="122">
        <v>14.71</v>
      </c>
      <c r="C730" s="122">
        <v>14.75</v>
      </c>
      <c r="D730" s="122">
        <v>14.45</v>
      </c>
      <c r="E730" s="122">
        <v>14.68</v>
      </c>
      <c r="F730" s="122">
        <v>10.327444</v>
      </c>
      <c r="G730" s="197">
        <v>243300</v>
      </c>
      <c r="H730" s="198">
        <f>IF(AND(E729&gt;=H729,E730&gt;=E729),E729*(1+'Trading Model'!$E$13),IF(AND(E730&lt;E729,E729&gt;=H729),E730*(1+'Trading Model'!$E$13),H729))</f>
        <v>27.698998950000004</v>
      </c>
      <c r="I730" s="198">
        <f>IF(K730&gt;0,E730*(1-'Trading Model'!E740),IF(E730&lt;I729,I729*(1-'Trading Model'!$E$14),I729))</f>
        <v>14.254698572180267</v>
      </c>
      <c r="J730" s="198">
        <f t="shared" si="95"/>
        <v>0</v>
      </c>
      <c r="K730" s="198">
        <f t="shared" si="90"/>
        <v>0</v>
      </c>
      <c r="L730" s="198">
        <f>COUNTIF(J730:K730,"&lt;&gt;0")*-'Trading Model'!$E$15</f>
        <v>0</v>
      </c>
      <c r="M730" s="198">
        <f t="shared" si="88"/>
        <v>0</v>
      </c>
      <c r="N730" s="75">
        <f t="shared" si="91"/>
        <v>36</v>
      </c>
      <c r="O730" s="202">
        <f t="shared" si="92"/>
        <v>0</v>
      </c>
      <c r="P730" s="199">
        <f t="shared" si="89"/>
        <v>0</v>
      </c>
      <c r="Q730" s="203">
        <f t="shared" si="93"/>
        <v>64.100000000002041</v>
      </c>
      <c r="R730" s="203" t="s">
        <v>55</v>
      </c>
      <c r="S730" s="201">
        <f t="shared" si="94"/>
        <v>-6.7658998646820123E-3</v>
      </c>
    </row>
    <row r="731" spans="1:19">
      <c r="A731" s="196">
        <v>41026</v>
      </c>
      <c r="B731" s="122">
        <v>14.78</v>
      </c>
      <c r="C731" s="122">
        <v>15.11</v>
      </c>
      <c r="D731" s="122">
        <v>14.5</v>
      </c>
      <c r="E731" s="122">
        <v>15.09</v>
      </c>
      <c r="F731" s="122">
        <v>10.615880000000001</v>
      </c>
      <c r="G731" s="197">
        <v>509200</v>
      </c>
      <c r="H731" s="198">
        <f>IF(AND(E730&gt;=H730,E731&gt;=E730),E730*(1+'Trading Model'!$E$13),IF(AND(E731&lt;E730,E730&gt;=H730),E731*(1+'Trading Model'!$E$13),H730))</f>
        <v>27.698998950000004</v>
      </c>
      <c r="I731" s="198">
        <f>IF(K731&gt;0,E731*(1-'Trading Model'!E741),IF(E731&lt;I730,I730*(1-'Trading Model'!$E$14),I730))</f>
        <v>14.254698572180267</v>
      </c>
      <c r="J731" s="198">
        <f t="shared" si="95"/>
        <v>0</v>
      </c>
      <c r="K731" s="198">
        <f t="shared" si="90"/>
        <v>0</v>
      </c>
      <c r="L731" s="198">
        <f>COUNTIF(J731:K731,"&lt;&gt;0")*-'Trading Model'!$E$15</f>
        <v>0</v>
      </c>
      <c r="M731" s="198">
        <f t="shared" si="88"/>
        <v>0</v>
      </c>
      <c r="N731" s="75">
        <f t="shared" si="91"/>
        <v>36</v>
      </c>
      <c r="O731" s="202">
        <f t="shared" si="92"/>
        <v>0</v>
      </c>
      <c r="P731" s="199">
        <f t="shared" si="89"/>
        <v>0</v>
      </c>
      <c r="Q731" s="203">
        <f t="shared" si="93"/>
        <v>64.100000000002041</v>
      </c>
      <c r="R731" s="203" t="s">
        <v>55</v>
      </c>
      <c r="S731" s="201">
        <f t="shared" si="94"/>
        <v>2.7929155313351606E-2</v>
      </c>
    </row>
    <row r="732" spans="1:19">
      <c r="A732" s="196">
        <v>41029</v>
      </c>
      <c r="B732" s="122">
        <v>15</v>
      </c>
      <c r="C732" s="122">
        <v>15.06</v>
      </c>
      <c r="D732" s="122">
        <v>14.6</v>
      </c>
      <c r="E732" s="122">
        <v>14.63</v>
      </c>
      <c r="F732" s="122">
        <v>10.292268</v>
      </c>
      <c r="G732" s="197">
        <v>304600</v>
      </c>
      <c r="H732" s="198">
        <f>IF(AND(E731&gt;=H731,E732&gt;=E731),E731*(1+'Trading Model'!$E$13),IF(AND(E732&lt;E731,E731&gt;=H731),E732*(1+'Trading Model'!$E$13),H731))</f>
        <v>27.698998950000004</v>
      </c>
      <c r="I732" s="198">
        <f>IF(K732&gt;0,E732*(1-'Trading Model'!E742),IF(E732&lt;I731,I731*(1-'Trading Model'!$E$14),I731))</f>
        <v>14.254698572180267</v>
      </c>
      <c r="J732" s="198">
        <f t="shared" si="95"/>
        <v>0</v>
      </c>
      <c r="K732" s="198">
        <f t="shared" si="90"/>
        <v>0</v>
      </c>
      <c r="L732" s="198">
        <f>COUNTIF(J732:K732,"&lt;&gt;0")*-'Trading Model'!$E$15</f>
        <v>0</v>
      </c>
      <c r="M732" s="198">
        <f t="shared" si="88"/>
        <v>0</v>
      </c>
      <c r="N732" s="75">
        <f t="shared" si="91"/>
        <v>36</v>
      </c>
      <c r="O732" s="202">
        <f t="shared" si="92"/>
        <v>0</v>
      </c>
      <c r="P732" s="199">
        <f t="shared" si="89"/>
        <v>0</v>
      </c>
      <c r="Q732" s="203">
        <f t="shared" si="93"/>
        <v>64.000000000002046</v>
      </c>
      <c r="R732" s="201">
        <f>E732/B728-1</f>
        <v>-6.7888662593346139E-3</v>
      </c>
      <c r="S732" s="201">
        <f t="shared" si="94"/>
        <v>-3.048376408217357E-2</v>
      </c>
    </row>
    <row r="733" spans="1:19">
      <c r="A733" s="196">
        <v>41030</v>
      </c>
      <c r="B733" s="122">
        <v>14.62</v>
      </c>
      <c r="C733" s="122">
        <v>14.62</v>
      </c>
      <c r="D733" s="122">
        <v>14.09</v>
      </c>
      <c r="E733" s="122">
        <v>14.35</v>
      </c>
      <c r="F733" s="122">
        <v>10.095287000000001</v>
      </c>
      <c r="G733" s="197">
        <v>444200</v>
      </c>
      <c r="H733" s="198">
        <f>IF(AND(E732&gt;=H732,E733&gt;=E732),E732*(1+'Trading Model'!$E$13),IF(AND(E733&lt;E732,E732&gt;=H732),E733*(1+'Trading Model'!$E$13),H732))</f>
        <v>27.698998950000004</v>
      </c>
      <c r="I733" s="198">
        <f>IF(K733&gt;0,E733*(1-'Trading Model'!E743),IF(E733&lt;I732,I732*(1-'Trading Model'!$E$14),I732))</f>
        <v>14.254698572180267</v>
      </c>
      <c r="J733" s="198">
        <f t="shared" si="95"/>
        <v>0</v>
      </c>
      <c r="K733" s="198">
        <f t="shared" si="90"/>
        <v>0</v>
      </c>
      <c r="L733" s="198">
        <f>COUNTIF(J733:K733,"&lt;&gt;0")*-'Trading Model'!$E$15</f>
        <v>0</v>
      </c>
      <c r="M733" s="198">
        <f t="shared" si="88"/>
        <v>0</v>
      </c>
      <c r="N733" s="75">
        <f t="shared" si="91"/>
        <v>36</v>
      </c>
      <c r="O733" s="202">
        <f t="shared" si="92"/>
        <v>0</v>
      </c>
      <c r="P733" s="199">
        <f t="shared" si="89"/>
        <v>0</v>
      </c>
      <c r="Q733" s="203">
        <f t="shared" si="93"/>
        <v>63.900000000002045</v>
      </c>
      <c r="R733" s="160" t="s">
        <v>55</v>
      </c>
      <c r="S733" s="201">
        <f t="shared" si="94"/>
        <v>-1.9138755980861344E-2</v>
      </c>
    </row>
    <row r="734" spans="1:19">
      <c r="A734" s="196">
        <v>41031</v>
      </c>
      <c r="B734" s="122">
        <v>14.36</v>
      </c>
      <c r="C734" s="122">
        <v>14.48</v>
      </c>
      <c r="D734" s="122">
        <v>13.98</v>
      </c>
      <c r="E734" s="122">
        <v>14.09</v>
      </c>
      <c r="F734" s="122">
        <v>9.9123739999999998</v>
      </c>
      <c r="G734" s="197">
        <v>457500</v>
      </c>
      <c r="H734" s="198">
        <f>IF(AND(E733&gt;=H733,E734&gt;=E733),E733*(1+'Trading Model'!$E$13),IF(AND(E734&lt;E733,E733&gt;=H733),E734*(1+'Trading Model'!$E$13),H733))</f>
        <v>27.698998950000004</v>
      </c>
      <c r="I734" s="198">
        <f>IF(K734&gt;0,E734*(1-'Trading Model'!E744),IF(E734&lt;I733,I733*(1-'Trading Model'!$E$14),I733))</f>
        <v>13.541963643571252</v>
      </c>
      <c r="J734" s="198">
        <f t="shared" si="95"/>
        <v>-14.09</v>
      </c>
      <c r="K734" s="198">
        <f t="shared" si="90"/>
        <v>0</v>
      </c>
      <c r="L734" s="198">
        <f>COUNTIF(J734:K734,"&lt;&gt;0")*-'Trading Model'!$E$15</f>
        <v>-0.1</v>
      </c>
      <c r="M734" s="198">
        <f t="shared" si="88"/>
        <v>-14.19</v>
      </c>
      <c r="N734" s="75">
        <f t="shared" si="91"/>
        <v>37</v>
      </c>
      <c r="O734" s="202">
        <f t="shared" si="92"/>
        <v>0</v>
      </c>
      <c r="P734" s="199">
        <f t="shared" si="89"/>
        <v>0</v>
      </c>
      <c r="Q734" s="203">
        <f t="shared" si="93"/>
        <v>63.800000000002044</v>
      </c>
      <c r="R734" s="203" t="s">
        <v>55</v>
      </c>
      <c r="S734" s="201">
        <f t="shared" si="94"/>
        <v>-1.8118466898954688E-2</v>
      </c>
    </row>
    <row r="735" spans="1:19">
      <c r="A735" s="196">
        <v>41032</v>
      </c>
      <c r="B735" s="122">
        <v>14.06</v>
      </c>
      <c r="C735" s="122">
        <v>14.06</v>
      </c>
      <c r="D735" s="122">
        <v>13.8</v>
      </c>
      <c r="E735" s="122">
        <v>14</v>
      </c>
      <c r="F735" s="122">
        <v>9.8490590000000005</v>
      </c>
      <c r="G735" s="197">
        <v>514700</v>
      </c>
      <c r="H735" s="198">
        <f>IF(AND(E734&gt;=H734,E735&gt;=E734),E734*(1+'Trading Model'!$E$13),IF(AND(E735&lt;E734,E734&gt;=H734),E735*(1+'Trading Model'!$E$13),H734))</f>
        <v>27.698998950000004</v>
      </c>
      <c r="I735" s="198">
        <f>IF(K735&gt;0,E735*(1-'Trading Model'!E745),IF(E735&lt;I734,I734*(1-'Trading Model'!$E$14),I734))</f>
        <v>13.541963643571252</v>
      </c>
      <c r="J735" s="198">
        <f t="shared" si="95"/>
        <v>0</v>
      </c>
      <c r="K735" s="198">
        <f t="shared" si="90"/>
        <v>0</v>
      </c>
      <c r="L735" s="198">
        <f>COUNTIF(J735:K735,"&lt;&gt;0")*-'Trading Model'!$E$15</f>
        <v>0</v>
      </c>
      <c r="M735" s="198">
        <f t="shared" si="88"/>
        <v>0</v>
      </c>
      <c r="N735" s="75">
        <f t="shared" si="91"/>
        <v>37</v>
      </c>
      <c r="O735" s="202">
        <f t="shared" si="92"/>
        <v>0</v>
      </c>
      <c r="P735" s="199">
        <f t="shared" si="89"/>
        <v>0</v>
      </c>
      <c r="Q735" s="203">
        <f t="shared" si="93"/>
        <v>63.700000000002042</v>
      </c>
      <c r="R735" s="203" t="s">
        <v>55</v>
      </c>
      <c r="S735" s="201">
        <f t="shared" si="94"/>
        <v>-6.3875088715400485E-3</v>
      </c>
    </row>
    <row r="736" spans="1:19">
      <c r="A736" s="196">
        <v>41033</v>
      </c>
      <c r="B736" s="122">
        <v>14.07</v>
      </c>
      <c r="C736" s="122">
        <v>14.28</v>
      </c>
      <c r="D736" s="122">
        <v>13.75</v>
      </c>
      <c r="E736" s="122">
        <v>14.28</v>
      </c>
      <c r="F736" s="122">
        <v>10.046042</v>
      </c>
      <c r="G736" s="197">
        <v>436700</v>
      </c>
      <c r="H736" s="198">
        <f>IF(AND(E735&gt;=H735,E736&gt;=E735),E735*(1+'Trading Model'!$E$13),IF(AND(E736&lt;E735,E735&gt;=H735),E736*(1+'Trading Model'!$E$13),H735))</f>
        <v>27.698998950000004</v>
      </c>
      <c r="I736" s="198">
        <f>IF(K736&gt;0,E736*(1-'Trading Model'!E746),IF(E736&lt;I735,I735*(1-'Trading Model'!$E$14),I735))</f>
        <v>13.541963643571252</v>
      </c>
      <c r="J736" s="198">
        <f t="shared" si="95"/>
        <v>0</v>
      </c>
      <c r="K736" s="198">
        <f t="shared" si="90"/>
        <v>0</v>
      </c>
      <c r="L736" s="198">
        <f>COUNTIF(J736:K736,"&lt;&gt;0")*-'Trading Model'!$E$15</f>
        <v>0</v>
      </c>
      <c r="M736" s="198">
        <f t="shared" si="88"/>
        <v>0</v>
      </c>
      <c r="N736" s="75">
        <f t="shared" si="91"/>
        <v>37</v>
      </c>
      <c r="O736" s="202">
        <f t="shared" si="92"/>
        <v>0</v>
      </c>
      <c r="P736" s="199">
        <f t="shared" si="89"/>
        <v>0</v>
      </c>
      <c r="Q736" s="203">
        <f t="shared" si="93"/>
        <v>63.700000000002042</v>
      </c>
      <c r="R736" s="203" t="s">
        <v>55</v>
      </c>
      <c r="S736" s="201">
        <f t="shared" si="94"/>
        <v>2.0000000000000018E-2</v>
      </c>
    </row>
    <row r="737" spans="1:19">
      <c r="A737" s="196">
        <v>41036</v>
      </c>
      <c r="B737" s="122">
        <v>14.28</v>
      </c>
      <c r="C737" s="122">
        <v>14.46</v>
      </c>
      <c r="D737" s="122">
        <v>14.07</v>
      </c>
      <c r="E737" s="122">
        <v>14.37</v>
      </c>
      <c r="F737" s="122">
        <v>10.109356999999999</v>
      </c>
      <c r="G737" s="197">
        <v>414100</v>
      </c>
      <c r="H737" s="198">
        <f>IF(AND(E736&gt;=H736,E737&gt;=E736),E736*(1+'Trading Model'!$E$13),IF(AND(E737&lt;E736,E736&gt;=H736),E737*(1+'Trading Model'!$E$13),H736))</f>
        <v>27.698998950000004</v>
      </c>
      <c r="I737" s="198">
        <f>IF(K737&gt;0,E737*(1-'Trading Model'!E747),IF(E737&lt;I736,I736*(1-'Trading Model'!$E$14),I736))</f>
        <v>13.541963643571252</v>
      </c>
      <c r="J737" s="198">
        <f t="shared" si="95"/>
        <v>0</v>
      </c>
      <c r="K737" s="198">
        <f t="shared" si="90"/>
        <v>0</v>
      </c>
      <c r="L737" s="198">
        <f>COUNTIF(J737:K737,"&lt;&gt;0")*-'Trading Model'!$E$15</f>
        <v>0</v>
      </c>
      <c r="M737" s="198">
        <f t="shared" si="88"/>
        <v>0</v>
      </c>
      <c r="N737" s="75">
        <f t="shared" si="91"/>
        <v>37</v>
      </c>
      <c r="O737" s="202">
        <f t="shared" si="92"/>
        <v>0</v>
      </c>
      <c r="P737" s="199">
        <f t="shared" si="89"/>
        <v>0</v>
      </c>
      <c r="Q737" s="203">
        <f t="shared" si="93"/>
        <v>63.700000000002042</v>
      </c>
      <c r="R737" s="201">
        <f>E737/B733-1</f>
        <v>-1.7099863201094356E-2</v>
      </c>
      <c r="S737" s="201">
        <f t="shared" si="94"/>
        <v>6.302521008403339E-3</v>
      </c>
    </row>
    <row r="738" spans="1:19">
      <c r="A738" s="196">
        <v>41037</v>
      </c>
      <c r="B738" s="122">
        <v>13.26</v>
      </c>
      <c r="C738" s="122">
        <v>13.63</v>
      </c>
      <c r="D738" s="122">
        <v>13.08</v>
      </c>
      <c r="E738" s="122">
        <v>13.6</v>
      </c>
      <c r="F738" s="122">
        <v>10.224703</v>
      </c>
      <c r="G738" s="197">
        <v>637600</v>
      </c>
      <c r="H738" s="198">
        <f>IF(AND(E737&gt;=H737,E738&gt;=E737),E737*(1+'Trading Model'!$E$13),IF(AND(E738&lt;E737,E737&gt;=H737),E738*(1+'Trading Model'!$E$13),H737))</f>
        <v>27.698998950000004</v>
      </c>
      <c r="I738" s="198">
        <f>IF(K738&gt;0,E738*(1-'Trading Model'!E748),IF(E738&lt;I737,I737*(1-'Trading Model'!$E$14),I737))</f>
        <v>13.541963643571252</v>
      </c>
      <c r="J738" s="198">
        <f t="shared" si="95"/>
        <v>0</v>
      </c>
      <c r="K738" s="198">
        <f t="shared" si="90"/>
        <v>0</v>
      </c>
      <c r="L738" s="198">
        <f>COUNTIF(J738:K738,"&lt;&gt;0")*-'Trading Model'!$E$15</f>
        <v>0</v>
      </c>
      <c r="M738" s="198">
        <f t="shared" si="88"/>
        <v>0</v>
      </c>
      <c r="N738" s="75">
        <f t="shared" si="91"/>
        <v>37</v>
      </c>
      <c r="O738" s="202">
        <f t="shared" si="92"/>
        <v>0.92342299999999999</v>
      </c>
      <c r="P738" s="199">
        <f t="shared" si="89"/>
        <v>0.92342299999999999</v>
      </c>
      <c r="Q738" s="203">
        <f t="shared" si="93"/>
        <v>63.600000000002041</v>
      </c>
      <c r="R738" s="160" t="s">
        <v>55</v>
      </c>
      <c r="S738" s="201">
        <f t="shared" si="94"/>
        <v>-5.3583855254001334E-2</v>
      </c>
    </row>
    <row r="739" spans="1:19">
      <c r="A739" s="196">
        <v>41038</v>
      </c>
      <c r="B739" s="122">
        <v>13.51</v>
      </c>
      <c r="C739" s="122">
        <v>14.37</v>
      </c>
      <c r="D739" s="122">
        <v>13.37</v>
      </c>
      <c r="E739" s="122">
        <v>14.08</v>
      </c>
      <c r="F739" s="122">
        <v>10.585575</v>
      </c>
      <c r="G739" s="197">
        <v>625900</v>
      </c>
      <c r="H739" s="198">
        <f>IF(AND(E738&gt;=H738,E739&gt;=E738),E738*(1+'Trading Model'!$E$13),IF(AND(E739&lt;E738,E738&gt;=H738),E739*(1+'Trading Model'!$E$13),H738))</f>
        <v>27.698998950000004</v>
      </c>
      <c r="I739" s="198">
        <f>IF(K739&gt;0,E739*(1-'Trading Model'!E749),IF(E739&lt;I738,I738*(1-'Trading Model'!$E$14),I738))</f>
        <v>13.541963643571252</v>
      </c>
      <c r="J739" s="198">
        <f t="shared" si="95"/>
        <v>0</v>
      </c>
      <c r="K739" s="198">
        <f t="shared" si="90"/>
        <v>0</v>
      </c>
      <c r="L739" s="198">
        <f>COUNTIF(J739:K739,"&lt;&gt;0")*-'Trading Model'!$E$15</f>
        <v>0</v>
      </c>
      <c r="M739" s="198">
        <f t="shared" si="88"/>
        <v>0</v>
      </c>
      <c r="N739" s="75">
        <f t="shared" si="91"/>
        <v>37</v>
      </c>
      <c r="O739" s="202">
        <f t="shared" si="92"/>
        <v>0</v>
      </c>
      <c r="P739" s="199">
        <f t="shared" si="89"/>
        <v>0</v>
      </c>
      <c r="Q739" s="203">
        <f t="shared" si="93"/>
        <v>63.600000000002041</v>
      </c>
      <c r="R739" s="203" t="s">
        <v>55</v>
      </c>
      <c r="S739" s="201">
        <f t="shared" si="94"/>
        <v>3.529411764705892E-2</v>
      </c>
    </row>
    <row r="740" spans="1:19">
      <c r="A740" s="196">
        <v>41039</v>
      </c>
      <c r="B740" s="122">
        <v>14.17</v>
      </c>
      <c r="C740" s="122">
        <v>14.17</v>
      </c>
      <c r="D740" s="122">
        <v>13.62</v>
      </c>
      <c r="E740" s="122">
        <v>13.82</v>
      </c>
      <c r="F740" s="122">
        <v>10.390102000000001</v>
      </c>
      <c r="G740" s="197">
        <v>360300</v>
      </c>
      <c r="H740" s="198">
        <f>IF(AND(E739&gt;=H739,E740&gt;=E739),E739*(1+'Trading Model'!$E$13),IF(AND(E740&lt;E739,E739&gt;=H739),E740*(1+'Trading Model'!$E$13),H739))</f>
        <v>27.698998950000004</v>
      </c>
      <c r="I740" s="198">
        <f>IF(K740&gt;0,E740*(1-'Trading Model'!E750),IF(E740&lt;I739,I739*(1-'Trading Model'!$E$14),I739))</f>
        <v>13.541963643571252</v>
      </c>
      <c r="J740" s="198">
        <f t="shared" si="95"/>
        <v>0</v>
      </c>
      <c r="K740" s="198">
        <f t="shared" si="90"/>
        <v>0</v>
      </c>
      <c r="L740" s="198">
        <f>COUNTIF(J740:K740,"&lt;&gt;0")*-'Trading Model'!$E$15</f>
        <v>0</v>
      </c>
      <c r="M740" s="198">
        <f t="shared" si="88"/>
        <v>0</v>
      </c>
      <c r="N740" s="75">
        <f t="shared" si="91"/>
        <v>37</v>
      </c>
      <c r="O740" s="202">
        <f t="shared" si="92"/>
        <v>0</v>
      </c>
      <c r="P740" s="199">
        <f t="shared" si="89"/>
        <v>0</v>
      </c>
      <c r="Q740" s="203">
        <f t="shared" si="93"/>
        <v>63.500000000002039</v>
      </c>
      <c r="R740" s="203" t="s">
        <v>55</v>
      </c>
      <c r="S740" s="201">
        <f t="shared" si="94"/>
        <v>-1.8465909090909061E-2</v>
      </c>
    </row>
    <row r="741" spans="1:19">
      <c r="A741" s="196">
        <v>41040</v>
      </c>
      <c r="B741" s="122">
        <v>13.79</v>
      </c>
      <c r="C741" s="122">
        <v>13.86</v>
      </c>
      <c r="D741" s="122">
        <v>13.47</v>
      </c>
      <c r="E741" s="122">
        <v>13.5</v>
      </c>
      <c r="F741" s="122">
        <v>10.149521</v>
      </c>
      <c r="G741" s="197">
        <v>389200</v>
      </c>
      <c r="H741" s="198">
        <f>IF(AND(E740&gt;=H740,E741&gt;=E740),E740*(1+'Trading Model'!$E$13),IF(AND(E741&lt;E740,E740&gt;=H740),E741*(1+'Trading Model'!$E$13),H740))</f>
        <v>27.698998950000004</v>
      </c>
      <c r="I741" s="198">
        <f>IF(K741&gt;0,E741*(1-'Trading Model'!E751),IF(E741&lt;I740,I740*(1-'Trading Model'!$E$14),I740))</f>
        <v>12.864865461392689</v>
      </c>
      <c r="J741" s="198">
        <f t="shared" si="95"/>
        <v>-13.5</v>
      </c>
      <c r="K741" s="198">
        <f t="shared" si="90"/>
        <v>0</v>
      </c>
      <c r="L741" s="198">
        <f>COUNTIF(J741:K741,"&lt;&gt;0")*-'Trading Model'!$E$15</f>
        <v>-0.1</v>
      </c>
      <c r="M741" s="198">
        <f t="shared" si="88"/>
        <v>-13.6</v>
      </c>
      <c r="N741" s="75">
        <f t="shared" si="91"/>
        <v>38</v>
      </c>
      <c r="O741" s="202">
        <f t="shared" si="92"/>
        <v>0</v>
      </c>
      <c r="P741" s="199">
        <f t="shared" si="89"/>
        <v>0</v>
      </c>
      <c r="Q741" s="203">
        <f t="shared" si="93"/>
        <v>63.400000000002038</v>
      </c>
      <c r="R741" s="203" t="s">
        <v>55</v>
      </c>
      <c r="S741" s="201">
        <f t="shared" si="94"/>
        <v>-2.3154848046309739E-2</v>
      </c>
    </row>
    <row r="742" spans="1:19">
      <c r="A742" s="196">
        <v>41043</v>
      </c>
      <c r="B742" s="122">
        <v>13.38</v>
      </c>
      <c r="C742" s="122">
        <v>13.38</v>
      </c>
      <c r="D742" s="122">
        <v>12.78</v>
      </c>
      <c r="E742" s="122">
        <v>12.85</v>
      </c>
      <c r="F742" s="122">
        <v>9.6608400000000003</v>
      </c>
      <c r="G742" s="197">
        <v>296000</v>
      </c>
      <c r="H742" s="198">
        <f>IF(AND(E741&gt;=H741,E742&gt;=E741),E741*(1+'Trading Model'!$E$13),IF(AND(E742&lt;E741,E741&gt;=H741),E742*(1+'Trading Model'!$E$13),H741))</f>
        <v>27.698998950000004</v>
      </c>
      <c r="I742" s="198">
        <f>IF(K742&gt;0,E742*(1-'Trading Model'!E752),IF(E742&lt;I741,I741*(1-'Trading Model'!$E$14),I741))</f>
        <v>12.221622188323055</v>
      </c>
      <c r="J742" s="198">
        <f t="shared" si="95"/>
        <v>-12.85</v>
      </c>
      <c r="K742" s="198">
        <f t="shared" si="90"/>
        <v>0</v>
      </c>
      <c r="L742" s="198">
        <f>COUNTIF(J742:K742,"&lt;&gt;0")*-'Trading Model'!$E$15</f>
        <v>-0.1</v>
      </c>
      <c r="M742" s="198">
        <f t="shared" si="88"/>
        <v>-12.95</v>
      </c>
      <c r="N742" s="75">
        <f t="shared" si="91"/>
        <v>39</v>
      </c>
      <c r="O742" s="202">
        <f t="shared" si="92"/>
        <v>0</v>
      </c>
      <c r="P742" s="199">
        <f t="shared" si="89"/>
        <v>0</v>
      </c>
      <c r="Q742" s="203">
        <f t="shared" si="93"/>
        <v>63.300000000002036</v>
      </c>
      <c r="R742" s="201">
        <f>E742/B738-1</f>
        <v>-3.0920060331825039E-2</v>
      </c>
      <c r="S742" s="201">
        <f t="shared" si="94"/>
        <v>-4.8148148148148162E-2</v>
      </c>
    </row>
    <row r="743" spans="1:19">
      <c r="A743" s="196">
        <v>41044</v>
      </c>
      <c r="B743" s="122">
        <v>12.82</v>
      </c>
      <c r="C743" s="122">
        <v>13</v>
      </c>
      <c r="D743" s="122">
        <v>12.55</v>
      </c>
      <c r="E743" s="122">
        <v>12.7</v>
      </c>
      <c r="F743" s="122">
        <v>9.5480669999999996</v>
      </c>
      <c r="G743" s="197">
        <v>609400</v>
      </c>
      <c r="H743" s="198">
        <f>IF(AND(E742&gt;=H742,E743&gt;=E742),E742*(1+'Trading Model'!$E$13),IF(AND(E743&lt;E742,E742&gt;=H742),E743*(1+'Trading Model'!$E$13),H742))</f>
        <v>27.698998950000004</v>
      </c>
      <c r="I743" s="198">
        <f>IF(K743&gt;0,E743*(1-'Trading Model'!E753),IF(E743&lt;I742,I742*(1-'Trading Model'!$E$14),I742))</f>
        <v>12.221622188323055</v>
      </c>
      <c r="J743" s="198">
        <f t="shared" si="95"/>
        <v>0</v>
      </c>
      <c r="K743" s="198">
        <f t="shared" si="90"/>
        <v>0</v>
      </c>
      <c r="L743" s="198">
        <f>COUNTIF(J743:K743,"&lt;&gt;0")*-'Trading Model'!$E$15</f>
        <v>0</v>
      </c>
      <c r="M743" s="198">
        <f t="shared" si="88"/>
        <v>0</v>
      </c>
      <c r="N743" s="75">
        <f t="shared" si="91"/>
        <v>39</v>
      </c>
      <c r="O743" s="202">
        <f t="shared" si="92"/>
        <v>0</v>
      </c>
      <c r="P743" s="199">
        <f t="shared" si="89"/>
        <v>0</v>
      </c>
      <c r="Q743" s="203">
        <f t="shared" si="93"/>
        <v>63.200000000002035</v>
      </c>
      <c r="R743" s="160" t="s">
        <v>55</v>
      </c>
      <c r="S743" s="201">
        <f t="shared" si="94"/>
        <v>-1.1673151750972832E-2</v>
      </c>
    </row>
    <row r="744" spans="1:19">
      <c r="A744" s="196">
        <v>41045</v>
      </c>
      <c r="B744" s="122">
        <v>12.75</v>
      </c>
      <c r="C744" s="122">
        <v>13.21</v>
      </c>
      <c r="D744" s="122">
        <v>12.28</v>
      </c>
      <c r="E744" s="122">
        <v>12.32</v>
      </c>
      <c r="F744" s="122">
        <v>9.262378</v>
      </c>
      <c r="G744" s="197">
        <v>528200</v>
      </c>
      <c r="H744" s="198">
        <f>IF(AND(E743&gt;=H743,E744&gt;=E743),E743*(1+'Trading Model'!$E$13),IF(AND(E744&lt;E743,E743&gt;=H743),E744*(1+'Trading Model'!$E$13),H743))</f>
        <v>27.698998950000004</v>
      </c>
      <c r="I744" s="198">
        <f>IF(K744&gt;0,E744*(1-'Trading Model'!E754),IF(E744&lt;I743,I743*(1-'Trading Model'!$E$14),I743))</f>
        <v>12.221622188323055</v>
      </c>
      <c r="J744" s="198">
        <f t="shared" si="95"/>
        <v>0</v>
      </c>
      <c r="K744" s="198">
        <f t="shared" si="90"/>
        <v>0</v>
      </c>
      <c r="L744" s="198">
        <f>COUNTIF(J744:K744,"&lt;&gt;0")*-'Trading Model'!$E$15</f>
        <v>0</v>
      </c>
      <c r="M744" s="198">
        <f t="shared" si="88"/>
        <v>0</v>
      </c>
      <c r="N744" s="75">
        <f t="shared" si="91"/>
        <v>39</v>
      </c>
      <c r="O744" s="202">
        <f t="shared" si="92"/>
        <v>0</v>
      </c>
      <c r="P744" s="199">
        <f t="shared" si="89"/>
        <v>0</v>
      </c>
      <c r="Q744" s="203">
        <f t="shared" si="93"/>
        <v>63.100000000002034</v>
      </c>
      <c r="R744" s="203" t="s">
        <v>55</v>
      </c>
      <c r="S744" s="201">
        <f t="shared" si="94"/>
        <v>-2.9921259842519587E-2</v>
      </c>
    </row>
    <row r="745" spans="1:19">
      <c r="A745" s="196">
        <v>41046</v>
      </c>
      <c r="B745" s="122">
        <v>12.37</v>
      </c>
      <c r="C745" s="122">
        <v>12.52</v>
      </c>
      <c r="D745" s="122">
        <v>12.14</v>
      </c>
      <c r="E745" s="122">
        <v>12.29</v>
      </c>
      <c r="F745" s="122">
        <v>9.2398229999999995</v>
      </c>
      <c r="G745" s="197">
        <v>559500</v>
      </c>
      <c r="H745" s="198">
        <f>IF(AND(E744&gt;=H744,E745&gt;=E744),E744*(1+'Trading Model'!$E$13),IF(AND(E745&lt;E744,E744&gt;=H744),E745*(1+'Trading Model'!$E$13),H744))</f>
        <v>27.698998950000004</v>
      </c>
      <c r="I745" s="198">
        <f>IF(K745&gt;0,E745*(1-'Trading Model'!E755),IF(E745&lt;I744,I744*(1-'Trading Model'!$E$14),I744))</f>
        <v>12.221622188323055</v>
      </c>
      <c r="J745" s="198">
        <f t="shared" si="95"/>
        <v>0</v>
      </c>
      <c r="K745" s="198">
        <f t="shared" si="90"/>
        <v>0</v>
      </c>
      <c r="L745" s="198">
        <f>COUNTIF(J745:K745,"&lt;&gt;0")*-'Trading Model'!$E$15</f>
        <v>0</v>
      </c>
      <c r="M745" s="198">
        <f t="shared" si="88"/>
        <v>0</v>
      </c>
      <c r="N745" s="75">
        <f t="shared" si="91"/>
        <v>39</v>
      </c>
      <c r="O745" s="202">
        <f t="shared" si="92"/>
        <v>0</v>
      </c>
      <c r="P745" s="199">
        <f t="shared" si="89"/>
        <v>0</v>
      </c>
      <c r="Q745" s="203">
        <f t="shared" si="93"/>
        <v>63.000000000002032</v>
      </c>
      <c r="R745" s="203" t="s">
        <v>55</v>
      </c>
      <c r="S745" s="201">
        <f t="shared" si="94"/>
        <v>-2.4350649350650677E-3</v>
      </c>
    </row>
    <row r="746" spans="1:19">
      <c r="A746" s="196">
        <v>41047</v>
      </c>
      <c r="B746" s="122">
        <v>12.3</v>
      </c>
      <c r="C746" s="122">
        <v>12.48</v>
      </c>
      <c r="D746" s="122">
        <v>12.22</v>
      </c>
      <c r="E746" s="122">
        <v>12.31</v>
      </c>
      <c r="F746" s="122">
        <v>9.2548600000000008</v>
      </c>
      <c r="G746" s="197">
        <v>249900</v>
      </c>
      <c r="H746" s="198">
        <f>IF(AND(E745&gt;=H745,E746&gt;=E745),E745*(1+'Trading Model'!$E$13),IF(AND(E746&lt;E745,E745&gt;=H745),E746*(1+'Trading Model'!$E$13),H745))</f>
        <v>27.698998950000004</v>
      </c>
      <c r="I746" s="198">
        <f>IF(K746&gt;0,E746*(1-'Trading Model'!E756),IF(E746&lt;I745,I745*(1-'Trading Model'!$E$14),I745))</f>
        <v>12.221622188323055</v>
      </c>
      <c r="J746" s="198">
        <f t="shared" si="95"/>
        <v>0</v>
      </c>
      <c r="K746" s="198">
        <f t="shared" si="90"/>
        <v>0</v>
      </c>
      <c r="L746" s="198">
        <f>COUNTIF(J746:K746,"&lt;&gt;0")*-'Trading Model'!$E$15</f>
        <v>0</v>
      </c>
      <c r="M746" s="198">
        <f t="shared" si="88"/>
        <v>0</v>
      </c>
      <c r="N746" s="75">
        <f t="shared" si="91"/>
        <v>39</v>
      </c>
      <c r="O746" s="202">
        <f t="shared" si="92"/>
        <v>0</v>
      </c>
      <c r="P746" s="199">
        <f t="shared" si="89"/>
        <v>0</v>
      </c>
      <c r="Q746" s="203">
        <f t="shared" si="93"/>
        <v>63.000000000002032</v>
      </c>
      <c r="R746" s="203" t="s">
        <v>55</v>
      </c>
      <c r="S746" s="201">
        <f t="shared" si="94"/>
        <v>1.6273393002441683E-3</v>
      </c>
    </row>
    <row r="747" spans="1:19">
      <c r="A747" s="196">
        <v>41050</v>
      </c>
      <c r="B747" s="122">
        <v>12.3</v>
      </c>
      <c r="C747" s="122">
        <v>12.5</v>
      </c>
      <c r="D747" s="122">
        <v>12.3</v>
      </c>
      <c r="E747" s="122">
        <v>12.44</v>
      </c>
      <c r="F747" s="122">
        <v>9.3525939999999999</v>
      </c>
      <c r="G747" s="197">
        <v>127800</v>
      </c>
      <c r="H747" s="198">
        <f>IF(AND(E746&gt;=H746,E747&gt;=E746),E746*(1+'Trading Model'!$E$13),IF(AND(E747&lt;E746,E746&gt;=H746),E747*(1+'Trading Model'!$E$13),H746))</f>
        <v>27.698998950000004</v>
      </c>
      <c r="I747" s="198">
        <f>IF(K747&gt;0,E747*(1-'Trading Model'!E757),IF(E747&lt;I746,I746*(1-'Trading Model'!$E$14),I746))</f>
        <v>12.221622188323055</v>
      </c>
      <c r="J747" s="198">
        <f t="shared" si="95"/>
        <v>0</v>
      </c>
      <c r="K747" s="198">
        <f t="shared" si="90"/>
        <v>0</v>
      </c>
      <c r="L747" s="198">
        <f>COUNTIF(J747:K747,"&lt;&gt;0")*-'Trading Model'!$E$15</f>
        <v>0</v>
      </c>
      <c r="M747" s="198">
        <f t="shared" si="88"/>
        <v>0</v>
      </c>
      <c r="N747" s="75">
        <f t="shared" si="91"/>
        <v>39</v>
      </c>
      <c r="O747" s="202">
        <f t="shared" si="92"/>
        <v>0</v>
      </c>
      <c r="P747" s="199">
        <f t="shared" si="89"/>
        <v>0</v>
      </c>
      <c r="Q747" s="203">
        <f t="shared" si="93"/>
        <v>63.000000000002032</v>
      </c>
      <c r="R747" s="201">
        <f>E747/B743-1</f>
        <v>-2.9641185647425905E-2</v>
      </c>
      <c r="S747" s="201">
        <f t="shared" si="94"/>
        <v>1.0560519902518273E-2</v>
      </c>
    </row>
    <row r="748" spans="1:19">
      <c r="A748" s="196">
        <v>41051</v>
      </c>
      <c r="B748" s="122">
        <v>12.41</v>
      </c>
      <c r="C748" s="122">
        <v>12.53</v>
      </c>
      <c r="D748" s="122">
        <v>12.23</v>
      </c>
      <c r="E748" s="122">
        <v>12.48</v>
      </c>
      <c r="F748" s="122">
        <v>9.3826689999999999</v>
      </c>
      <c r="G748" s="197">
        <v>262000</v>
      </c>
      <c r="H748" s="198">
        <f>IF(AND(E747&gt;=H747,E748&gt;=E747),E747*(1+'Trading Model'!$E$13),IF(AND(E748&lt;E747,E747&gt;=H747),E748*(1+'Trading Model'!$E$13),H747))</f>
        <v>27.698998950000004</v>
      </c>
      <c r="I748" s="198">
        <f>IF(K748&gt;0,E748*(1-'Trading Model'!E758),IF(E748&lt;I747,I747*(1-'Trading Model'!$E$14),I747))</f>
        <v>12.221622188323055</v>
      </c>
      <c r="J748" s="198">
        <f t="shared" si="95"/>
        <v>0</v>
      </c>
      <c r="K748" s="198">
        <f t="shared" si="90"/>
        <v>0</v>
      </c>
      <c r="L748" s="198">
        <f>COUNTIF(J748:K748,"&lt;&gt;0")*-'Trading Model'!$E$15</f>
        <v>0</v>
      </c>
      <c r="M748" s="198">
        <f t="shared" si="88"/>
        <v>0</v>
      </c>
      <c r="N748" s="75">
        <f t="shared" si="91"/>
        <v>39</v>
      </c>
      <c r="O748" s="202">
        <f t="shared" si="92"/>
        <v>0</v>
      </c>
      <c r="P748" s="199">
        <f t="shared" si="89"/>
        <v>0</v>
      </c>
      <c r="Q748" s="203">
        <f t="shared" si="93"/>
        <v>63.000000000002032</v>
      </c>
      <c r="R748" s="160" t="s">
        <v>55</v>
      </c>
      <c r="S748" s="201">
        <f t="shared" si="94"/>
        <v>3.215434083601254E-3</v>
      </c>
    </row>
    <row r="749" spans="1:19">
      <c r="A749" s="196">
        <v>41052</v>
      </c>
      <c r="B749" s="122">
        <v>12.5</v>
      </c>
      <c r="C749" s="122">
        <v>12.59</v>
      </c>
      <c r="D749" s="122">
        <v>12.1</v>
      </c>
      <c r="E749" s="122">
        <v>12.36</v>
      </c>
      <c r="F749" s="122">
        <v>9.2924500000000005</v>
      </c>
      <c r="G749" s="197">
        <v>348000</v>
      </c>
      <c r="H749" s="198">
        <f>IF(AND(E748&gt;=H748,E749&gt;=E748),E748*(1+'Trading Model'!$E$13),IF(AND(E749&lt;E748,E748&gt;=H748),E749*(1+'Trading Model'!$E$13),H748))</f>
        <v>27.698998950000004</v>
      </c>
      <c r="I749" s="198">
        <f>IF(K749&gt;0,E749*(1-'Trading Model'!E759),IF(E749&lt;I748,I748*(1-'Trading Model'!$E$14),I748))</f>
        <v>12.221622188323055</v>
      </c>
      <c r="J749" s="198">
        <f t="shared" si="95"/>
        <v>0</v>
      </c>
      <c r="K749" s="198">
        <f t="shared" si="90"/>
        <v>0</v>
      </c>
      <c r="L749" s="198">
        <f>COUNTIF(J749:K749,"&lt;&gt;0")*-'Trading Model'!$E$15</f>
        <v>0</v>
      </c>
      <c r="M749" s="198">
        <f t="shared" si="88"/>
        <v>0</v>
      </c>
      <c r="N749" s="75">
        <f t="shared" si="91"/>
        <v>39</v>
      </c>
      <c r="O749" s="202">
        <f t="shared" si="92"/>
        <v>0</v>
      </c>
      <c r="P749" s="199">
        <f t="shared" si="89"/>
        <v>0</v>
      </c>
      <c r="Q749" s="203">
        <f t="shared" si="93"/>
        <v>62.900000000002031</v>
      </c>
      <c r="R749" s="203" t="s">
        <v>55</v>
      </c>
      <c r="S749" s="201">
        <f t="shared" si="94"/>
        <v>-9.6153846153846922E-3</v>
      </c>
    </row>
    <row r="750" spans="1:19">
      <c r="A750" s="196">
        <v>41053</v>
      </c>
      <c r="B750" s="122">
        <v>12.38</v>
      </c>
      <c r="C750" s="122">
        <v>12.57</v>
      </c>
      <c r="D750" s="122">
        <v>12.14</v>
      </c>
      <c r="E750" s="122">
        <v>12.52</v>
      </c>
      <c r="F750" s="122">
        <v>9.4127399999999994</v>
      </c>
      <c r="G750" s="197">
        <v>239800</v>
      </c>
      <c r="H750" s="198">
        <f>IF(AND(E749&gt;=H749,E750&gt;=E749),E749*(1+'Trading Model'!$E$13),IF(AND(E750&lt;E749,E749&gt;=H749),E750*(1+'Trading Model'!$E$13),H749))</f>
        <v>27.698998950000004</v>
      </c>
      <c r="I750" s="198">
        <f>IF(K750&gt;0,E750*(1-'Trading Model'!E760),IF(E750&lt;I749,I749*(1-'Trading Model'!$E$14),I749))</f>
        <v>12.221622188323055</v>
      </c>
      <c r="J750" s="198">
        <f t="shared" si="95"/>
        <v>0</v>
      </c>
      <c r="K750" s="198">
        <f t="shared" si="90"/>
        <v>0</v>
      </c>
      <c r="L750" s="198">
        <f>COUNTIF(J750:K750,"&lt;&gt;0")*-'Trading Model'!$E$15</f>
        <v>0</v>
      </c>
      <c r="M750" s="198">
        <f t="shared" si="88"/>
        <v>0</v>
      </c>
      <c r="N750" s="75">
        <f t="shared" si="91"/>
        <v>39</v>
      </c>
      <c r="O750" s="202">
        <f t="shared" si="92"/>
        <v>0</v>
      </c>
      <c r="P750" s="199">
        <f t="shared" si="89"/>
        <v>0</v>
      </c>
      <c r="Q750" s="203">
        <f t="shared" si="93"/>
        <v>62.900000000002031</v>
      </c>
      <c r="R750" s="203" t="s">
        <v>55</v>
      </c>
      <c r="S750" s="201">
        <f t="shared" si="94"/>
        <v>1.2944983818770295E-2</v>
      </c>
    </row>
    <row r="751" spans="1:19">
      <c r="A751" s="196">
        <v>41054</v>
      </c>
      <c r="B751" s="122">
        <v>12.47</v>
      </c>
      <c r="C751" s="122">
        <v>12.55</v>
      </c>
      <c r="D751" s="122">
        <v>12.15</v>
      </c>
      <c r="E751" s="122">
        <v>12.18</v>
      </c>
      <c r="F751" s="122">
        <v>9.1571250000000006</v>
      </c>
      <c r="G751" s="197">
        <v>118400</v>
      </c>
      <c r="H751" s="198">
        <f>IF(AND(E750&gt;=H750,E751&gt;=E750),E750*(1+'Trading Model'!$E$13),IF(AND(E751&lt;E750,E750&gt;=H750),E751*(1+'Trading Model'!$E$13),H750))</f>
        <v>27.698998950000004</v>
      </c>
      <c r="I751" s="198">
        <f>IF(K751&gt;0,E751*(1-'Trading Model'!E761),IF(E751&lt;I750,I750*(1-'Trading Model'!$E$14),I750))</f>
        <v>11.610541078906902</v>
      </c>
      <c r="J751" s="198">
        <f t="shared" si="95"/>
        <v>-12.18</v>
      </c>
      <c r="K751" s="198">
        <f t="shared" si="90"/>
        <v>0</v>
      </c>
      <c r="L751" s="198">
        <f>COUNTIF(J751:K751,"&lt;&gt;0")*-'Trading Model'!$E$15</f>
        <v>-0.1</v>
      </c>
      <c r="M751" s="198">
        <f t="shared" si="88"/>
        <v>-12.28</v>
      </c>
      <c r="N751" s="75">
        <f t="shared" si="91"/>
        <v>40</v>
      </c>
      <c r="O751" s="202">
        <f t="shared" si="92"/>
        <v>0</v>
      </c>
      <c r="P751" s="199">
        <f t="shared" si="89"/>
        <v>0</v>
      </c>
      <c r="Q751" s="203">
        <f t="shared" si="93"/>
        <v>62.800000000002029</v>
      </c>
      <c r="R751" s="203" t="s">
        <v>55</v>
      </c>
      <c r="S751" s="201">
        <f t="shared" si="94"/>
        <v>-2.7156549520766737E-2</v>
      </c>
    </row>
    <row r="752" spans="1:19">
      <c r="A752" s="196">
        <v>41058</v>
      </c>
      <c r="B752" s="122">
        <v>12.2</v>
      </c>
      <c r="C752" s="122">
        <v>12.53</v>
      </c>
      <c r="D752" s="122">
        <v>12.2</v>
      </c>
      <c r="E752" s="122">
        <v>12.43</v>
      </c>
      <c r="F752" s="122">
        <v>9.3450780000000009</v>
      </c>
      <c r="G752" s="197">
        <v>211900</v>
      </c>
      <c r="H752" s="198">
        <f>IF(AND(E751&gt;=H751,E752&gt;=E751),E751*(1+'Trading Model'!$E$13),IF(AND(E752&lt;E751,E751&gt;=H751),E752*(1+'Trading Model'!$E$13),H751))</f>
        <v>27.698998950000004</v>
      </c>
      <c r="I752" s="198">
        <f>IF(K752&gt;0,E752*(1-'Trading Model'!E762),IF(E752&lt;I751,I751*(1-'Trading Model'!$E$14),I751))</f>
        <v>11.610541078906902</v>
      </c>
      <c r="J752" s="198">
        <f t="shared" si="95"/>
        <v>0</v>
      </c>
      <c r="K752" s="198">
        <f t="shared" si="90"/>
        <v>0</v>
      </c>
      <c r="L752" s="198">
        <f>COUNTIF(J752:K752,"&lt;&gt;0")*-'Trading Model'!$E$15</f>
        <v>0</v>
      </c>
      <c r="M752" s="198">
        <f t="shared" si="88"/>
        <v>0</v>
      </c>
      <c r="N752" s="75">
        <f t="shared" si="91"/>
        <v>40</v>
      </c>
      <c r="O752" s="202">
        <f t="shared" si="92"/>
        <v>0</v>
      </c>
      <c r="P752" s="199">
        <f t="shared" si="89"/>
        <v>0</v>
      </c>
      <c r="Q752" s="203">
        <f t="shared" si="93"/>
        <v>62.800000000002029</v>
      </c>
      <c r="R752" s="201">
        <f>E752/B748-1</f>
        <v>1.6116035455278066E-3</v>
      </c>
      <c r="S752" s="201">
        <f t="shared" si="94"/>
        <v>2.0525451559934238E-2</v>
      </c>
    </row>
    <row r="753" spans="1:19">
      <c r="A753" s="196">
        <v>41059</v>
      </c>
      <c r="B753" s="122">
        <v>12.39</v>
      </c>
      <c r="C753" s="122">
        <v>12.39</v>
      </c>
      <c r="D753" s="122">
        <v>12.04</v>
      </c>
      <c r="E753" s="122">
        <v>12.08</v>
      </c>
      <c r="F753" s="122">
        <v>9.0819410000000005</v>
      </c>
      <c r="G753" s="197">
        <v>136400</v>
      </c>
      <c r="H753" s="198">
        <f>IF(AND(E752&gt;=H752,E753&gt;=E752),E752*(1+'Trading Model'!$E$13),IF(AND(E753&lt;E752,E752&gt;=H752),E753*(1+'Trading Model'!$E$13),H752))</f>
        <v>27.698998950000004</v>
      </c>
      <c r="I753" s="198">
        <f>IF(K753&gt;0,E753*(1-'Trading Model'!E763),IF(E753&lt;I752,I752*(1-'Trading Model'!$E$14),I752))</f>
        <v>11.610541078906902</v>
      </c>
      <c r="J753" s="198">
        <f t="shared" si="95"/>
        <v>0</v>
      </c>
      <c r="K753" s="198">
        <f t="shared" si="90"/>
        <v>0</v>
      </c>
      <c r="L753" s="198">
        <f>COUNTIF(J753:K753,"&lt;&gt;0")*-'Trading Model'!$E$15</f>
        <v>0</v>
      </c>
      <c r="M753" s="198">
        <f t="shared" si="88"/>
        <v>0</v>
      </c>
      <c r="N753" s="75">
        <f t="shared" si="91"/>
        <v>40</v>
      </c>
      <c r="O753" s="202">
        <f t="shared" si="92"/>
        <v>0</v>
      </c>
      <c r="P753" s="199">
        <f t="shared" si="89"/>
        <v>0</v>
      </c>
      <c r="Q753" s="203">
        <f t="shared" si="93"/>
        <v>62.700000000002028</v>
      </c>
      <c r="R753" s="160" t="s">
        <v>55</v>
      </c>
      <c r="S753" s="201">
        <f t="shared" si="94"/>
        <v>-2.8157683024939595E-2</v>
      </c>
    </row>
    <row r="754" spans="1:19">
      <c r="A754" s="196">
        <v>41060</v>
      </c>
      <c r="B754" s="122">
        <v>12.12</v>
      </c>
      <c r="C754" s="122">
        <v>12.17</v>
      </c>
      <c r="D754" s="122">
        <v>11.91</v>
      </c>
      <c r="E754" s="122">
        <v>12.11</v>
      </c>
      <c r="F754" s="122">
        <v>9.104495</v>
      </c>
      <c r="G754" s="197">
        <v>133000</v>
      </c>
      <c r="H754" s="198">
        <f>IF(AND(E753&gt;=H753,E754&gt;=E753),E753*(1+'Trading Model'!$E$13),IF(AND(E754&lt;E753,E753&gt;=H753),E754*(1+'Trading Model'!$E$13),H753))</f>
        <v>27.698998950000004</v>
      </c>
      <c r="I754" s="198">
        <f>IF(K754&gt;0,E754*(1-'Trading Model'!E764),IF(E754&lt;I753,I753*(1-'Trading Model'!$E$14),I753))</f>
        <v>11.610541078906902</v>
      </c>
      <c r="J754" s="198">
        <f t="shared" si="95"/>
        <v>0</v>
      </c>
      <c r="K754" s="198">
        <f t="shared" si="90"/>
        <v>0</v>
      </c>
      <c r="L754" s="198">
        <f>COUNTIF(J754:K754,"&lt;&gt;0")*-'Trading Model'!$E$15</f>
        <v>0</v>
      </c>
      <c r="M754" s="198">
        <f t="shared" si="88"/>
        <v>0</v>
      </c>
      <c r="N754" s="75">
        <f t="shared" si="91"/>
        <v>40</v>
      </c>
      <c r="O754" s="202">
        <f t="shared" si="92"/>
        <v>0</v>
      </c>
      <c r="P754" s="199">
        <f t="shared" si="89"/>
        <v>0</v>
      </c>
      <c r="Q754" s="203">
        <f t="shared" si="93"/>
        <v>62.700000000002028</v>
      </c>
      <c r="R754" s="203" t="s">
        <v>55</v>
      </c>
      <c r="S754" s="201">
        <f t="shared" si="94"/>
        <v>2.4834437086092009E-3</v>
      </c>
    </row>
    <row r="755" spans="1:19">
      <c r="A755" s="196">
        <v>41061</v>
      </c>
      <c r="B755" s="122">
        <v>11.98</v>
      </c>
      <c r="C755" s="122">
        <v>12.16</v>
      </c>
      <c r="D755" s="122">
        <v>11.7</v>
      </c>
      <c r="E755" s="122">
        <v>11.8</v>
      </c>
      <c r="F755" s="122">
        <v>8.8714329999999997</v>
      </c>
      <c r="G755" s="197">
        <v>379000</v>
      </c>
      <c r="H755" s="198">
        <f>IF(AND(E754&gt;=H754,E755&gt;=E754),E754*(1+'Trading Model'!$E$13),IF(AND(E755&lt;E754,E754&gt;=H754),E755*(1+'Trading Model'!$E$13),H754))</f>
        <v>27.698998950000004</v>
      </c>
      <c r="I755" s="198">
        <f>IF(K755&gt;0,E755*(1-'Trading Model'!E765),IF(E755&lt;I754,I754*(1-'Trading Model'!$E$14),I754))</f>
        <v>11.610541078906902</v>
      </c>
      <c r="J755" s="198">
        <f t="shared" si="95"/>
        <v>0</v>
      </c>
      <c r="K755" s="198">
        <f t="shared" si="90"/>
        <v>0</v>
      </c>
      <c r="L755" s="198">
        <f>COUNTIF(J755:K755,"&lt;&gt;0")*-'Trading Model'!$E$15</f>
        <v>0</v>
      </c>
      <c r="M755" s="198">
        <f t="shared" si="88"/>
        <v>0</v>
      </c>
      <c r="N755" s="75">
        <f t="shared" si="91"/>
        <v>40</v>
      </c>
      <c r="O755" s="202">
        <f t="shared" si="92"/>
        <v>0</v>
      </c>
      <c r="P755" s="199">
        <f t="shared" si="89"/>
        <v>0</v>
      </c>
      <c r="Q755" s="203">
        <f t="shared" si="93"/>
        <v>62.600000000002026</v>
      </c>
      <c r="R755" s="203" t="s">
        <v>55</v>
      </c>
      <c r="S755" s="201">
        <f t="shared" si="94"/>
        <v>-2.5598678777869477E-2</v>
      </c>
    </row>
    <row r="756" spans="1:19">
      <c r="A756" s="196">
        <v>41064</v>
      </c>
      <c r="B756" s="122">
        <v>11.8</v>
      </c>
      <c r="C756" s="122">
        <v>11.98</v>
      </c>
      <c r="D756" s="122">
        <v>11.8</v>
      </c>
      <c r="E756" s="122">
        <v>11.96</v>
      </c>
      <c r="F756" s="122">
        <v>8.9917230000000004</v>
      </c>
      <c r="G756" s="197">
        <v>329800</v>
      </c>
      <c r="H756" s="198">
        <f>IF(AND(E755&gt;=H755,E756&gt;=E755),E755*(1+'Trading Model'!$E$13),IF(AND(E756&lt;E755,E755&gt;=H755),E756*(1+'Trading Model'!$E$13),H755))</f>
        <v>27.698998950000004</v>
      </c>
      <c r="I756" s="198">
        <f>IF(K756&gt;0,E756*(1-'Trading Model'!E766),IF(E756&lt;I755,I755*(1-'Trading Model'!$E$14),I755))</f>
        <v>11.610541078906902</v>
      </c>
      <c r="J756" s="198">
        <f t="shared" si="95"/>
        <v>0</v>
      </c>
      <c r="K756" s="198">
        <f t="shared" si="90"/>
        <v>0</v>
      </c>
      <c r="L756" s="198">
        <f>COUNTIF(J756:K756,"&lt;&gt;0")*-'Trading Model'!$E$15</f>
        <v>0</v>
      </c>
      <c r="M756" s="198">
        <f t="shared" si="88"/>
        <v>0</v>
      </c>
      <c r="N756" s="75">
        <f t="shared" si="91"/>
        <v>40</v>
      </c>
      <c r="O756" s="202">
        <f t="shared" si="92"/>
        <v>0</v>
      </c>
      <c r="P756" s="199">
        <f t="shared" si="89"/>
        <v>0</v>
      </c>
      <c r="Q756" s="203">
        <f t="shared" si="93"/>
        <v>62.600000000002026</v>
      </c>
      <c r="R756" s="203" t="s">
        <v>55</v>
      </c>
      <c r="S756" s="201">
        <f t="shared" si="94"/>
        <v>1.3559322033898313E-2</v>
      </c>
    </row>
    <row r="757" spans="1:19">
      <c r="A757" s="196">
        <v>41065</v>
      </c>
      <c r="B757" s="122">
        <v>11.87</v>
      </c>
      <c r="C757" s="122">
        <v>12.23</v>
      </c>
      <c r="D757" s="122">
        <v>11.82</v>
      </c>
      <c r="E757" s="122">
        <v>12.19</v>
      </c>
      <c r="F757" s="122">
        <v>9.1646420000000006</v>
      </c>
      <c r="G757" s="197">
        <v>196500</v>
      </c>
      <c r="H757" s="198">
        <f>IF(AND(E756&gt;=H756,E757&gt;=E756),E756*(1+'Trading Model'!$E$13),IF(AND(E757&lt;E756,E756&gt;=H756),E757*(1+'Trading Model'!$E$13),H756))</f>
        <v>27.698998950000004</v>
      </c>
      <c r="I757" s="198">
        <f>IF(K757&gt;0,E757*(1-'Trading Model'!E767),IF(E757&lt;I756,I756*(1-'Trading Model'!$E$14),I756))</f>
        <v>11.610541078906902</v>
      </c>
      <c r="J757" s="198">
        <f t="shared" si="95"/>
        <v>0</v>
      </c>
      <c r="K757" s="198">
        <f t="shared" si="90"/>
        <v>0</v>
      </c>
      <c r="L757" s="198">
        <f>COUNTIF(J757:K757,"&lt;&gt;0")*-'Trading Model'!$E$15</f>
        <v>0</v>
      </c>
      <c r="M757" s="198">
        <f t="shared" si="88"/>
        <v>0</v>
      </c>
      <c r="N757" s="75">
        <f t="shared" si="91"/>
        <v>40</v>
      </c>
      <c r="O757" s="202">
        <f t="shared" si="92"/>
        <v>0</v>
      </c>
      <c r="P757" s="199">
        <f t="shared" si="89"/>
        <v>0</v>
      </c>
      <c r="Q757" s="203">
        <f t="shared" si="93"/>
        <v>62.600000000002026</v>
      </c>
      <c r="R757" s="201">
        <f>E757/B753-1</f>
        <v>-1.6142050040355183E-2</v>
      </c>
      <c r="S757" s="201">
        <f t="shared" si="94"/>
        <v>1.9230769230769162E-2</v>
      </c>
    </row>
    <row r="758" spans="1:19">
      <c r="A758" s="196">
        <v>41066</v>
      </c>
      <c r="B758" s="122">
        <v>12.2</v>
      </c>
      <c r="C758" s="122">
        <v>12.44</v>
      </c>
      <c r="D758" s="122">
        <v>12.01</v>
      </c>
      <c r="E758" s="122">
        <v>12.13</v>
      </c>
      <c r="F758" s="122">
        <v>9.1195319999999995</v>
      </c>
      <c r="G758" s="197">
        <v>201800</v>
      </c>
      <c r="H758" s="198">
        <f>IF(AND(E757&gt;=H757,E758&gt;=E757),E757*(1+'Trading Model'!$E$13),IF(AND(E758&lt;E757,E757&gt;=H757),E758*(1+'Trading Model'!$E$13),H757))</f>
        <v>27.698998950000004</v>
      </c>
      <c r="I758" s="198">
        <f>IF(K758&gt;0,E758*(1-'Trading Model'!E768),IF(E758&lt;I757,I757*(1-'Trading Model'!$E$14),I757))</f>
        <v>11.610541078906902</v>
      </c>
      <c r="J758" s="198">
        <f t="shared" si="95"/>
        <v>0</v>
      </c>
      <c r="K758" s="198">
        <f t="shared" si="90"/>
        <v>0</v>
      </c>
      <c r="L758" s="198">
        <f>COUNTIF(J758:K758,"&lt;&gt;0")*-'Trading Model'!$E$15</f>
        <v>0</v>
      </c>
      <c r="M758" s="198">
        <f t="shared" si="88"/>
        <v>0</v>
      </c>
      <c r="N758" s="75">
        <f t="shared" si="91"/>
        <v>40</v>
      </c>
      <c r="O758" s="202">
        <f t="shared" si="92"/>
        <v>0</v>
      </c>
      <c r="P758" s="199">
        <f t="shared" si="89"/>
        <v>0</v>
      </c>
      <c r="Q758" s="203">
        <f t="shared" si="93"/>
        <v>62.500000000002025</v>
      </c>
      <c r="R758" s="160" t="s">
        <v>55</v>
      </c>
      <c r="S758" s="201">
        <f t="shared" si="94"/>
        <v>-4.9220672682526168E-3</v>
      </c>
    </row>
    <row r="759" spans="1:19">
      <c r="A759" s="196">
        <v>41067</v>
      </c>
      <c r="B759" s="122">
        <v>12.21</v>
      </c>
      <c r="C759" s="122">
        <v>12.33</v>
      </c>
      <c r="D759" s="122">
        <v>11.77</v>
      </c>
      <c r="E759" s="122">
        <v>11.85</v>
      </c>
      <c r="F759" s="122">
        <v>8.9090229999999995</v>
      </c>
      <c r="G759" s="197">
        <v>213900</v>
      </c>
      <c r="H759" s="198">
        <f>IF(AND(E758&gt;=H758,E759&gt;=E758),E758*(1+'Trading Model'!$E$13),IF(AND(E759&lt;E758,E758&gt;=H758),E759*(1+'Trading Model'!$E$13),H758))</f>
        <v>27.698998950000004</v>
      </c>
      <c r="I759" s="198">
        <f>IF(K759&gt;0,E759*(1-'Trading Model'!E769),IF(E759&lt;I758,I758*(1-'Trading Model'!$E$14),I758))</f>
        <v>11.610541078906902</v>
      </c>
      <c r="J759" s="198">
        <f t="shared" si="95"/>
        <v>0</v>
      </c>
      <c r="K759" s="198">
        <f t="shared" si="90"/>
        <v>0</v>
      </c>
      <c r="L759" s="198">
        <f>COUNTIF(J759:K759,"&lt;&gt;0")*-'Trading Model'!$E$15</f>
        <v>0</v>
      </c>
      <c r="M759" s="198">
        <f t="shared" si="88"/>
        <v>0</v>
      </c>
      <c r="N759" s="75">
        <f t="shared" si="91"/>
        <v>40</v>
      </c>
      <c r="O759" s="202">
        <f t="shared" si="92"/>
        <v>0</v>
      </c>
      <c r="P759" s="199">
        <f t="shared" si="89"/>
        <v>0</v>
      </c>
      <c r="Q759" s="203">
        <f t="shared" si="93"/>
        <v>62.400000000002024</v>
      </c>
      <c r="R759" s="203" t="s">
        <v>55</v>
      </c>
      <c r="S759" s="201">
        <f t="shared" si="94"/>
        <v>-2.3083264633141032E-2</v>
      </c>
    </row>
    <row r="760" spans="1:19">
      <c r="A760" s="196">
        <v>41068</v>
      </c>
      <c r="B760" s="122">
        <v>11.86</v>
      </c>
      <c r="C760" s="122">
        <v>12.02</v>
      </c>
      <c r="D760" s="122">
        <v>11.79</v>
      </c>
      <c r="E760" s="122">
        <v>11.85</v>
      </c>
      <c r="F760" s="122">
        <v>8.9090229999999995</v>
      </c>
      <c r="G760" s="197">
        <v>215900</v>
      </c>
      <c r="H760" s="198">
        <f>IF(AND(E759&gt;=H759,E760&gt;=E759),E759*(1+'Trading Model'!$E$13),IF(AND(E760&lt;E759,E759&gt;=H759),E760*(1+'Trading Model'!$E$13),H759))</f>
        <v>27.698998950000004</v>
      </c>
      <c r="I760" s="198">
        <f>IF(K760&gt;0,E760*(1-'Trading Model'!E770),IF(E760&lt;I759,I759*(1-'Trading Model'!$E$14),I759))</f>
        <v>11.610541078906902</v>
      </c>
      <c r="J760" s="198">
        <f t="shared" si="95"/>
        <v>0</v>
      </c>
      <c r="K760" s="198">
        <f t="shared" si="90"/>
        <v>0</v>
      </c>
      <c r="L760" s="198">
        <f>COUNTIF(J760:K760,"&lt;&gt;0")*-'Trading Model'!$E$15</f>
        <v>0</v>
      </c>
      <c r="M760" s="198">
        <f t="shared" si="88"/>
        <v>0</v>
      </c>
      <c r="N760" s="75">
        <f t="shared" si="91"/>
        <v>40</v>
      </c>
      <c r="O760" s="202">
        <f t="shared" si="92"/>
        <v>0</v>
      </c>
      <c r="P760" s="199">
        <f t="shared" si="89"/>
        <v>0</v>
      </c>
      <c r="Q760" s="203">
        <f t="shared" si="93"/>
        <v>62.400000000002024</v>
      </c>
      <c r="R760" s="203" t="s">
        <v>55</v>
      </c>
      <c r="S760" s="201">
        <f t="shared" si="94"/>
        <v>0</v>
      </c>
    </row>
    <row r="761" spans="1:19">
      <c r="A761" s="196">
        <v>41071</v>
      </c>
      <c r="B761" s="122">
        <v>11.85</v>
      </c>
      <c r="C761" s="122">
        <v>11.9</v>
      </c>
      <c r="D761" s="122">
        <v>11.5</v>
      </c>
      <c r="E761" s="122">
        <v>11.5</v>
      </c>
      <c r="F761" s="122">
        <v>8.6458890000000004</v>
      </c>
      <c r="G761" s="197">
        <v>158700</v>
      </c>
      <c r="H761" s="198">
        <f>IF(AND(E760&gt;=H760,E761&gt;=E760),E760*(1+'Trading Model'!$E$13),IF(AND(E761&lt;E760,E760&gt;=H760),E761*(1+'Trading Model'!$E$13),H760))</f>
        <v>27.698998950000004</v>
      </c>
      <c r="I761" s="198">
        <f>IF(K761&gt;0,E761*(1-'Trading Model'!E771),IF(E761&lt;I760,I760*(1-'Trading Model'!$E$14),I760))</f>
        <v>11.030014024961556</v>
      </c>
      <c r="J761" s="198">
        <f t="shared" si="95"/>
        <v>-11.5</v>
      </c>
      <c r="K761" s="198">
        <f t="shared" si="90"/>
        <v>0</v>
      </c>
      <c r="L761" s="198">
        <f>COUNTIF(J761:K761,"&lt;&gt;0")*-'Trading Model'!$E$15</f>
        <v>-0.1</v>
      </c>
      <c r="M761" s="198">
        <f t="shared" si="88"/>
        <v>-11.6</v>
      </c>
      <c r="N761" s="75">
        <f t="shared" si="91"/>
        <v>41</v>
      </c>
      <c r="O761" s="202">
        <f t="shared" si="92"/>
        <v>0</v>
      </c>
      <c r="P761" s="199">
        <f t="shared" si="89"/>
        <v>0</v>
      </c>
      <c r="Q761" s="203">
        <f t="shared" si="93"/>
        <v>62.300000000002022</v>
      </c>
      <c r="R761" s="203" t="s">
        <v>55</v>
      </c>
      <c r="S761" s="201">
        <f t="shared" si="94"/>
        <v>-2.9535864978902926E-2</v>
      </c>
    </row>
    <row r="762" spans="1:19">
      <c r="A762" s="196">
        <v>41072</v>
      </c>
      <c r="B762" s="122">
        <v>11.39</v>
      </c>
      <c r="C762" s="122">
        <v>11.55</v>
      </c>
      <c r="D762" s="122">
        <v>10.96</v>
      </c>
      <c r="E762" s="122">
        <v>11.04</v>
      </c>
      <c r="F762" s="122">
        <v>8.3000509999999998</v>
      </c>
      <c r="G762" s="197">
        <v>284700</v>
      </c>
      <c r="H762" s="198">
        <f>IF(AND(E761&gt;=H761,E762&gt;=E761),E761*(1+'Trading Model'!$E$13),IF(AND(E762&lt;E761,E761&gt;=H761),E762*(1+'Trading Model'!$E$13),H761))</f>
        <v>27.698998950000004</v>
      </c>
      <c r="I762" s="198">
        <f>IF(K762&gt;0,E762*(1-'Trading Model'!E772),IF(E762&lt;I761,I761*(1-'Trading Model'!$E$14),I761))</f>
        <v>11.030014024961556</v>
      </c>
      <c r="J762" s="198">
        <f t="shared" si="95"/>
        <v>0</v>
      </c>
      <c r="K762" s="198">
        <f t="shared" si="90"/>
        <v>0</v>
      </c>
      <c r="L762" s="198">
        <f>COUNTIF(J762:K762,"&lt;&gt;0")*-'Trading Model'!$E$15</f>
        <v>0</v>
      </c>
      <c r="M762" s="198">
        <f t="shared" si="88"/>
        <v>0</v>
      </c>
      <c r="N762" s="75">
        <f t="shared" si="91"/>
        <v>41</v>
      </c>
      <c r="O762" s="202">
        <f t="shared" si="92"/>
        <v>0</v>
      </c>
      <c r="P762" s="199">
        <f t="shared" si="89"/>
        <v>0</v>
      </c>
      <c r="Q762" s="203">
        <f t="shared" si="93"/>
        <v>62.200000000002021</v>
      </c>
      <c r="R762" s="201">
        <f>E762/B758-1</f>
        <v>-9.5081967213114793E-2</v>
      </c>
      <c r="S762" s="201">
        <f t="shared" si="94"/>
        <v>-4.0000000000000036E-2</v>
      </c>
    </row>
    <row r="763" spans="1:19">
      <c r="A763" s="196">
        <v>41073</v>
      </c>
      <c r="B763" s="122">
        <v>11.1</v>
      </c>
      <c r="C763" s="122">
        <v>11.2</v>
      </c>
      <c r="D763" s="122">
        <v>11.03</v>
      </c>
      <c r="E763" s="122">
        <v>11.12</v>
      </c>
      <c r="F763" s="122">
        <v>8.3601969999999994</v>
      </c>
      <c r="G763" s="197">
        <v>187100</v>
      </c>
      <c r="H763" s="198">
        <f>IF(AND(E762&gt;=H762,E763&gt;=E762),E762*(1+'Trading Model'!$E$13),IF(AND(E763&lt;E762,E762&gt;=H762),E763*(1+'Trading Model'!$E$13),H762))</f>
        <v>27.698998950000004</v>
      </c>
      <c r="I763" s="198">
        <f>IF(K763&gt;0,E763*(1-'Trading Model'!E773),IF(E763&lt;I762,I762*(1-'Trading Model'!$E$14),I762))</f>
        <v>11.030014024961556</v>
      </c>
      <c r="J763" s="198">
        <f t="shared" si="95"/>
        <v>0</v>
      </c>
      <c r="K763" s="198">
        <f t="shared" si="90"/>
        <v>0</v>
      </c>
      <c r="L763" s="198">
        <f>COUNTIF(J763:K763,"&lt;&gt;0")*-'Trading Model'!$E$15</f>
        <v>0</v>
      </c>
      <c r="M763" s="198">
        <f t="shared" si="88"/>
        <v>0</v>
      </c>
      <c r="N763" s="75">
        <f t="shared" si="91"/>
        <v>41</v>
      </c>
      <c r="O763" s="202">
        <f t="shared" si="92"/>
        <v>0</v>
      </c>
      <c r="P763" s="199">
        <f t="shared" si="89"/>
        <v>0</v>
      </c>
      <c r="Q763" s="203">
        <f t="shared" si="93"/>
        <v>62.200000000002021</v>
      </c>
      <c r="R763" s="160" t="s">
        <v>55</v>
      </c>
      <c r="S763" s="201">
        <f t="shared" si="94"/>
        <v>7.2463768115942351E-3</v>
      </c>
    </row>
    <row r="764" spans="1:19">
      <c r="A764" s="196">
        <v>41074</v>
      </c>
      <c r="B764" s="122">
        <v>10.88</v>
      </c>
      <c r="C764" s="122">
        <v>11.07</v>
      </c>
      <c r="D764" s="122">
        <v>10.65</v>
      </c>
      <c r="E764" s="122">
        <v>10.88</v>
      </c>
      <c r="F764" s="122">
        <v>8.1797620000000002</v>
      </c>
      <c r="G764" s="197">
        <v>371100</v>
      </c>
      <c r="H764" s="198">
        <f>IF(AND(E763&gt;=H763,E764&gt;=E763),E763*(1+'Trading Model'!$E$13),IF(AND(E764&lt;E763,E763&gt;=H763),E764*(1+'Trading Model'!$E$13),H763))</f>
        <v>27.698998950000004</v>
      </c>
      <c r="I764" s="198">
        <f>IF(K764&gt;0,E764*(1-'Trading Model'!E774),IF(E764&lt;I763,I763*(1-'Trading Model'!$E$14),I763))</f>
        <v>10.478513323713477</v>
      </c>
      <c r="J764" s="198">
        <f t="shared" si="95"/>
        <v>-10.88</v>
      </c>
      <c r="K764" s="198">
        <f t="shared" si="90"/>
        <v>0</v>
      </c>
      <c r="L764" s="198">
        <f>COUNTIF(J764:K764,"&lt;&gt;0")*-'Trading Model'!$E$15</f>
        <v>-0.1</v>
      </c>
      <c r="M764" s="198">
        <f t="shared" si="88"/>
        <v>-10.98</v>
      </c>
      <c r="N764" s="75">
        <f t="shared" si="91"/>
        <v>42</v>
      </c>
      <c r="O764" s="202">
        <f t="shared" si="92"/>
        <v>0</v>
      </c>
      <c r="P764" s="199">
        <f t="shared" si="89"/>
        <v>0</v>
      </c>
      <c r="Q764" s="203">
        <f t="shared" si="93"/>
        <v>62.100000000002019</v>
      </c>
      <c r="R764" s="203" t="s">
        <v>55</v>
      </c>
      <c r="S764" s="201">
        <f t="shared" si="94"/>
        <v>-2.1582733812949506E-2</v>
      </c>
    </row>
    <row r="765" spans="1:19">
      <c r="A765" s="196">
        <v>41075</v>
      </c>
      <c r="B765" s="122">
        <v>10.87</v>
      </c>
      <c r="C765" s="122">
        <v>11.13</v>
      </c>
      <c r="D765" s="122">
        <v>10</v>
      </c>
      <c r="E765" s="122">
        <v>10</v>
      </c>
      <c r="F765" s="122">
        <v>7.5181630000000004</v>
      </c>
      <c r="G765" s="197">
        <v>838200</v>
      </c>
      <c r="H765" s="198">
        <f>IF(AND(E764&gt;=H764,E765&gt;=E764),E764*(1+'Trading Model'!$E$13),IF(AND(E765&lt;E764,E764&gt;=H764),E765*(1+'Trading Model'!$E$13),H764))</f>
        <v>27.698998950000004</v>
      </c>
      <c r="I765" s="198">
        <f>IF(K765&gt;0,E765*(1-'Trading Model'!E775),IF(E765&lt;I764,I764*(1-'Trading Model'!$E$14),I764))</f>
        <v>9.9545876575278029</v>
      </c>
      <c r="J765" s="198">
        <f t="shared" si="95"/>
        <v>-10</v>
      </c>
      <c r="K765" s="198">
        <f t="shared" si="90"/>
        <v>0</v>
      </c>
      <c r="L765" s="198">
        <f>COUNTIF(J765:K765,"&lt;&gt;0")*-'Trading Model'!$E$15</f>
        <v>-0.1</v>
      </c>
      <c r="M765" s="198">
        <f t="shared" si="88"/>
        <v>-10.1</v>
      </c>
      <c r="N765" s="75">
        <f t="shared" si="91"/>
        <v>43</v>
      </c>
      <c r="O765" s="202">
        <f t="shared" si="92"/>
        <v>0</v>
      </c>
      <c r="P765" s="199">
        <f t="shared" si="89"/>
        <v>0</v>
      </c>
      <c r="Q765" s="203">
        <f t="shared" si="93"/>
        <v>62.000000000002018</v>
      </c>
      <c r="R765" s="203" t="s">
        <v>55</v>
      </c>
      <c r="S765" s="201">
        <f t="shared" si="94"/>
        <v>-8.0882352941176516E-2</v>
      </c>
    </row>
    <row r="766" spans="1:19">
      <c r="A766" s="196">
        <v>41078</v>
      </c>
      <c r="B766" s="122">
        <v>10.32</v>
      </c>
      <c r="C766" s="122">
        <v>11.1</v>
      </c>
      <c r="D766" s="122">
        <v>10.11</v>
      </c>
      <c r="E766" s="122">
        <v>11.02</v>
      </c>
      <c r="F766" s="122">
        <v>8.2850169999999999</v>
      </c>
      <c r="G766" s="197">
        <v>367000</v>
      </c>
      <c r="H766" s="198">
        <f>IF(AND(E765&gt;=H765,E766&gt;=E765),E765*(1+'Trading Model'!$E$13),IF(AND(E766&lt;E765,E765&gt;=H765),E766*(1+'Trading Model'!$E$13),H765))</f>
        <v>27.698998950000004</v>
      </c>
      <c r="I766" s="198">
        <f>IF(K766&gt;0,E766*(1-'Trading Model'!E776),IF(E766&lt;I765,I765*(1-'Trading Model'!$E$14),I765))</f>
        <v>9.9545876575278029</v>
      </c>
      <c r="J766" s="198">
        <f t="shared" si="95"/>
        <v>0</v>
      </c>
      <c r="K766" s="198">
        <f t="shared" si="90"/>
        <v>0</v>
      </c>
      <c r="L766" s="198">
        <f>COUNTIF(J766:K766,"&lt;&gt;0")*-'Trading Model'!$E$15</f>
        <v>0</v>
      </c>
      <c r="M766" s="198">
        <f t="shared" si="88"/>
        <v>0</v>
      </c>
      <c r="N766" s="75">
        <f t="shared" si="91"/>
        <v>43</v>
      </c>
      <c r="O766" s="202">
        <f t="shared" si="92"/>
        <v>0</v>
      </c>
      <c r="P766" s="199">
        <f t="shared" si="89"/>
        <v>0</v>
      </c>
      <c r="Q766" s="203">
        <f t="shared" si="93"/>
        <v>62.000000000002018</v>
      </c>
      <c r="R766" s="203" t="s">
        <v>55</v>
      </c>
      <c r="S766" s="201">
        <f t="shared" si="94"/>
        <v>0.10199999999999987</v>
      </c>
    </row>
    <row r="767" spans="1:19">
      <c r="A767" s="196">
        <v>41079</v>
      </c>
      <c r="B767" s="122">
        <v>11.02</v>
      </c>
      <c r="C767" s="122">
        <v>11.33</v>
      </c>
      <c r="D767" s="122">
        <v>10.97</v>
      </c>
      <c r="E767" s="122">
        <v>11.25</v>
      </c>
      <c r="F767" s="122">
        <v>8.4579339999999998</v>
      </c>
      <c r="G767" s="197">
        <v>279200</v>
      </c>
      <c r="H767" s="198">
        <f>IF(AND(E766&gt;=H766,E767&gt;=E766),E766*(1+'Trading Model'!$E$13),IF(AND(E767&lt;E766,E766&gt;=H766),E767*(1+'Trading Model'!$E$13),H766))</f>
        <v>27.698998950000004</v>
      </c>
      <c r="I767" s="198">
        <f>IF(K767&gt;0,E767*(1-'Trading Model'!E777),IF(E767&lt;I766,I766*(1-'Trading Model'!$E$14),I766))</f>
        <v>9.9545876575278029</v>
      </c>
      <c r="J767" s="198">
        <f t="shared" si="95"/>
        <v>0</v>
      </c>
      <c r="K767" s="198">
        <f t="shared" si="90"/>
        <v>0</v>
      </c>
      <c r="L767" s="198">
        <f>COUNTIF(J767:K767,"&lt;&gt;0")*-'Trading Model'!$E$15</f>
        <v>0</v>
      </c>
      <c r="M767" s="198">
        <f t="shared" si="88"/>
        <v>0</v>
      </c>
      <c r="N767" s="75">
        <f t="shared" si="91"/>
        <v>43</v>
      </c>
      <c r="O767" s="202">
        <f t="shared" si="92"/>
        <v>0</v>
      </c>
      <c r="P767" s="199">
        <f t="shared" si="89"/>
        <v>0</v>
      </c>
      <c r="Q767" s="203">
        <f t="shared" si="93"/>
        <v>62.000000000002018</v>
      </c>
      <c r="R767" s="201">
        <f>E767/B763-1</f>
        <v>1.3513513513513598E-2</v>
      </c>
      <c r="S767" s="201">
        <f t="shared" si="94"/>
        <v>2.0871143375680523E-2</v>
      </c>
    </row>
    <row r="768" spans="1:19">
      <c r="A768" s="196">
        <v>41080</v>
      </c>
      <c r="B768" s="122">
        <v>11.24</v>
      </c>
      <c r="C768" s="122">
        <v>11.7</v>
      </c>
      <c r="D768" s="122">
        <v>11.1</v>
      </c>
      <c r="E768" s="122">
        <v>11.61</v>
      </c>
      <c r="F768" s="122">
        <v>8.7285880000000002</v>
      </c>
      <c r="G768" s="197">
        <v>169800</v>
      </c>
      <c r="H768" s="198">
        <f>IF(AND(E767&gt;=H767,E768&gt;=E767),E767*(1+'Trading Model'!$E$13),IF(AND(E768&lt;E767,E767&gt;=H767),E768*(1+'Trading Model'!$E$13),H767))</f>
        <v>27.698998950000004</v>
      </c>
      <c r="I768" s="198">
        <f>IF(K768&gt;0,E768*(1-'Trading Model'!E778),IF(E768&lt;I767,I767*(1-'Trading Model'!$E$14),I767))</f>
        <v>9.9545876575278029</v>
      </c>
      <c r="J768" s="198">
        <f t="shared" si="95"/>
        <v>0</v>
      </c>
      <c r="K768" s="198">
        <f t="shared" si="90"/>
        <v>0</v>
      </c>
      <c r="L768" s="198">
        <f>COUNTIF(J768:K768,"&lt;&gt;0")*-'Trading Model'!$E$15</f>
        <v>0</v>
      </c>
      <c r="M768" s="198">
        <f t="shared" si="88"/>
        <v>0</v>
      </c>
      <c r="N768" s="75">
        <f t="shared" si="91"/>
        <v>43</v>
      </c>
      <c r="O768" s="202">
        <f t="shared" si="92"/>
        <v>0</v>
      </c>
      <c r="P768" s="199">
        <f t="shared" si="89"/>
        <v>0</v>
      </c>
      <c r="Q768" s="203">
        <f t="shared" si="93"/>
        <v>62.000000000002018</v>
      </c>
      <c r="R768" s="160" t="s">
        <v>55</v>
      </c>
      <c r="S768" s="201">
        <f t="shared" si="94"/>
        <v>3.2000000000000028E-2</v>
      </c>
    </row>
    <row r="769" spans="1:19">
      <c r="A769" s="196">
        <v>41081</v>
      </c>
      <c r="B769" s="122">
        <v>11.59</v>
      </c>
      <c r="C769" s="122">
        <v>11.73</v>
      </c>
      <c r="D769" s="122">
        <v>11.14</v>
      </c>
      <c r="E769" s="122">
        <v>11.22</v>
      </c>
      <c r="F769" s="122">
        <v>8.4353789999999993</v>
      </c>
      <c r="G769" s="197">
        <v>171600</v>
      </c>
      <c r="H769" s="198">
        <f>IF(AND(E768&gt;=H768,E769&gt;=E768),E768*(1+'Trading Model'!$E$13),IF(AND(E769&lt;E768,E768&gt;=H768),E769*(1+'Trading Model'!$E$13),H768))</f>
        <v>27.698998950000004</v>
      </c>
      <c r="I769" s="198">
        <f>IF(K769&gt;0,E769*(1-'Trading Model'!E779),IF(E769&lt;I768,I768*(1-'Trading Model'!$E$14),I768))</f>
        <v>9.9545876575278029</v>
      </c>
      <c r="J769" s="198">
        <f t="shared" si="95"/>
        <v>0</v>
      </c>
      <c r="K769" s="198">
        <f t="shared" si="90"/>
        <v>0</v>
      </c>
      <c r="L769" s="198">
        <f>COUNTIF(J769:K769,"&lt;&gt;0")*-'Trading Model'!$E$15</f>
        <v>0</v>
      </c>
      <c r="M769" s="198">
        <f t="shared" si="88"/>
        <v>0</v>
      </c>
      <c r="N769" s="75">
        <f t="shared" si="91"/>
        <v>43</v>
      </c>
      <c r="O769" s="202">
        <f t="shared" si="92"/>
        <v>0</v>
      </c>
      <c r="P769" s="199">
        <f t="shared" si="89"/>
        <v>0</v>
      </c>
      <c r="Q769" s="203">
        <f t="shared" si="93"/>
        <v>61.900000000002017</v>
      </c>
      <c r="R769" s="203" t="s">
        <v>55</v>
      </c>
      <c r="S769" s="201">
        <f t="shared" si="94"/>
        <v>-3.3591731266149782E-2</v>
      </c>
    </row>
    <row r="770" spans="1:19">
      <c r="A770" s="196">
        <v>41082</v>
      </c>
      <c r="B770" s="122">
        <v>11.29</v>
      </c>
      <c r="C770" s="122">
        <v>11.91</v>
      </c>
      <c r="D770" s="122">
        <v>11.29</v>
      </c>
      <c r="E770" s="122">
        <v>11.88</v>
      </c>
      <c r="F770" s="122">
        <v>8.9315789999999993</v>
      </c>
      <c r="G770" s="197">
        <v>259100</v>
      </c>
      <c r="H770" s="198">
        <f>IF(AND(E769&gt;=H769,E770&gt;=E769),E769*(1+'Trading Model'!$E$13),IF(AND(E770&lt;E769,E769&gt;=H769),E770*(1+'Trading Model'!$E$13),H769))</f>
        <v>27.698998950000004</v>
      </c>
      <c r="I770" s="198">
        <f>IF(K770&gt;0,E770*(1-'Trading Model'!E780),IF(E770&lt;I769,I769*(1-'Trading Model'!$E$14),I769))</f>
        <v>9.9545876575278029</v>
      </c>
      <c r="J770" s="198">
        <f t="shared" si="95"/>
        <v>0</v>
      </c>
      <c r="K770" s="198">
        <f t="shared" si="90"/>
        <v>0</v>
      </c>
      <c r="L770" s="198">
        <f>COUNTIF(J770:K770,"&lt;&gt;0")*-'Trading Model'!$E$15</f>
        <v>0</v>
      </c>
      <c r="M770" s="198">
        <f t="shared" si="88"/>
        <v>0</v>
      </c>
      <c r="N770" s="75">
        <f t="shared" si="91"/>
        <v>43</v>
      </c>
      <c r="O770" s="202">
        <f t="shared" si="92"/>
        <v>0</v>
      </c>
      <c r="P770" s="199">
        <f t="shared" si="89"/>
        <v>0</v>
      </c>
      <c r="Q770" s="203">
        <f t="shared" si="93"/>
        <v>61.900000000002017</v>
      </c>
      <c r="R770" s="203" t="s">
        <v>55</v>
      </c>
      <c r="S770" s="201">
        <f t="shared" si="94"/>
        <v>5.8823529411764719E-2</v>
      </c>
    </row>
    <row r="771" spans="1:19">
      <c r="A771" s="196">
        <v>41085</v>
      </c>
      <c r="B771" s="122">
        <v>11.75</v>
      </c>
      <c r="C771" s="122">
        <v>11.75</v>
      </c>
      <c r="D771" s="122">
        <v>10.95</v>
      </c>
      <c r="E771" s="122">
        <v>11.05</v>
      </c>
      <c r="F771" s="122">
        <v>8.3075700000000001</v>
      </c>
      <c r="G771" s="197">
        <v>300600</v>
      </c>
      <c r="H771" s="198">
        <f>IF(AND(E770&gt;=H770,E771&gt;=E770),E770*(1+'Trading Model'!$E$13),IF(AND(E771&lt;E770,E770&gt;=H770),E771*(1+'Trading Model'!$E$13),H770))</f>
        <v>27.698998950000004</v>
      </c>
      <c r="I771" s="198">
        <f>IF(K771&gt;0,E771*(1-'Trading Model'!E781),IF(E771&lt;I770,I770*(1-'Trading Model'!$E$14),I770))</f>
        <v>9.9545876575278029</v>
      </c>
      <c r="J771" s="198">
        <f t="shared" si="95"/>
        <v>0</v>
      </c>
      <c r="K771" s="198">
        <f t="shared" si="90"/>
        <v>0</v>
      </c>
      <c r="L771" s="198">
        <f>COUNTIF(J771:K771,"&lt;&gt;0")*-'Trading Model'!$E$15</f>
        <v>0</v>
      </c>
      <c r="M771" s="198">
        <f t="shared" ref="M771:M834" si="96">SUM(J771:L771)</f>
        <v>0</v>
      </c>
      <c r="N771" s="75">
        <f t="shared" si="91"/>
        <v>43</v>
      </c>
      <c r="O771" s="202">
        <f t="shared" si="92"/>
        <v>0</v>
      </c>
      <c r="P771" s="199">
        <f t="shared" ref="P771:P834" si="97">IFERROR(VLOOKUP(A771,Dividends,2,FALSE),$U$1)</f>
        <v>0</v>
      </c>
      <c r="Q771" s="203">
        <f t="shared" si="93"/>
        <v>61.800000000002015</v>
      </c>
      <c r="R771" s="203" t="s">
        <v>55</v>
      </c>
      <c r="S771" s="201">
        <f t="shared" si="94"/>
        <v>-6.9865319865319853E-2</v>
      </c>
    </row>
    <row r="772" spans="1:19">
      <c r="A772" s="196">
        <v>41086</v>
      </c>
      <c r="B772" s="122">
        <v>11.03</v>
      </c>
      <c r="C772" s="122">
        <v>11.38</v>
      </c>
      <c r="D772" s="122">
        <v>10.93</v>
      </c>
      <c r="E772" s="122">
        <v>11.29</v>
      </c>
      <c r="F772" s="122">
        <v>8.4880069999999996</v>
      </c>
      <c r="G772" s="197">
        <v>284900</v>
      </c>
      <c r="H772" s="198">
        <f>IF(AND(E771&gt;=H771,E772&gt;=E771),E771*(1+'Trading Model'!$E$13),IF(AND(E772&lt;E771,E771&gt;=H771),E772*(1+'Trading Model'!$E$13),H771))</f>
        <v>27.698998950000004</v>
      </c>
      <c r="I772" s="198">
        <f>IF(K772&gt;0,E772*(1-'Trading Model'!E782),IF(E772&lt;I771,I771*(1-'Trading Model'!$E$14),I771))</f>
        <v>9.9545876575278029</v>
      </c>
      <c r="J772" s="198">
        <f t="shared" si="95"/>
        <v>0</v>
      </c>
      <c r="K772" s="198">
        <f t="shared" ref="K772:K835" si="98">IF(E772&gt;=H772,E772,0)</f>
        <v>0</v>
      </c>
      <c r="L772" s="198">
        <f>COUNTIF(J772:K772,"&lt;&gt;0")*-'Trading Model'!$E$15</f>
        <v>0</v>
      </c>
      <c r="M772" s="198">
        <f t="shared" si="96"/>
        <v>0</v>
      </c>
      <c r="N772" s="75">
        <f t="shared" ref="N772:N835" si="99">IF(AND(J772&lt;0,K772&gt;0),N771,(IF(J772&lt;0,N771+1,IF(K772&gt;0,N771+1,N771))))</f>
        <v>43</v>
      </c>
      <c r="O772" s="202">
        <f t="shared" ref="O772:O835" si="100">P772</f>
        <v>0</v>
      </c>
      <c r="P772" s="199">
        <f t="shared" si="97"/>
        <v>0</v>
      </c>
      <c r="Q772" s="203">
        <f t="shared" ref="Q772:Q835" si="101">IF(E772&lt;E771,Q771-0.1,Q771)</f>
        <v>61.800000000002015</v>
      </c>
      <c r="R772" s="201">
        <f>E772/B768-1</f>
        <v>4.4483985765124689E-3</v>
      </c>
      <c r="S772" s="201">
        <f t="shared" ref="S772:S835" si="102">E772/E771-1</f>
        <v>2.1719457013574583E-2</v>
      </c>
    </row>
    <row r="773" spans="1:19">
      <c r="A773" s="196">
        <v>41087</v>
      </c>
      <c r="B773" s="122">
        <v>11.32</v>
      </c>
      <c r="C773" s="122">
        <v>11.65</v>
      </c>
      <c r="D773" s="122">
        <v>11.22</v>
      </c>
      <c r="E773" s="122">
        <v>11.35</v>
      </c>
      <c r="F773" s="122">
        <v>8.5331150000000004</v>
      </c>
      <c r="G773" s="197">
        <v>140900</v>
      </c>
      <c r="H773" s="198">
        <f>IF(AND(E772&gt;=H772,E773&gt;=E772),E772*(1+'Trading Model'!$E$13),IF(AND(E773&lt;E772,E772&gt;=H772),E773*(1+'Trading Model'!$E$13),H772))</f>
        <v>27.698998950000004</v>
      </c>
      <c r="I773" s="198">
        <f>IF(K773&gt;0,E773*(1-'Trading Model'!E783),IF(E773&lt;I772,I772*(1-'Trading Model'!$E$14),I772))</f>
        <v>9.9545876575278029</v>
      </c>
      <c r="J773" s="198">
        <f t="shared" ref="J773:J836" si="103">IF(E773&gt;=H773,-E773,IF(E773&lt;=I772,-E773,0))</f>
        <v>0</v>
      </c>
      <c r="K773" s="198">
        <f t="shared" si="98"/>
        <v>0</v>
      </c>
      <c r="L773" s="198">
        <f>COUNTIF(J773:K773,"&lt;&gt;0")*-'Trading Model'!$E$15</f>
        <v>0</v>
      </c>
      <c r="M773" s="198">
        <f t="shared" si="96"/>
        <v>0</v>
      </c>
      <c r="N773" s="75">
        <f t="shared" si="99"/>
        <v>43</v>
      </c>
      <c r="O773" s="202">
        <f t="shared" si="100"/>
        <v>0</v>
      </c>
      <c r="P773" s="199">
        <f t="shared" si="97"/>
        <v>0</v>
      </c>
      <c r="Q773" s="203">
        <f t="shared" si="101"/>
        <v>61.800000000002015</v>
      </c>
      <c r="R773" s="160" t="s">
        <v>55</v>
      </c>
      <c r="S773" s="201">
        <f t="shared" si="102"/>
        <v>5.3144375553588752E-3</v>
      </c>
    </row>
    <row r="774" spans="1:19">
      <c r="A774" s="196">
        <v>41088</v>
      </c>
      <c r="B774" s="122">
        <v>11.31</v>
      </c>
      <c r="C774" s="122">
        <v>11.57</v>
      </c>
      <c r="D774" s="122">
        <v>11.3</v>
      </c>
      <c r="E774" s="122">
        <v>11.54</v>
      </c>
      <c r="F774" s="122">
        <v>8.6759609999999991</v>
      </c>
      <c r="G774" s="197">
        <v>190800</v>
      </c>
      <c r="H774" s="198">
        <f>IF(AND(E773&gt;=H773,E774&gt;=E773),E773*(1+'Trading Model'!$E$13),IF(AND(E774&lt;E773,E773&gt;=H773),E774*(1+'Trading Model'!$E$13),H773))</f>
        <v>27.698998950000004</v>
      </c>
      <c r="I774" s="198">
        <f>IF(K774&gt;0,E774*(1-'Trading Model'!E784),IF(E774&lt;I773,I773*(1-'Trading Model'!$E$14),I773))</f>
        <v>9.9545876575278029</v>
      </c>
      <c r="J774" s="198">
        <f t="shared" si="103"/>
        <v>0</v>
      </c>
      <c r="K774" s="198">
        <f t="shared" si="98"/>
        <v>0</v>
      </c>
      <c r="L774" s="198">
        <f>COUNTIF(J774:K774,"&lt;&gt;0")*-'Trading Model'!$E$15</f>
        <v>0</v>
      </c>
      <c r="M774" s="198">
        <f t="shared" si="96"/>
        <v>0</v>
      </c>
      <c r="N774" s="75">
        <f t="shared" si="99"/>
        <v>43</v>
      </c>
      <c r="O774" s="202">
        <f t="shared" si="100"/>
        <v>0</v>
      </c>
      <c r="P774" s="199">
        <f t="shared" si="97"/>
        <v>0</v>
      </c>
      <c r="Q774" s="203">
        <f t="shared" si="101"/>
        <v>61.800000000002015</v>
      </c>
      <c r="R774" s="203" t="s">
        <v>55</v>
      </c>
      <c r="S774" s="201">
        <f t="shared" si="102"/>
        <v>1.6740088105726914E-2</v>
      </c>
    </row>
    <row r="775" spans="1:19">
      <c r="A775" s="196">
        <v>41089</v>
      </c>
      <c r="B775" s="122">
        <v>11.71</v>
      </c>
      <c r="C775" s="122">
        <v>11.93</v>
      </c>
      <c r="D775" s="122">
        <v>11.69</v>
      </c>
      <c r="E775" s="122">
        <v>11.81</v>
      </c>
      <c r="F775" s="122">
        <v>8.878952</v>
      </c>
      <c r="G775" s="197">
        <v>185800</v>
      </c>
      <c r="H775" s="198">
        <f>IF(AND(E774&gt;=H774,E775&gt;=E774),E774*(1+'Trading Model'!$E$13),IF(AND(E775&lt;E774,E774&gt;=H774),E775*(1+'Trading Model'!$E$13),H774))</f>
        <v>27.698998950000004</v>
      </c>
      <c r="I775" s="198">
        <f>IF(K775&gt;0,E775*(1-'Trading Model'!E785),IF(E775&lt;I774,I774*(1-'Trading Model'!$E$14),I774))</f>
        <v>9.9545876575278029</v>
      </c>
      <c r="J775" s="198">
        <f t="shared" si="103"/>
        <v>0</v>
      </c>
      <c r="K775" s="198">
        <f t="shared" si="98"/>
        <v>0</v>
      </c>
      <c r="L775" s="198">
        <f>COUNTIF(J775:K775,"&lt;&gt;0")*-'Trading Model'!$E$15</f>
        <v>0</v>
      </c>
      <c r="M775" s="198">
        <f t="shared" si="96"/>
        <v>0</v>
      </c>
      <c r="N775" s="75">
        <f t="shared" si="99"/>
        <v>43</v>
      </c>
      <c r="O775" s="202">
        <f t="shared" si="100"/>
        <v>0</v>
      </c>
      <c r="P775" s="199">
        <f t="shared" si="97"/>
        <v>0</v>
      </c>
      <c r="Q775" s="203">
        <f t="shared" si="101"/>
        <v>61.800000000002015</v>
      </c>
      <c r="R775" s="203" t="s">
        <v>55</v>
      </c>
      <c r="S775" s="201">
        <f t="shared" si="102"/>
        <v>2.3396880415944565E-2</v>
      </c>
    </row>
    <row r="776" spans="1:19">
      <c r="A776" s="196">
        <v>41092</v>
      </c>
      <c r="B776" s="122">
        <v>11.87</v>
      </c>
      <c r="C776" s="122">
        <v>11.94</v>
      </c>
      <c r="D776" s="122">
        <v>11.82</v>
      </c>
      <c r="E776" s="122">
        <v>11.94</v>
      </c>
      <c r="F776" s="122">
        <v>8.9766870000000001</v>
      </c>
      <c r="G776" s="197">
        <v>122100</v>
      </c>
      <c r="H776" s="198">
        <f>IF(AND(E775&gt;=H775,E776&gt;=E775),E775*(1+'Trading Model'!$E$13),IF(AND(E776&lt;E775,E775&gt;=H775),E776*(1+'Trading Model'!$E$13),H775))</f>
        <v>27.698998950000004</v>
      </c>
      <c r="I776" s="198">
        <f>IF(K776&gt;0,E776*(1-'Trading Model'!E786),IF(E776&lt;I775,I775*(1-'Trading Model'!$E$14),I775))</f>
        <v>9.9545876575278029</v>
      </c>
      <c r="J776" s="198">
        <f t="shared" si="103"/>
        <v>0</v>
      </c>
      <c r="K776" s="198">
        <f t="shared" si="98"/>
        <v>0</v>
      </c>
      <c r="L776" s="198">
        <f>COUNTIF(J776:K776,"&lt;&gt;0")*-'Trading Model'!$E$15</f>
        <v>0</v>
      </c>
      <c r="M776" s="198">
        <f t="shared" si="96"/>
        <v>0</v>
      </c>
      <c r="N776" s="75">
        <f t="shared" si="99"/>
        <v>43</v>
      </c>
      <c r="O776" s="202">
        <f t="shared" si="100"/>
        <v>0</v>
      </c>
      <c r="P776" s="199">
        <f t="shared" si="97"/>
        <v>0</v>
      </c>
      <c r="Q776" s="203">
        <f t="shared" si="101"/>
        <v>61.800000000002015</v>
      </c>
      <c r="R776" s="203" t="s">
        <v>55</v>
      </c>
      <c r="S776" s="201">
        <f t="shared" si="102"/>
        <v>1.100762066045724E-2</v>
      </c>
    </row>
    <row r="777" spans="1:19">
      <c r="A777" s="196">
        <v>41093</v>
      </c>
      <c r="B777" s="122">
        <v>11.96</v>
      </c>
      <c r="C777" s="122">
        <v>12.37</v>
      </c>
      <c r="D777" s="122">
        <v>11.96</v>
      </c>
      <c r="E777" s="122">
        <v>12.3</v>
      </c>
      <c r="F777" s="122">
        <v>9.2473390000000002</v>
      </c>
      <c r="G777" s="197">
        <v>108900</v>
      </c>
      <c r="H777" s="198">
        <f>IF(AND(E776&gt;=H776,E777&gt;=E776),E776*(1+'Trading Model'!$E$13),IF(AND(E777&lt;E776,E776&gt;=H776),E777*(1+'Trading Model'!$E$13),H776))</f>
        <v>27.698998950000004</v>
      </c>
      <c r="I777" s="198">
        <f>IF(K777&gt;0,E777*(1-'Trading Model'!E787),IF(E777&lt;I776,I776*(1-'Trading Model'!$E$14),I776))</f>
        <v>9.9545876575278029</v>
      </c>
      <c r="J777" s="198">
        <f t="shared" si="103"/>
        <v>0</v>
      </c>
      <c r="K777" s="198">
        <f t="shared" si="98"/>
        <v>0</v>
      </c>
      <c r="L777" s="198">
        <f>COUNTIF(J777:K777,"&lt;&gt;0")*-'Trading Model'!$E$15</f>
        <v>0</v>
      </c>
      <c r="M777" s="198">
        <f t="shared" si="96"/>
        <v>0</v>
      </c>
      <c r="N777" s="75">
        <f t="shared" si="99"/>
        <v>43</v>
      </c>
      <c r="O777" s="202">
        <f t="shared" si="100"/>
        <v>0</v>
      </c>
      <c r="P777" s="199">
        <f t="shared" si="97"/>
        <v>0</v>
      </c>
      <c r="Q777" s="203">
        <f t="shared" si="101"/>
        <v>61.800000000002015</v>
      </c>
      <c r="R777" s="201">
        <f>E777/B773-1</f>
        <v>8.6572438162544119E-2</v>
      </c>
      <c r="S777" s="201">
        <f t="shared" si="102"/>
        <v>3.0150753768844352E-2</v>
      </c>
    </row>
    <row r="778" spans="1:19">
      <c r="A778" s="196">
        <v>41095</v>
      </c>
      <c r="B778" s="122">
        <v>12.3</v>
      </c>
      <c r="C778" s="122">
        <v>12.33</v>
      </c>
      <c r="D778" s="122">
        <v>11.72</v>
      </c>
      <c r="E778" s="122">
        <v>12.11</v>
      </c>
      <c r="F778" s="122">
        <v>9.104495</v>
      </c>
      <c r="G778" s="197">
        <v>365400</v>
      </c>
      <c r="H778" s="198">
        <f>IF(AND(E777&gt;=H777,E778&gt;=E777),E777*(1+'Trading Model'!$E$13),IF(AND(E778&lt;E777,E777&gt;=H777),E778*(1+'Trading Model'!$E$13),H777))</f>
        <v>27.698998950000004</v>
      </c>
      <c r="I778" s="198">
        <f>IF(K778&gt;0,E778*(1-'Trading Model'!E788),IF(E778&lt;I777,I777*(1-'Trading Model'!$E$14),I777))</f>
        <v>9.9545876575278029</v>
      </c>
      <c r="J778" s="198">
        <f t="shared" si="103"/>
        <v>0</v>
      </c>
      <c r="K778" s="198">
        <f t="shared" si="98"/>
        <v>0</v>
      </c>
      <c r="L778" s="198">
        <f>COUNTIF(J778:K778,"&lt;&gt;0")*-'Trading Model'!$E$15</f>
        <v>0</v>
      </c>
      <c r="M778" s="198">
        <f t="shared" si="96"/>
        <v>0</v>
      </c>
      <c r="N778" s="75">
        <f t="shared" si="99"/>
        <v>43</v>
      </c>
      <c r="O778" s="202">
        <f t="shared" si="100"/>
        <v>0</v>
      </c>
      <c r="P778" s="199">
        <f t="shared" si="97"/>
        <v>0</v>
      </c>
      <c r="Q778" s="203">
        <f t="shared" si="101"/>
        <v>61.700000000002014</v>
      </c>
      <c r="R778" s="160" t="s">
        <v>55</v>
      </c>
      <c r="S778" s="201">
        <f t="shared" si="102"/>
        <v>-1.5447154471544766E-2</v>
      </c>
    </row>
    <row r="779" spans="1:19">
      <c r="A779" s="196">
        <v>41096</v>
      </c>
      <c r="B779" s="122">
        <v>12.11</v>
      </c>
      <c r="C779" s="122">
        <v>12.15</v>
      </c>
      <c r="D779" s="122">
        <v>11.69</v>
      </c>
      <c r="E779" s="122">
        <v>11.74</v>
      </c>
      <c r="F779" s="122">
        <v>8.8263230000000004</v>
      </c>
      <c r="G779" s="197">
        <v>207400</v>
      </c>
      <c r="H779" s="198">
        <f>IF(AND(E778&gt;=H778,E779&gt;=E778),E778*(1+'Trading Model'!$E$13),IF(AND(E779&lt;E778,E778&gt;=H778),E779*(1+'Trading Model'!$E$13),H778))</f>
        <v>27.698998950000004</v>
      </c>
      <c r="I779" s="198">
        <f>IF(K779&gt;0,E779*(1-'Trading Model'!E789),IF(E779&lt;I778,I778*(1-'Trading Model'!$E$14),I778))</f>
        <v>9.9545876575278029</v>
      </c>
      <c r="J779" s="198">
        <f t="shared" si="103"/>
        <v>0</v>
      </c>
      <c r="K779" s="198">
        <f t="shared" si="98"/>
        <v>0</v>
      </c>
      <c r="L779" s="198">
        <f>COUNTIF(J779:K779,"&lt;&gt;0")*-'Trading Model'!$E$15</f>
        <v>0</v>
      </c>
      <c r="M779" s="198">
        <f t="shared" si="96"/>
        <v>0</v>
      </c>
      <c r="N779" s="75">
        <f t="shared" si="99"/>
        <v>43</v>
      </c>
      <c r="O779" s="202">
        <f t="shared" si="100"/>
        <v>0</v>
      </c>
      <c r="P779" s="199">
        <f t="shared" si="97"/>
        <v>0</v>
      </c>
      <c r="Q779" s="203">
        <f t="shared" si="101"/>
        <v>61.600000000002012</v>
      </c>
      <c r="R779" s="203" t="s">
        <v>55</v>
      </c>
      <c r="S779" s="201">
        <f t="shared" si="102"/>
        <v>-3.0553261767134576E-2</v>
      </c>
    </row>
    <row r="780" spans="1:19">
      <c r="A780" s="196">
        <v>41099</v>
      </c>
      <c r="B780" s="122">
        <v>11.68</v>
      </c>
      <c r="C780" s="122">
        <v>11.76</v>
      </c>
      <c r="D780" s="122">
        <v>11.39</v>
      </c>
      <c r="E780" s="122">
        <v>11.55</v>
      </c>
      <c r="F780" s="122">
        <v>8.6834790000000002</v>
      </c>
      <c r="G780" s="197">
        <v>245100</v>
      </c>
      <c r="H780" s="198">
        <f>IF(AND(E779&gt;=H779,E780&gt;=E779),E779*(1+'Trading Model'!$E$13),IF(AND(E780&lt;E779,E779&gt;=H779),E780*(1+'Trading Model'!$E$13),H779))</f>
        <v>27.698998950000004</v>
      </c>
      <c r="I780" s="198">
        <f>IF(K780&gt;0,E780*(1-'Trading Model'!E790),IF(E780&lt;I779,I779*(1-'Trading Model'!$E$14),I779))</f>
        <v>9.9545876575278029</v>
      </c>
      <c r="J780" s="198">
        <f t="shared" si="103"/>
        <v>0</v>
      </c>
      <c r="K780" s="198">
        <f t="shared" si="98"/>
        <v>0</v>
      </c>
      <c r="L780" s="198">
        <f>COUNTIF(J780:K780,"&lt;&gt;0")*-'Trading Model'!$E$15</f>
        <v>0</v>
      </c>
      <c r="M780" s="198">
        <f t="shared" si="96"/>
        <v>0</v>
      </c>
      <c r="N780" s="75">
        <f t="shared" si="99"/>
        <v>43</v>
      </c>
      <c r="O780" s="202">
        <f t="shared" si="100"/>
        <v>0</v>
      </c>
      <c r="P780" s="199">
        <f t="shared" si="97"/>
        <v>0</v>
      </c>
      <c r="Q780" s="203">
        <f t="shared" si="101"/>
        <v>61.500000000002011</v>
      </c>
      <c r="R780" s="203" t="s">
        <v>55</v>
      </c>
      <c r="S780" s="201">
        <f t="shared" si="102"/>
        <v>-1.6183986371379855E-2</v>
      </c>
    </row>
    <row r="781" spans="1:19">
      <c r="A781" s="196">
        <v>41100</v>
      </c>
      <c r="B781" s="122">
        <v>11.58</v>
      </c>
      <c r="C781" s="122">
        <v>11.65</v>
      </c>
      <c r="D781" s="122">
        <v>11.16</v>
      </c>
      <c r="E781" s="122">
        <v>11.25</v>
      </c>
      <c r="F781" s="122">
        <v>8.4579339999999998</v>
      </c>
      <c r="G781" s="197">
        <v>447600</v>
      </c>
      <c r="H781" s="198">
        <f>IF(AND(E780&gt;=H780,E781&gt;=E780),E780*(1+'Trading Model'!$E$13),IF(AND(E781&lt;E780,E780&gt;=H780),E781*(1+'Trading Model'!$E$13),H780))</f>
        <v>27.698998950000004</v>
      </c>
      <c r="I781" s="198">
        <f>IF(K781&gt;0,E781*(1-'Trading Model'!E791),IF(E781&lt;I780,I780*(1-'Trading Model'!$E$14),I780))</f>
        <v>9.9545876575278029</v>
      </c>
      <c r="J781" s="198">
        <f t="shared" si="103"/>
        <v>0</v>
      </c>
      <c r="K781" s="198">
        <f t="shared" si="98"/>
        <v>0</v>
      </c>
      <c r="L781" s="198">
        <f>COUNTIF(J781:K781,"&lt;&gt;0")*-'Trading Model'!$E$15</f>
        <v>0</v>
      </c>
      <c r="M781" s="198">
        <f t="shared" si="96"/>
        <v>0</v>
      </c>
      <c r="N781" s="75">
        <f t="shared" si="99"/>
        <v>43</v>
      </c>
      <c r="O781" s="202">
        <f t="shared" si="100"/>
        <v>0</v>
      </c>
      <c r="P781" s="199">
        <f t="shared" si="97"/>
        <v>0</v>
      </c>
      <c r="Q781" s="203">
        <f t="shared" si="101"/>
        <v>61.400000000002009</v>
      </c>
      <c r="R781" s="203" t="s">
        <v>55</v>
      </c>
      <c r="S781" s="201">
        <f t="shared" si="102"/>
        <v>-2.5974025974025983E-2</v>
      </c>
    </row>
    <row r="782" spans="1:19">
      <c r="A782" s="196">
        <v>41101</v>
      </c>
      <c r="B782" s="122">
        <v>11.41</v>
      </c>
      <c r="C782" s="122">
        <v>11.9</v>
      </c>
      <c r="D782" s="122">
        <v>11.38</v>
      </c>
      <c r="E782" s="122">
        <v>11.89</v>
      </c>
      <c r="F782" s="122">
        <v>8.9390979999999995</v>
      </c>
      <c r="G782" s="197">
        <v>277100</v>
      </c>
      <c r="H782" s="198">
        <f>IF(AND(E781&gt;=H781,E782&gt;=E781),E781*(1+'Trading Model'!$E$13),IF(AND(E782&lt;E781,E781&gt;=H781),E782*(1+'Trading Model'!$E$13),H781))</f>
        <v>27.698998950000004</v>
      </c>
      <c r="I782" s="198">
        <f>IF(K782&gt;0,E782*(1-'Trading Model'!E792),IF(E782&lt;I781,I781*(1-'Trading Model'!$E$14),I781))</f>
        <v>9.9545876575278029</v>
      </c>
      <c r="J782" s="198">
        <f t="shared" si="103"/>
        <v>0</v>
      </c>
      <c r="K782" s="198">
        <f t="shared" si="98"/>
        <v>0</v>
      </c>
      <c r="L782" s="198">
        <f>COUNTIF(J782:K782,"&lt;&gt;0")*-'Trading Model'!$E$15</f>
        <v>0</v>
      </c>
      <c r="M782" s="198">
        <f t="shared" si="96"/>
        <v>0</v>
      </c>
      <c r="N782" s="75">
        <f t="shared" si="99"/>
        <v>43</v>
      </c>
      <c r="O782" s="202">
        <f t="shared" si="100"/>
        <v>0</v>
      </c>
      <c r="P782" s="199">
        <f t="shared" si="97"/>
        <v>0</v>
      </c>
      <c r="Q782" s="203">
        <f t="shared" si="101"/>
        <v>61.400000000002009</v>
      </c>
      <c r="R782" s="201">
        <f>E782/B778-1</f>
        <v>-3.3333333333333326E-2</v>
      </c>
      <c r="S782" s="201">
        <f t="shared" si="102"/>
        <v>5.6888888888888989E-2</v>
      </c>
    </row>
    <row r="783" spans="1:19">
      <c r="A783" s="196">
        <v>41102</v>
      </c>
      <c r="B783" s="122">
        <v>11.81</v>
      </c>
      <c r="C783" s="122">
        <v>11.81</v>
      </c>
      <c r="D783" s="122">
        <v>11.54</v>
      </c>
      <c r="E783" s="122">
        <v>11.67</v>
      </c>
      <c r="F783" s="122">
        <v>8.7736970000000003</v>
      </c>
      <c r="G783" s="197">
        <v>108300</v>
      </c>
      <c r="H783" s="198">
        <f>IF(AND(E782&gt;=H782,E783&gt;=E782),E782*(1+'Trading Model'!$E$13),IF(AND(E783&lt;E782,E782&gt;=H782),E783*(1+'Trading Model'!$E$13),H782))</f>
        <v>27.698998950000004</v>
      </c>
      <c r="I783" s="198">
        <f>IF(K783&gt;0,E783*(1-'Trading Model'!E793),IF(E783&lt;I782,I782*(1-'Trading Model'!$E$14),I782))</f>
        <v>9.9545876575278029</v>
      </c>
      <c r="J783" s="198">
        <f t="shared" si="103"/>
        <v>0</v>
      </c>
      <c r="K783" s="198">
        <f t="shared" si="98"/>
        <v>0</v>
      </c>
      <c r="L783" s="198">
        <f>COUNTIF(J783:K783,"&lt;&gt;0")*-'Trading Model'!$E$15</f>
        <v>0</v>
      </c>
      <c r="M783" s="198">
        <f t="shared" si="96"/>
        <v>0</v>
      </c>
      <c r="N783" s="75">
        <f t="shared" si="99"/>
        <v>43</v>
      </c>
      <c r="O783" s="202">
        <f t="shared" si="100"/>
        <v>0</v>
      </c>
      <c r="P783" s="199">
        <f t="shared" si="97"/>
        <v>0</v>
      </c>
      <c r="Q783" s="203">
        <f t="shared" si="101"/>
        <v>61.300000000002008</v>
      </c>
      <c r="R783" s="160" t="s">
        <v>55</v>
      </c>
      <c r="S783" s="201">
        <f t="shared" si="102"/>
        <v>-1.8502943650126169E-2</v>
      </c>
    </row>
    <row r="784" spans="1:19">
      <c r="A784" s="196">
        <v>41103</v>
      </c>
      <c r="B784" s="122">
        <v>11.69</v>
      </c>
      <c r="C784" s="122">
        <v>11.91</v>
      </c>
      <c r="D784" s="122">
        <v>11.65</v>
      </c>
      <c r="E784" s="122">
        <v>11.74</v>
      </c>
      <c r="F784" s="122">
        <v>8.8263230000000004</v>
      </c>
      <c r="G784" s="197">
        <v>88100</v>
      </c>
      <c r="H784" s="198">
        <f>IF(AND(E783&gt;=H783,E784&gt;=E783),E783*(1+'Trading Model'!$E$13),IF(AND(E784&lt;E783,E783&gt;=H783),E784*(1+'Trading Model'!$E$13),H783))</f>
        <v>27.698998950000004</v>
      </c>
      <c r="I784" s="198">
        <f>IF(K784&gt;0,E784*(1-'Trading Model'!E794),IF(E784&lt;I783,I783*(1-'Trading Model'!$E$14),I783))</f>
        <v>9.9545876575278029</v>
      </c>
      <c r="J784" s="198">
        <f t="shared" si="103"/>
        <v>0</v>
      </c>
      <c r="K784" s="198">
        <f t="shared" si="98"/>
        <v>0</v>
      </c>
      <c r="L784" s="198">
        <f>COUNTIF(J784:K784,"&lt;&gt;0")*-'Trading Model'!$E$15</f>
        <v>0</v>
      </c>
      <c r="M784" s="198">
        <f t="shared" si="96"/>
        <v>0</v>
      </c>
      <c r="N784" s="75">
        <f t="shared" si="99"/>
        <v>43</v>
      </c>
      <c r="O784" s="202">
        <f t="shared" si="100"/>
        <v>0</v>
      </c>
      <c r="P784" s="199">
        <f t="shared" si="97"/>
        <v>0</v>
      </c>
      <c r="Q784" s="203">
        <f t="shared" si="101"/>
        <v>61.300000000002008</v>
      </c>
      <c r="R784" s="203" t="s">
        <v>55</v>
      </c>
      <c r="S784" s="201">
        <f t="shared" si="102"/>
        <v>5.9982862039418272E-3</v>
      </c>
    </row>
    <row r="785" spans="1:19">
      <c r="A785" s="196">
        <v>41106</v>
      </c>
      <c r="B785" s="122">
        <v>11.72</v>
      </c>
      <c r="C785" s="122">
        <v>11.82</v>
      </c>
      <c r="D785" s="122">
        <v>11.31</v>
      </c>
      <c r="E785" s="122">
        <v>11.35</v>
      </c>
      <c r="F785" s="122">
        <v>8.5331150000000004</v>
      </c>
      <c r="G785" s="197">
        <v>120000</v>
      </c>
      <c r="H785" s="198">
        <f>IF(AND(E784&gt;=H784,E785&gt;=E784),E784*(1+'Trading Model'!$E$13),IF(AND(E785&lt;E784,E784&gt;=H784),E785*(1+'Trading Model'!$E$13),H784))</f>
        <v>27.698998950000004</v>
      </c>
      <c r="I785" s="198">
        <f>IF(K785&gt;0,E785*(1-'Trading Model'!E795),IF(E785&lt;I784,I784*(1-'Trading Model'!$E$14),I784))</f>
        <v>9.9545876575278029</v>
      </c>
      <c r="J785" s="198">
        <f t="shared" si="103"/>
        <v>0</v>
      </c>
      <c r="K785" s="198">
        <f t="shared" si="98"/>
        <v>0</v>
      </c>
      <c r="L785" s="198">
        <f>COUNTIF(J785:K785,"&lt;&gt;0")*-'Trading Model'!$E$15</f>
        <v>0</v>
      </c>
      <c r="M785" s="198">
        <f t="shared" si="96"/>
        <v>0</v>
      </c>
      <c r="N785" s="75">
        <f t="shared" si="99"/>
        <v>43</v>
      </c>
      <c r="O785" s="202">
        <f t="shared" si="100"/>
        <v>0</v>
      </c>
      <c r="P785" s="199">
        <f t="shared" si="97"/>
        <v>0</v>
      </c>
      <c r="Q785" s="203">
        <f t="shared" si="101"/>
        <v>61.200000000002007</v>
      </c>
      <c r="R785" s="203" t="s">
        <v>55</v>
      </c>
      <c r="S785" s="201">
        <f t="shared" si="102"/>
        <v>-3.3219761499148293E-2</v>
      </c>
    </row>
    <row r="786" spans="1:19">
      <c r="A786" s="196">
        <v>41107</v>
      </c>
      <c r="B786" s="122">
        <v>11.24</v>
      </c>
      <c r="C786" s="122">
        <v>11.41</v>
      </c>
      <c r="D786" s="122">
        <v>11.08</v>
      </c>
      <c r="E786" s="122">
        <v>11.37</v>
      </c>
      <c r="F786" s="122">
        <v>8.548152</v>
      </c>
      <c r="G786" s="197">
        <v>109900</v>
      </c>
      <c r="H786" s="198">
        <f>IF(AND(E785&gt;=H785,E786&gt;=E785),E785*(1+'Trading Model'!$E$13),IF(AND(E786&lt;E785,E785&gt;=H785),E786*(1+'Trading Model'!$E$13),H785))</f>
        <v>27.698998950000004</v>
      </c>
      <c r="I786" s="198">
        <f>IF(K786&gt;0,E786*(1-'Trading Model'!E796),IF(E786&lt;I785,I785*(1-'Trading Model'!$E$14),I785))</f>
        <v>9.9545876575278029</v>
      </c>
      <c r="J786" s="198">
        <f t="shared" si="103"/>
        <v>0</v>
      </c>
      <c r="K786" s="198">
        <f t="shared" si="98"/>
        <v>0</v>
      </c>
      <c r="L786" s="198">
        <f>COUNTIF(J786:K786,"&lt;&gt;0")*-'Trading Model'!$E$15</f>
        <v>0</v>
      </c>
      <c r="M786" s="198">
        <f t="shared" si="96"/>
        <v>0</v>
      </c>
      <c r="N786" s="75">
        <f t="shared" si="99"/>
        <v>43</v>
      </c>
      <c r="O786" s="202">
        <f t="shared" si="100"/>
        <v>0</v>
      </c>
      <c r="P786" s="199">
        <f t="shared" si="97"/>
        <v>0</v>
      </c>
      <c r="Q786" s="203">
        <f t="shared" si="101"/>
        <v>61.200000000002007</v>
      </c>
      <c r="R786" s="203" t="s">
        <v>55</v>
      </c>
      <c r="S786" s="201">
        <f t="shared" si="102"/>
        <v>1.7621145374449032E-3</v>
      </c>
    </row>
    <row r="787" spans="1:19">
      <c r="A787" s="196">
        <v>41108</v>
      </c>
      <c r="B787" s="122">
        <v>11.37</v>
      </c>
      <c r="C787" s="122">
        <v>11.67</v>
      </c>
      <c r="D787" s="122">
        <v>11.27</v>
      </c>
      <c r="E787" s="122">
        <v>11.66</v>
      </c>
      <c r="F787" s="122">
        <v>8.766178</v>
      </c>
      <c r="G787" s="197">
        <v>139600</v>
      </c>
      <c r="H787" s="198">
        <f>IF(AND(E786&gt;=H786,E787&gt;=E786),E786*(1+'Trading Model'!$E$13),IF(AND(E787&lt;E786,E786&gt;=H786),E787*(1+'Trading Model'!$E$13),H786))</f>
        <v>27.698998950000004</v>
      </c>
      <c r="I787" s="198">
        <f>IF(K787&gt;0,E787*(1-'Trading Model'!E797),IF(E787&lt;I786,I786*(1-'Trading Model'!$E$14),I786))</f>
        <v>9.9545876575278029</v>
      </c>
      <c r="J787" s="198">
        <f t="shared" si="103"/>
        <v>0</v>
      </c>
      <c r="K787" s="198">
        <f t="shared" si="98"/>
        <v>0</v>
      </c>
      <c r="L787" s="198">
        <f>COUNTIF(J787:K787,"&lt;&gt;0")*-'Trading Model'!$E$15</f>
        <v>0</v>
      </c>
      <c r="M787" s="198">
        <f t="shared" si="96"/>
        <v>0</v>
      </c>
      <c r="N787" s="75">
        <f t="shared" si="99"/>
        <v>43</v>
      </c>
      <c r="O787" s="202">
        <f t="shared" si="100"/>
        <v>0</v>
      </c>
      <c r="P787" s="199">
        <f t="shared" si="97"/>
        <v>0</v>
      </c>
      <c r="Q787" s="203">
        <f t="shared" si="101"/>
        <v>61.200000000002007</v>
      </c>
      <c r="R787" s="201">
        <f>E787/B783-1</f>
        <v>-1.2701100762066098E-2</v>
      </c>
      <c r="S787" s="201">
        <f t="shared" si="102"/>
        <v>2.5505716798592815E-2</v>
      </c>
    </row>
    <row r="788" spans="1:19">
      <c r="A788" s="196">
        <v>41109</v>
      </c>
      <c r="B788" s="122">
        <v>11.63</v>
      </c>
      <c r="C788" s="122">
        <v>11.81</v>
      </c>
      <c r="D788" s="122">
        <v>11.54</v>
      </c>
      <c r="E788" s="122">
        <v>11.8</v>
      </c>
      <c r="F788" s="122">
        <v>8.8714329999999997</v>
      </c>
      <c r="G788" s="197">
        <v>131900</v>
      </c>
      <c r="H788" s="198">
        <f>IF(AND(E787&gt;=H787,E788&gt;=E787),E787*(1+'Trading Model'!$E$13),IF(AND(E788&lt;E787,E787&gt;=H787),E788*(1+'Trading Model'!$E$13),H787))</f>
        <v>27.698998950000004</v>
      </c>
      <c r="I788" s="198">
        <f>IF(K788&gt;0,E788*(1-'Trading Model'!E798),IF(E788&lt;I787,I787*(1-'Trading Model'!$E$14),I787))</f>
        <v>9.9545876575278029</v>
      </c>
      <c r="J788" s="198">
        <f t="shared" si="103"/>
        <v>0</v>
      </c>
      <c r="K788" s="198">
        <f t="shared" si="98"/>
        <v>0</v>
      </c>
      <c r="L788" s="198">
        <f>COUNTIF(J788:K788,"&lt;&gt;0")*-'Trading Model'!$E$15</f>
        <v>0</v>
      </c>
      <c r="M788" s="198">
        <f t="shared" si="96"/>
        <v>0</v>
      </c>
      <c r="N788" s="75">
        <f t="shared" si="99"/>
        <v>43</v>
      </c>
      <c r="O788" s="202">
        <f t="shared" si="100"/>
        <v>0</v>
      </c>
      <c r="P788" s="199">
        <f t="shared" si="97"/>
        <v>0</v>
      </c>
      <c r="Q788" s="203">
        <f t="shared" si="101"/>
        <v>61.200000000002007</v>
      </c>
      <c r="R788" s="160" t="s">
        <v>55</v>
      </c>
      <c r="S788" s="201">
        <f t="shared" si="102"/>
        <v>1.2006861063464935E-2</v>
      </c>
    </row>
    <row r="789" spans="1:19">
      <c r="A789" s="196">
        <v>41110</v>
      </c>
      <c r="B789" s="122">
        <v>11.75</v>
      </c>
      <c r="C789" s="122">
        <v>11.88</v>
      </c>
      <c r="D789" s="122">
        <v>11.37</v>
      </c>
      <c r="E789" s="122">
        <v>11.51</v>
      </c>
      <c r="F789" s="122">
        <v>8.6534060000000004</v>
      </c>
      <c r="G789" s="197">
        <v>159300</v>
      </c>
      <c r="H789" s="198">
        <f>IF(AND(E788&gt;=H788,E789&gt;=E788),E788*(1+'Trading Model'!$E$13),IF(AND(E789&lt;E788,E788&gt;=H788),E789*(1+'Trading Model'!$E$13),H788))</f>
        <v>27.698998950000004</v>
      </c>
      <c r="I789" s="198">
        <f>IF(K789&gt;0,E789*(1-'Trading Model'!E799),IF(E789&lt;I788,I788*(1-'Trading Model'!$E$14),I788))</f>
        <v>9.9545876575278029</v>
      </c>
      <c r="J789" s="198">
        <f t="shared" si="103"/>
        <v>0</v>
      </c>
      <c r="K789" s="198">
        <f t="shared" si="98"/>
        <v>0</v>
      </c>
      <c r="L789" s="198">
        <f>COUNTIF(J789:K789,"&lt;&gt;0")*-'Trading Model'!$E$15</f>
        <v>0</v>
      </c>
      <c r="M789" s="198">
        <f t="shared" si="96"/>
        <v>0</v>
      </c>
      <c r="N789" s="75">
        <f t="shared" si="99"/>
        <v>43</v>
      </c>
      <c r="O789" s="202">
        <f t="shared" si="100"/>
        <v>0</v>
      </c>
      <c r="P789" s="199">
        <f t="shared" si="97"/>
        <v>0</v>
      </c>
      <c r="Q789" s="203">
        <f t="shared" si="101"/>
        <v>61.100000000002005</v>
      </c>
      <c r="R789" s="203" t="s">
        <v>55</v>
      </c>
      <c r="S789" s="201">
        <f t="shared" si="102"/>
        <v>-2.457627118644079E-2</v>
      </c>
    </row>
    <row r="790" spans="1:19">
      <c r="A790" s="196">
        <v>41113</v>
      </c>
      <c r="B790" s="122">
        <v>11.35</v>
      </c>
      <c r="C790" s="122">
        <v>11.6</v>
      </c>
      <c r="D790" s="122">
        <v>11.16</v>
      </c>
      <c r="E790" s="122">
        <v>11.17</v>
      </c>
      <c r="F790" s="122">
        <v>8.3977880000000003</v>
      </c>
      <c r="G790" s="197">
        <v>173200</v>
      </c>
      <c r="H790" s="198">
        <f>IF(AND(E789&gt;=H789,E790&gt;=E789),E789*(1+'Trading Model'!$E$13),IF(AND(E790&lt;E789,E789&gt;=H789),E790*(1+'Trading Model'!$E$13),H789))</f>
        <v>27.698998950000004</v>
      </c>
      <c r="I790" s="198">
        <f>IF(K790&gt;0,E790*(1-'Trading Model'!E800),IF(E790&lt;I789,I789*(1-'Trading Model'!$E$14),I789))</f>
        <v>9.9545876575278029</v>
      </c>
      <c r="J790" s="198">
        <f t="shared" si="103"/>
        <v>0</v>
      </c>
      <c r="K790" s="198">
        <f t="shared" si="98"/>
        <v>0</v>
      </c>
      <c r="L790" s="198">
        <f>COUNTIF(J790:K790,"&lt;&gt;0")*-'Trading Model'!$E$15</f>
        <v>0</v>
      </c>
      <c r="M790" s="198">
        <f t="shared" si="96"/>
        <v>0</v>
      </c>
      <c r="N790" s="75">
        <f t="shared" si="99"/>
        <v>43</v>
      </c>
      <c r="O790" s="202">
        <f t="shared" si="100"/>
        <v>0</v>
      </c>
      <c r="P790" s="199">
        <f t="shared" si="97"/>
        <v>0</v>
      </c>
      <c r="Q790" s="203">
        <f t="shared" si="101"/>
        <v>61.000000000002004</v>
      </c>
      <c r="R790" s="203" t="s">
        <v>55</v>
      </c>
      <c r="S790" s="201">
        <f t="shared" si="102"/>
        <v>-2.953953084274541E-2</v>
      </c>
    </row>
    <row r="791" spans="1:19">
      <c r="A791" s="196">
        <v>41114</v>
      </c>
      <c r="B791" s="122">
        <v>11.24</v>
      </c>
      <c r="C791" s="122">
        <v>11.32</v>
      </c>
      <c r="D791" s="122">
        <v>11.09</v>
      </c>
      <c r="E791" s="122">
        <v>11.25</v>
      </c>
      <c r="F791" s="122">
        <v>8.4579339999999998</v>
      </c>
      <c r="G791" s="197">
        <v>172900</v>
      </c>
      <c r="H791" s="198">
        <f>IF(AND(E790&gt;=H790,E791&gt;=E790),E790*(1+'Trading Model'!$E$13),IF(AND(E791&lt;E790,E790&gt;=H790),E791*(1+'Trading Model'!$E$13),H790))</f>
        <v>27.698998950000004</v>
      </c>
      <c r="I791" s="198">
        <f>IF(K791&gt;0,E791*(1-'Trading Model'!E801),IF(E791&lt;I790,I790*(1-'Trading Model'!$E$14),I790))</f>
        <v>9.9545876575278029</v>
      </c>
      <c r="J791" s="198">
        <f t="shared" si="103"/>
        <v>0</v>
      </c>
      <c r="K791" s="198">
        <f t="shared" si="98"/>
        <v>0</v>
      </c>
      <c r="L791" s="198">
        <f>COUNTIF(J791:K791,"&lt;&gt;0")*-'Trading Model'!$E$15</f>
        <v>0</v>
      </c>
      <c r="M791" s="198">
        <f t="shared" si="96"/>
        <v>0</v>
      </c>
      <c r="N791" s="75">
        <f t="shared" si="99"/>
        <v>43</v>
      </c>
      <c r="O791" s="202">
        <f t="shared" si="100"/>
        <v>0</v>
      </c>
      <c r="P791" s="199">
        <f t="shared" si="97"/>
        <v>0</v>
      </c>
      <c r="Q791" s="203">
        <f t="shared" si="101"/>
        <v>61.000000000002004</v>
      </c>
      <c r="R791" s="203" t="s">
        <v>55</v>
      </c>
      <c r="S791" s="201">
        <f t="shared" si="102"/>
        <v>7.1620411817368002E-3</v>
      </c>
    </row>
    <row r="792" spans="1:19">
      <c r="A792" s="196">
        <v>41115</v>
      </c>
      <c r="B792" s="122">
        <v>11.38</v>
      </c>
      <c r="C792" s="122">
        <v>11.46</v>
      </c>
      <c r="D792" s="122">
        <v>11.13</v>
      </c>
      <c r="E792" s="122">
        <v>11.18</v>
      </c>
      <c r="F792" s="122">
        <v>8.4053079999999998</v>
      </c>
      <c r="G792" s="197">
        <v>85900</v>
      </c>
      <c r="H792" s="198">
        <f>IF(AND(E791&gt;=H791,E792&gt;=E791),E791*(1+'Trading Model'!$E$13),IF(AND(E792&lt;E791,E791&gt;=H791),E792*(1+'Trading Model'!$E$13),H791))</f>
        <v>27.698998950000004</v>
      </c>
      <c r="I792" s="198">
        <f>IF(K792&gt;0,E792*(1-'Trading Model'!E802),IF(E792&lt;I791,I791*(1-'Trading Model'!$E$14),I791))</f>
        <v>9.9545876575278029</v>
      </c>
      <c r="J792" s="198">
        <f t="shared" si="103"/>
        <v>0</v>
      </c>
      <c r="K792" s="198">
        <f t="shared" si="98"/>
        <v>0</v>
      </c>
      <c r="L792" s="198">
        <f>COUNTIF(J792:K792,"&lt;&gt;0")*-'Trading Model'!$E$15</f>
        <v>0</v>
      </c>
      <c r="M792" s="198">
        <f t="shared" si="96"/>
        <v>0</v>
      </c>
      <c r="N792" s="75">
        <f t="shared" si="99"/>
        <v>43</v>
      </c>
      <c r="O792" s="202">
        <f t="shared" si="100"/>
        <v>0</v>
      </c>
      <c r="P792" s="199">
        <f t="shared" si="97"/>
        <v>0</v>
      </c>
      <c r="Q792" s="203">
        <f t="shared" si="101"/>
        <v>60.900000000002002</v>
      </c>
      <c r="R792" s="201">
        <f>E792/B788-1</f>
        <v>-3.8693035253654418E-2</v>
      </c>
      <c r="S792" s="201">
        <f t="shared" si="102"/>
        <v>-6.2222222222222401E-3</v>
      </c>
    </row>
    <row r="793" spans="1:19">
      <c r="A793" s="196">
        <v>41116</v>
      </c>
      <c r="B793" s="122">
        <v>11.33</v>
      </c>
      <c r="C793" s="122">
        <v>11.46</v>
      </c>
      <c r="D793" s="122">
        <v>11.2</v>
      </c>
      <c r="E793" s="122">
        <v>11.28</v>
      </c>
      <c r="F793" s="122">
        <v>8.4804899999999996</v>
      </c>
      <c r="G793" s="197">
        <v>94700</v>
      </c>
      <c r="H793" s="198">
        <f>IF(AND(E792&gt;=H792,E793&gt;=E792),E792*(1+'Trading Model'!$E$13),IF(AND(E793&lt;E792,E792&gt;=H792),E793*(1+'Trading Model'!$E$13),H792))</f>
        <v>27.698998950000004</v>
      </c>
      <c r="I793" s="198">
        <f>IF(K793&gt;0,E793*(1-'Trading Model'!E803),IF(E793&lt;I792,I792*(1-'Trading Model'!$E$14),I792))</f>
        <v>9.9545876575278029</v>
      </c>
      <c r="J793" s="198">
        <f t="shared" si="103"/>
        <v>0</v>
      </c>
      <c r="K793" s="198">
        <f t="shared" si="98"/>
        <v>0</v>
      </c>
      <c r="L793" s="198">
        <f>COUNTIF(J793:K793,"&lt;&gt;0")*-'Trading Model'!$E$15</f>
        <v>0</v>
      </c>
      <c r="M793" s="198">
        <f t="shared" si="96"/>
        <v>0</v>
      </c>
      <c r="N793" s="75">
        <f t="shared" si="99"/>
        <v>43</v>
      </c>
      <c r="O793" s="202">
        <f t="shared" si="100"/>
        <v>0</v>
      </c>
      <c r="P793" s="199">
        <f t="shared" si="97"/>
        <v>0</v>
      </c>
      <c r="Q793" s="203">
        <f t="shared" si="101"/>
        <v>60.900000000002002</v>
      </c>
      <c r="R793" s="160" t="s">
        <v>55</v>
      </c>
      <c r="S793" s="201">
        <f t="shared" si="102"/>
        <v>8.9445438282647061E-3</v>
      </c>
    </row>
    <row r="794" spans="1:19">
      <c r="A794" s="196">
        <v>41117</v>
      </c>
      <c r="B794" s="122">
        <v>11.35</v>
      </c>
      <c r="C794" s="122">
        <v>11.56</v>
      </c>
      <c r="D794" s="122">
        <v>11.25</v>
      </c>
      <c r="E794" s="122">
        <v>11.48</v>
      </c>
      <c r="F794" s="122">
        <v>8.6308509999999998</v>
      </c>
      <c r="G794" s="197">
        <v>75700</v>
      </c>
      <c r="H794" s="198">
        <f>IF(AND(E793&gt;=H793,E794&gt;=E793),E793*(1+'Trading Model'!$E$13),IF(AND(E794&lt;E793,E793&gt;=H793),E794*(1+'Trading Model'!$E$13),H793))</f>
        <v>27.698998950000004</v>
      </c>
      <c r="I794" s="198">
        <f>IF(K794&gt;0,E794*(1-'Trading Model'!E804),IF(E794&lt;I793,I793*(1-'Trading Model'!$E$14),I793))</f>
        <v>9.9545876575278029</v>
      </c>
      <c r="J794" s="198">
        <f t="shared" si="103"/>
        <v>0</v>
      </c>
      <c r="K794" s="198">
        <f t="shared" si="98"/>
        <v>0</v>
      </c>
      <c r="L794" s="198">
        <f>COUNTIF(J794:K794,"&lt;&gt;0")*-'Trading Model'!$E$15</f>
        <v>0</v>
      </c>
      <c r="M794" s="198">
        <f t="shared" si="96"/>
        <v>0</v>
      </c>
      <c r="N794" s="75">
        <f t="shared" si="99"/>
        <v>43</v>
      </c>
      <c r="O794" s="202">
        <f t="shared" si="100"/>
        <v>0</v>
      </c>
      <c r="P794" s="199">
        <f t="shared" si="97"/>
        <v>0</v>
      </c>
      <c r="Q794" s="203">
        <f t="shared" si="101"/>
        <v>60.900000000002002</v>
      </c>
      <c r="R794" s="203" t="s">
        <v>55</v>
      </c>
      <c r="S794" s="201">
        <f t="shared" si="102"/>
        <v>1.7730496453900901E-2</v>
      </c>
    </row>
    <row r="795" spans="1:19">
      <c r="A795" s="196">
        <v>41120</v>
      </c>
      <c r="B795" s="122">
        <v>11.6</v>
      </c>
      <c r="C795" s="122">
        <v>11.89</v>
      </c>
      <c r="D795" s="122">
        <v>11.55</v>
      </c>
      <c r="E795" s="122">
        <v>11.65</v>
      </c>
      <c r="F795" s="122">
        <v>8.7586589999999998</v>
      </c>
      <c r="G795" s="197">
        <v>114200</v>
      </c>
      <c r="H795" s="198">
        <f>IF(AND(E794&gt;=H794,E795&gt;=E794),E794*(1+'Trading Model'!$E$13),IF(AND(E795&lt;E794,E794&gt;=H794),E795*(1+'Trading Model'!$E$13),H794))</f>
        <v>27.698998950000004</v>
      </c>
      <c r="I795" s="198">
        <f>IF(K795&gt;0,E795*(1-'Trading Model'!E805),IF(E795&lt;I794,I794*(1-'Trading Model'!$E$14),I794))</f>
        <v>9.9545876575278029</v>
      </c>
      <c r="J795" s="198">
        <f t="shared" si="103"/>
        <v>0</v>
      </c>
      <c r="K795" s="198">
        <f t="shared" si="98"/>
        <v>0</v>
      </c>
      <c r="L795" s="198">
        <f>COUNTIF(J795:K795,"&lt;&gt;0")*-'Trading Model'!$E$15</f>
        <v>0</v>
      </c>
      <c r="M795" s="198">
        <f t="shared" si="96"/>
        <v>0</v>
      </c>
      <c r="N795" s="75">
        <f t="shared" si="99"/>
        <v>43</v>
      </c>
      <c r="O795" s="202">
        <f t="shared" si="100"/>
        <v>0</v>
      </c>
      <c r="P795" s="199">
        <f t="shared" si="97"/>
        <v>0</v>
      </c>
      <c r="Q795" s="203">
        <f t="shared" si="101"/>
        <v>60.900000000002002</v>
      </c>
      <c r="R795" s="203" t="s">
        <v>55</v>
      </c>
      <c r="S795" s="201">
        <f t="shared" si="102"/>
        <v>1.4808362369338024E-2</v>
      </c>
    </row>
    <row r="796" spans="1:19">
      <c r="A796" s="196">
        <v>41121</v>
      </c>
      <c r="B796" s="122">
        <v>11.67</v>
      </c>
      <c r="C796" s="122">
        <v>12.18</v>
      </c>
      <c r="D796" s="122">
        <v>11.67</v>
      </c>
      <c r="E796" s="122">
        <v>12.14</v>
      </c>
      <c r="F796" s="122">
        <v>9.1270509999999998</v>
      </c>
      <c r="G796" s="197">
        <v>291900</v>
      </c>
      <c r="H796" s="198">
        <f>IF(AND(E795&gt;=H795,E796&gt;=E795),E795*(1+'Trading Model'!$E$13),IF(AND(E796&lt;E795,E795&gt;=H795),E796*(1+'Trading Model'!$E$13),H795))</f>
        <v>27.698998950000004</v>
      </c>
      <c r="I796" s="198">
        <f>IF(K796&gt;0,E796*(1-'Trading Model'!E806),IF(E796&lt;I795,I795*(1-'Trading Model'!$E$14),I795))</f>
        <v>9.9545876575278029</v>
      </c>
      <c r="J796" s="198">
        <f t="shared" si="103"/>
        <v>0</v>
      </c>
      <c r="K796" s="198">
        <f t="shared" si="98"/>
        <v>0</v>
      </c>
      <c r="L796" s="198">
        <f>COUNTIF(J796:K796,"&lt;&gt;0")*-'Trading Model'!$E$15</f>
        <v>0</v>
      </c>
      <c r="M796" s="198">
        <f t="shared" si="96"/>
        <v>0</v>
      </c>
      <c r="N796" s="75">
        <f t="shared" si="99"/>
        <v>43</v>
      </c>
      <c r="O796" s="202">
        <f t="shared" si="100"/>
        <v>0</v>
      </c>
      <c r="P796" s="199">
        <f t="shared" si="97"/>
        <v>0</v>
      </c>
      <c r="Q796" s="203">
        <f t="shared" si="101"/>
        <v>60.900000000002002</v>
      </c>
      <c r="R796" s="203" t="s">
        <v>55</v>
      </c>
      <c r="S796" s="201">
        <f t="shared" si="102"/>
        <v>4.2060085836909789E-2</v>
      </c>
    </row>
    <row r="797" spans="1:19">
      <c r="A797" s="196">
        <v>41122</v>
      </c>
      <c r="B797" s="122">
        <v>12.14</v>
      </c>
      <c r="C797" s="122">
        <v>12.26</v>
      </c>
      <c r="D797" s="122">
        <v>11.52</v>
      </c>
      <c r="E797" s="122">
        <v>11.59</v>
      </c>
      <c r="F797" s="122">
        <v>8.713552</v>
      </c>
      <c r="G797" s="197">
        <v>118000</v>
      </c>
      <c r="H797" s="198">
        <f>IF(AND(E796&gt;=H796,E797&gt;=E796),E796*(1+'Trading Model'!$E$13),IF(AND(E797&lt;E796,E796&gt;=H796),E797*(1+'Trading Model'!$E$13),H796))</f>
        <v>27.698998950000004</v>
      </c>
      <c r="I797" s="198">
        <f>IF(K797&gt;0,E797*(1-'Trading Model'!E807),IF(E797&lt;I796,I796*(1-'Trading Model'!$E$14),I796))</f>
        <v>9.9545876575278029</v>
      </c>
      <c r="J797" s="198">
        <f t="shared" si="103"/>
        <v>0</v>
      </c>
      <c r="K797" s="198">
        <f t="shared" si="98"/>
        <v>0</v>
      </c>
      <c r="L797" s="198">
        <f>COUNTIF(J797:K797,"&lt;&gt;0")*-'Trading Model'!$E$15</f>
        <v>0</v>
      </c>
      <c r="M797" s="198">
        <f t="shared" si="96"/>
        <v>0</v>
      </c>
      <c r="N797" s="75">
        <f t="shared" si="99"/>
        <v>43</v>
      </c>
      <c r="O797" s="202">
        <f t="shared" si="100"/>
        <v>0</v>
      </c>
      <c r="P797" s="199">
        <f t="shared" si="97"/>
        <v>0</v>
      </c>
      <c r="Q797" s="203">
        <f t="shared" si="101"/>
        <v>60.800000000002001</v>
      </c>
      <c r="R797" s="201">
        <f>E797/B793-1</f>
        <v>2.2947925860547169E-2</v>
      </c>
      <c r="S797" s="201">
        <f t="shared" si="102"/>
        <v>-4.5304777594728174E-2</v>
      </c>
    </row>
    <row r="798" spans="1:19">
      <c r="A798" s="196">
        <v>41123</v>
      </c>
      <c r="B798" s="122">
        <v>11.55</v>
      </c>
      <c r="C798" s="122">
        <v>12.02</v>
      </c>
      <c r="D798" s="122">
        <v>11.41</v>
      </c>
      <c r="E798" s="122">
        <v>11.54</v>
      </c>
      <c r="F798" s="122">
        <v>8.6759609999999991</v>
      </c>
      <c r="G798" s="197">
        <v>169500</v>
      </c>
      <c r="H798" s="198">
        <f>IF(AND(E797&gt;=H797,E798&gt;=E797),E797*(1+'Trading Model'!$E$13),IF(AND(E798&lt;E797,E797&gt;=H797),E798*(1+'Trading Model'!$E$13),H797))</f>
        <v>27.698998950000004</v>
      </c>
      <c r="I798" s="198">
        <f>IF(K798&gt;0,E798*(1-'Trading Model'!E808),IF(E798&lt;I797,I797*(1-'Trading Model'!$E$14),I797))</f>
        <v>9.9545876575278029</v>
      </c>
      <c r="J798" s="198">
        <f t="shared" si="103"/>
        <v>0</v>
      </c>
      <c r="K798" s="198">
        <f t="shared" si="98"/>
        <v>0</v>
      </c>
      <c r="L798" s="198">
        <f>COUNTIF(J798:K798,"&lt;&gt;0")*-'Trading Model'!$E$15</f>
        <v>0</v>
      </c>
      <c r="M798" s="198">
        <f t="shared" si="96"/>
        <v>0</v>
      </c>
      <c r="N798" s="75">
        <f t="shared" si="99"/>
        <v>43</v>
      </c>
      <c r="O798" s="202">
        <f t="shared" si="100"/>
        <v>0</v>
      </c>
      <c r="P798" s="199">
        <f t="shared" si="97"/>
        <v>0</v>
      </c>
      <c r="Q798" s="203">
        <f t="shared" si="101"/>
        <v>60.700000000001999</v>
      </c>
      <c r="R798" s="160" t="s">
        <v>55</v>
      </c>
      <c r="S798" s="201">
        <f t="shared" si="102"/>
        <v>-4.3140638481450333E-3</v>
      </c>
    </row>
    <row r="799" spans="1:19">
      <c r="A799" s="196">
        <v>41124</v>
      </c>
      <c r="B799" s="122">
        <v>11.59</v>
      </c>
      <c r="C799" s="122">
        <v>11.68</v>
      </c>
      <c r="D799" s="122">
        <v>11.29</v>
      </c>
      <c r="E799" s="122">
        <v>11.37</v>
      </c>
      <c r="F799" s="122">
        <v>8.548152</v>
      </c>
      <c r="G799" s="197">
        <v>172500</v>
      </c>
      <c r="H799" s="198">
        <f>IF(AND(E798&gt;=H798,E799&gt;=E798),E798*(1+'Trading Model'!$E$13),IF(AND(E799&lt;E798,E798&gt;=H798),E799*(1+'Trading Model'!$E$13),H798))</f>
        <v>27.698998950000004</v>
      </c>
      <c r="I799" s="198">
        <f>IF(K799&gt;0,E799*(1-'Trading Model'!E809),IF(E799&lt;I798,I798*(1-'Trading Model'!$E$14),I798))</f>
        <v>9.9545876575278029</v>
      </c>
      <c r="J799" s="198">
        <f t="shared" si="103"/>
        <v>0</v>
      </c>
      <c r="K799" s="198">
        <f t="shared" si="98"/>
        <v>0</v>
      </c>
      <c r="L799" s="198">
        <f>COUNTIF(J799:K799,"&lt;&gt;0")*-'Trading Model'!$E$15</f>
        <v>0</v>
      </c>
      <c r="M799" s="198">
        <f t="shared" si="96"/>
        <v>0</v>
      </c>
      <c r="N799" s="75">
        <f t="shared" si="99"/>
        <v>43</v>
      </c>
      <c r="O799" s="202">
        <f t="shared" si="100"/>
        <v>0</v>
      </c>
      <c r="P799" s="199">
        <f t="shared" si="97"/>
        <v>0</v>
      </c>
      <c r="Q799" s="203">
        <f t="shared" si="101"/>
        <v>60.600000000001998</v>
      </c>
      <c r="R799" s="203" t="s">
        <v>55</v>
      </c>
      <c r="S799" s="201">
        <f t="shared" si="102"/>
        <v>-1.4731369150779883E-2</v>
      </c>
    </row>
    <row r="800" spans="1:19">
      <c r="A800" s="196">
        <v>41127</v>
      </c>
      <c r="B800" s="122">
        <v>11.39</v>
      </c>
      <c r="C800" s="122">
        <v>11.71</v>
      </c>
      <c r="D800" s="122">
        <v>11.39</v>
      </c>
      <c r="E800" s="122">
        <v>11.61</v>
      </c>
      <c r="F800" s="122">
        <v>8.7285880000000002</v>
      </c>
      <c r="G800" s="197">
        <v>87400</v>
      </c>
      <c r="H800" s="198">
        <f>IF(AND(E799&gt;=H799,E800&gt;=E799),E799*(1+'Trading Model'!$E$13),IF(AND(E800&lt;E799,E799&gt;=H799),E800*(1+'Trading Model'!$E$13),H799))</f>
        <v>27.698998950000004</v>
      </c>
      <c r="I800" s="198">
        <f>IF(K800&gt;0,E800*(1-'Trading Model'!E810),IF(E800&lt;I799,I799*(1-'Trading Model'!$E$14),I799))</f>
        <v>9.9545876575278029</v>
      </c>
      <c r="J800" s="198">
        <f t="shared" si="103"/>
        <v>0</v>
      </c>
      <c r="K800" s="198">
        <f t="shared" si="98"/>
        <v>0</v>
      </c>
      <c r="L800" s="198">
        <f>COUNTIF(J800:K800,"&lt;&gt;0")*-'Trading Model'!$E$15</f>
        <v>0</v>
      </c>
      <c r="M800" s="198">
        <f t="shared" si="96"/>
        <v>0</v>
      </c>
      <c r="N800" s="75">
        <f t="shared" si="99"/>
        <v>43</v>
      </c>
      <c r="O800" s="202">
        <f t="shared" si="100"/>
        <v>0</v>
      </c>
      <c r="P800" s="199">
        <f t="shared" si="97"/>
        <v>0</v>
      </c>
      <c r="Q800" s="203">
        <f t="shared" si="101"/>
        <v>60.600000000001998</v>
      </c>
      <c r="R800" s="203" t="s">
        <v>55</v>
      </c>
      <c r="S800" s="201">
        <f t="shared" si="102"/>
        <v>2.1108179419525142E-2</v>
      </c>
    </row>
    <row r="801" spans="1:19">
      <c r="A801" s="196">
        <v>41128</v>
      </c>
      <c r="B801" s="122">
        <v>11.63</v>
      </c>
      <c r="C801" s="122">
        <v>11.91</v>
      </c>
      <c r="D801" s="122">
        <v>11.62</v>
      </c>
      <c r="E801" s="122">
        <v>11.81</v>
      </c>
      <c r="F801" s="122">
        <v>8.878952</v>
      </c>
      <c r="G801" s="197">
        <v>141800</v>
      </c>
      <c r="H801" s="198">
        <f>IF(AND(E800&gt;=H800,E801&gt;=E800),E800*(1+'Trading Model'!$E$13),IF(AND(E801&lt;E800,E800&gt;=H800),E801*(1+'Trading Model'!$E$13),H800))</f>
        <v>27.698998950000004</v>
      </c>
      <c r="I801" s="198">
        <f>IF(K801&gt;0,E801*(1-'Trading Model'!E811),IF(E801&lt;I800,I800*(1-'Trading Model'!$E$14),I800))</f>
        <v>9.9545876575278029</v>
      </c>
      <c r="J801" s="198">
        <f t="shared" si="103"/>
        <v>0</v>
      </c>
      <c r="K801" s="198">
        <f t="shared" si="98"/>
        <v>0</v>
      </c>
      <c r="L801" s="198">
        <f>COUNTIF(J801:K801,"&lt;&gt;0")*-'Trading Model'!$E$15</f>
        <v>0</v>
      </c>
      <c r="M801" s="198">
        <f t="shared" si="96"/>
        <v>0</v>
      </c>
      <c r="N801" s="75">
        <f t="shared" si="99"/>
        <v>43</v>
      </c>
      <c r="O801" s="202">
        <f t="shared" si="100"/>
        <v>0</v>
      </c>
      <c r="P801" s="199">
        <f t="shared" si="97"/>
        <v>0</v>
      </c>
      <c r="Q801" s="203">
        <f t="shared" si="101"/>
        <v>60.600000000001998</v>
      </c>
      <c r="R801" s="203" t="s">
        <v>55</v>
      </c>
      <c r="S801" s="201">
        <f t="shared" si="102"/>
        <v>1.7226528854435985E-2</v>
      </c>
    </row>
    <row r="802" spans="1:19">
      <c r="A802" s="196">
        <v>41129</v>
      </c>
      <c r="B802" s="122">
        <v>11.74</v>
      </c>
      <c r="C802" s="122">
        <v>11.99</v>
      </c>
      <c r="D802" s="122">
        <v>11.45</v>
      </c>
      <c r="E802" s="122">
        <v>11.96</v>
      </c>
      <c r="F802" s="122">
        <v>8.9917230000000004</v>
      </c>
      <c r="G802" s="197">
        <v>132800</v>
      </c>
      <c r="H802" s="198">
        <f>IF(AND(E801&gt;=H801,E802&gt;=E801),E801*(1+'Trading Model'!$E$13),IF(AND(E802&lt;E801,E801&gt;=H801),E802*(1+'Trading Model'!$E$13),H801))</f>
        <v>27.698998950000004</v>
      </c>
      <c r="I802" s="198">
        <f>IF(K802&gt;0,E802*(1-'Trading Model'!E812),IF(E802&lt;I801,I801*(1-'Trading Model'!$E$14),I801))</f>
        <v>9.9545876575278029</v>
      </c>
      <c r="J802" s="198">
        <f t="shared" si="103"/>
        <v>0</v>
      </c>
      <c r="K802" s="198">
        <f t="shared" si="98"/>
        <v>0</v>
      </c>
      <c r="L802" s="198">
        <f>COUNTIF(J802:K802,"&lt;&gt;0")*-'Trading Model'!$E$15</f>
        <v>0</v>
      </c>
      <c r="M802" s="198">
        <f t="shared" si="96"/>
        <v>0</v>
      </c>
      <c r="N802" s="75">
        <f t="shared" si="99"/>
        <v>43</v>
      </c>
      <c r="O802" s="202">
        <f t="shared" si="100"/>
        <v>0</v>
      </c>
      <c r="P802" s="199">
        <f t="shared" si="97"/>
        <v>0</v>
      </c>
      <c r="Q802" s="203">
        <f t="shared" si="101"/>
        <v>60.600000000001998</v>
      </c>
      <c r="R802" s="201">
        <f>E802/B798-1</f>
        <v>3.5497835497835473E-2</v>
      </c>
      <c r="S802" s="201">
        <f t="shared" si="102"/>
        <v>1.2701100762066098E-2</v>
      </c>
    </row>
    <row r="803" spans="1:19">
      <c r="A803" s="196">
        <v>41130</v>
      </c>
      <c r="B803" s="122">
        <v>11.97</v>
      </c>
      <c r="C803" s="122">
        <v>12.09</v>
      </c>
      <c r="D803" s="122">
        <v>11.89</v>
      </c>
      <c r="E803" s="122">
        <v>12.08</v>
      </c>
      <c r="F803" s="122">
        <v>9.0819410000000005</v>
      </c>
      <c r="G803" s="197">
        <v>140300</v>
      </c>
      <c r="H803" s="198">
        <f>IF(AND(E802&gt;=H802,E803&gt;=E802),E802*(1+'Trading Model'!$E$13),IF(AND(E803&lt;E802,E802&gt;=H802),E803*(1+'Trading Model'!$E$13),H802))</f>
        <v>27.698998950000004</v>
      </c>
      <c r="I803" s="198">
        <f>IF(K803&gt;0,E803*(1-'Trading Model'!E813),IF(E803&lt;I802,I802*(1-'Trading Model'!$E$14),I802))</f>
        <v>9.9545876575278029</v>
      </c>
      <c r="J803" s="198">
        <f t="shared" si="103"/>
        <v>0</v>
      </c>
      <c r="K803" s="198">
        <f t="shared" si="98"/>
        <v>0</v>
      </c>
      <c r="L803" s="198">
        <f>COUNTIF(J803:K803,"&lt;&gt;0")*-'Trading Model'!$E$15</f>
        <v>0</v>
      </c>
      <c r="M803" s="198">
        <f t="shared" si="96"/>
        <v>0</v>
      </c>
      <c r="N803" s="75">
        <f t="shared" si="99"/>
        <v>43</v>
      </c>
      <c r="O803" s="202">
        <f t="shared" si="100"/>
        <v>0</v>
      </c>
      <c r="P803" s="199">
        <f t="shared" si="97"/>
        <v>0</v>
      </c>
      <c r="Q803" s="203">
        <f t="shared" si="101"/>
        <v>60.600000000001998</v>
      </c>
      <c r="R803" s="160" t="s">
        <v>55</v>
      </c>
      <c r="S803" s="201">
        <f t="shared" si="102"/>
        <v>1.0033444816053505E-2</v>
      </c>
    </row>
    <row r="804" spans="1:19">
      <c r="A804" s="196">
        <v>41131</v>
      </c>
      <c r="B804" s="122">
        <v>12.1</v>
      </c>
      <c r="C804" s="122">
        <v>12.38</v>
      </c>
      <c r="D804" s="122">
        <v>12.06</v>
      </c>
      <c r="E804" s="122">
        <v>12.31</v>
      </c>
      <c r="F804" s="122">
        <v>9.2548600000000008</v>
      </c>
      <c r="G804" s="197">
        <v>162500</v>
      </c>
      <c r="H804" s="198">
        <f>IF(AND(E803&gt;=H803,E804&gt;=E803),E803*(1+'Trading Model'!$E$13),IF(AND(E804&lt;E803,E803&gt;=H803),E804*(1+'Trading Model'!$E$13),H803))</f>
        <v>27.698998950000004</v>
      </c>
      <c r="I804" s="198">
        <f>IF(K804&gt;0,E804*(1-'Trading Model'!E814),IF(E804&lt;I803,I803*(1-'Trading Model'!$E$14),I803))</f>
        <v>9.9545876575278029</v>
      </c>
      <c r="J804" s="198">
        <f t="shared" si="103"/>
        <v>0</v>
      </c>
      <c r="K804" s="198">
        <f t="shared" si="98"/>
        <v>0</v>
      </c>
      <c r="L804" s="198">
        <f>COUNTIF(J804:K804,"&lt;&gt;0")*-'Trading Model'!$E$15</f>
        <v>0</v>
      </c>
      <c r="M804" s="198">
        <f t="shared" si="96"/>
        <v>0</v>
      </c>
      <c r="N804" s="75">
        <f t="shared" si="99"/>
        <v>43</v>
      </c>
      <c r="O804" s="202">
        <f t="shared" si="100"/>
        <v>0</v>
      </c>
      <c r="P804" s="199">
        <f t="shared" si="97"/>
        <v>0</v>
      </c>
      <c r="Q804" s="203">
        <f t="shared" si="101"/>
        <v>60.600000000001998</v>
      </c>
      <c r="R804" s="203" t="s">
        <v>55</v>
      </c>
      <c r="S804" s="201">
        <f t="shared" si="102"/>
        <v>1.9039735099337873E-2</v>
      </c>
    </row>
    <row r="805" spans="1:19">
      <c r="A805" s="196">
        <v>41134</v>
      </c>
      <c r="B805" s="122">
        <v>12.32</v>
      </c>
      <c r="C805" s="122">
        <v>12.32</v>
      </c>
      <c r="D805" s="122">
        <v>11.66</v>
      </c>
      <c r="E805" s="122">
        <v>11.69</v>
      </c>
      <c r="F805" s="122">
        <v>8.7887339999999998</v>
      </c>
      <c r="G805" s="197">
        <v>228000</v>
      </c>
      <c r="H805" s="198">
        <f>IF(AND(E804&gt;=H804,E805&gt;=E804),E804*(1+'Trading Model'!$E$13),IF(AND(E805&lt;E804,E804&gt;=H804),E805*(1+'Trading Model'!$E$13),H804))</f>
        <v>27.698998950000004</v>
      </c>
      <c r="I805" s="198">
        <f>IF(K805&gt;0,E805*(1-'Trading Model'!E815),IF(E805&lt;I804,I804*(1-'Trading Model'!$E$14),I804))</f>
        <v>9.9545876575278029</v>
      </c>
      <c r="J805" s="198">
        <f t="shared" si="103"/>
        <v>0</v>
      </c>
      <c r="K805" s="198">
        <f t="shared" si="98"/>
        <v>0</v>
      </c>
      <c r="L805" s="198">
        <f>COUNTIF(J805:K805,"&lt;&gt;0")*-'Trading Model'!$E$15</f>
        <v>0</v>
      </c>
      <c r="M805" s="198">
        <f t="shared" si="96"/>
        <v>0</v>
      </c>
      <c r="N805" s="75">
        <f t="shared" si="99"/>
        <v>43</v>
      </c>
      <c r="O805" s="202">
        <f t="shared" si="100"/>
        <v>0</v>
      </c>
      <c r="P805" s="199">
        <f t="shared" si="97"/>
        <v>0</v>
      </c>
      <c r="Q805" s="203">
        <f t="shared" si="101"/>
        <v>60.500000000001997</v>
      </c>
      <c r="R805" s="203" t="s">
        <v>55</v>
      </c>
      <c r="S805" s="201">
        <f t="shared" si="102"/>
        <v>-5.0365556458164207E-2</v>
      </c>
    </row>
    <row r="806" spans="1:19">
      <c r="A806" s="196">
        <v>41135</v>
      </c>
      <c r="B806" s="122">
        <v>11.85</v>
      </c>
      <c r="C806" s="122">
        <v>11.98</v>
      </c>
      <c r="D806" s="122">
        <v>11.7</v>
      </c>
      <c r="E806" s="122">
        <v>11.93</v>
      </c>
      <c r="F806" s="122">
        <v>8.9691679999999998</v>
      </c>
      <c r="G806" s="197">
        <v>169800</v>
      </c>
      <c r="H806" s="198">
        <f>IF(AND(E805&gt;=H805,E806&gt;=E805),E805*(1+'Trading Model'!$E$13),IF(AND(E806&lt;E805,E805&gt;=H805),E806*(1+'Trading Model'!$E$13),H805))</f>
        <v>27.698998950000004</v>
      </c>
      <c r="I806" s="198">
        <f>IF(K806&gt;0,E806*(1-'Trading Model'!E816),IF(E806&lt;I805,I805*(1-'Trading Model'!$E$14),I805))</f>
        <v>9.9545876575278029</v>
      </c>
      <c r="J806" s="198">
        <f t="shared" si="103"/>
        <v>0</v>
      </c>
      <c r="K806" s="198">
        <f t="shared" si="98"/>
        <v>0</v>
      </c>
      <c r="L806" s="198">
        <f>COUNTIF(J806:K806,"&lt;&gt;0")*-'Trading Model'!$E$15</f>
        <v>0</v>
      </c>
      <c r="M806" s="198">
        <f t="shared" si="96"/>
        <v>0</v>
      </c>
      <c r="N806" s="75">
        <f t="shared" si="99"/>
        <v>43</v>
      </c>
      <c r="O806" s="202">
        <f t="shared" si="100"/>
        <v>0</v>
      </c>
      <c r="P806" s="199">
        <f t="shared" si="97"/>
        <v>0</v>
      </c>
      <c r="Q806" s="203">
        <f t="shared" si="101"/>
        <v>60.500000000001997</v>
      </c>
      <c r="R806" s="203" t="s">
        <v>55</v>
      </c>
      <c r="S806" s="201">
        <f t="shared" si="102"/>
        <v>2.0530367835757124E-2</v>
      </c>
    </row>
    <row r="807" spans="1:19">
      <c r="A807" s="196">
        <v>41136</v>
      </c>
      <c r="B807" s="122">
        <v>11.79</v>
      </c>
      <c r="C807" s="122">
        <v>11.99</v>
      </c>
      <c r="D807" s="122">
        <v>11.79</v>
      </c>
      <c r="E807" s="122">
        <v>11.92</v>
      </c>
      <c r="F807" s="122">
        <v>8.9616509999999998</v>
      </c>
      <c r="G807" s="197">
        <v>220900</v>
      </c>
      <c r="H807" s="198">
        <f>IF(AND(E806&gt;=H806,E807&gt;=E806),E806*(1+'Trading Model'!$E$13),IF(AND(E807&lt;E806,E806&gt;=H806),E807*(1+'Trading Model'!$E$13),H806))</f>
        <v>27.698998950000004</v>
      </c>
      <c r="I807" s="198">
        <f>IF(K807&gt;0,E807*(1-'Trading Model'!E817),IF(E807&lt;I806,I806*(1-'Trading Model'!$E$14),I806))</f>
        <v>9.9545876575278029</v>
      </c>
      <c r="J807" s="198">
        <f t="shared" si="103"/>
        <v>0</v>
      </c>
      <c r="K807" s="198">
        <f t="shared" si="98"/>
        <v>0</v>
      </c>
      <c r="L807" s="198">
        <f>COUNTIF(J807:K807,"&lt;&gt;0")*-'Trading Model'!$E$15</f>
        <v>0</v>
      </c>
      <c r="M807" s="198">
        <f t="shared" si="96"/>
        <v>0</v>
      </c>
      <c r="N807" s="75">
        <f t="shared" si="99"/>
        <v>43</v>
      </c>
      <c r="O807" s="202">
        <f t="shared" si="100"/>
        <v>0</v>
      </c>
      <c r="P807" s="199">
        <f t="shared" si="97"/>
        <v>0</v>
      </c>
      <c r="Q807" s="203">
        <f t="shared" si="101"/>
        <v>60.400000000001995</v>
      </c>
      <c r="R807" s="201">
        <f>E807/B803-1</f>
        <v>-4.1771094402673903E-3</v>
      </c>
      <c r="S807" s="201">
        <f t="shared" si="102"/>
        <v>-8.382229673092878E-4</v>
      </c>
    </row>
    <row r="808" spans="1:19">
      <c r="A808" s="196">
        <v>41137</v>
      </c>
      <c r="B808" s="122">
        <v>12</v>
      </c>
      <c r="C808" s="122">
        <v>12.09</v>
      </c>
      <c r="D808" s="122">
        <v>11.93</v>
      </c>
      <c r="E808" s="122">
        <v>12.06</v>
      </c>
      <c r="F808" s="122">
        <v>9.0669059999999995</v>
      </c>
      <c r="G808" s="197">
        <v>161500</v>
      </c>
      <c r="H808" s="198">
        <f>IF(AND(E807&gt;=H807,E808&gt;=E807),E807*(1+'Trading Model'!$E$13),IF(AND(E808&lt;E807,E807&gt;=H807),E808*(1+'Trading Model'!$E$13),H807))</f>
        <v>27.698998950000004</v>
      </c>
      <c r="I808" s="198">
        <f>IF(K808&gt;0,E808*(1-'Trading Model'!E818),IF(E808&lt;I807,I807*(1-'Trading Model'!$E$14),I807))</f>
        <v>9.9545876575278029</v>
      </c>
      <c r="J808" s="198">
        <f t="shared" si="103"/>
        <v>0</v>
      </c>
      <c r="K808" s="198">
        <f t="shared" si="98"/>
        <v>0</v>
      </c>
      <c r="L808" s="198">
        <f>COUNTIF(J808:K808,"&lt;&gt;0")*-'Trading Model'!$E$15</f>
        <v>0</v>
      </c>
      <c r="M808" s="198">
        <f t="shared" si="96"/>
        <v>0</v>
      </c>
      <c r="N808" s="75">
        <f t="shared" si="99"/>
        <v>43</v>
      </c>
      <c r="O808" s="202">
        <f t="shared" si="100"/>
        <v>0</v>
      </c>
      <c r="P808" s="199">
        <f t="shared" si="97"/>
        <v>0</v>
      </c>
      <c r="Q808" s="203">
        <f t="shared" si="101"/>
        <v>60.400000000001995</v>
      </c>
      <c r="R808" s="160" t="s">
        <v>55</v>
      </c>
      <c r="S808" s="201">
        <f t="shared" si="102"/>
        <v>1.1744966442952975E-2</v>
      </c>
    </row>
    <row r="809" spans="1:19">
      <c r="A809" s="196">
        <v>41138</v>
      </c>
      <c r="B809" s="122">
        <v>12.01</v>
      </c>
      <c r="C809" s="122">
        <v>12.13</v>
      </c>
      <c r="D809" s="122">
        <v>12</v>
      </c>
      <c r="E809" s="122">
        <v>12.11</v>
      </c>
      <c r="F809" s="122">
        <v>9.104495</v>
      </c>
      <c r="G809" s="197">
        <v>85000</v>
      </c>
      <c r="H809" s="198">
        <f>IF(AND(E808&gt;=H808,E809&gt;=E808),E808*(1+'Trading Model'!$E$13),IF(AND(E809&lt;E808,E808&gt;=H808),E809*(1+'Trading Model'!$E$13),H808))</f>
        <v>27.698998950000004</v>
      </c>
      <c r="I809" s="198">
        <f>IF(K809&gt;0,E809*(1-'Trading Model'!E819),IF(E809&lt;I808,I808*(1-'Trading Model'!$E$14),I808))</f>
        <v>9.9545876575278029</v>
      </c>
      <c r="J809" s="198">
        <f t="shared" si="103"/>
        <v>0</v>
      </c>
      <c r="K809" s="198">
        <f t="shared" si="98"/>
        <v>0</v>
      </c>
      <c r="L809" s="198">
        <f>COUNTIF(J809:K809,"&lt;&gt;0")*-'Trading Model'!$E$15</f>
        <v>0</v>
      </c>
      <c r="M809" s="198">
        <f t="shared" si="96"/>
        <v>0</v>
      </c>
      <c r="N809" s="75">
        <f t="shared" si="99"/>
        <v>43</v>
      </c>
      <c r="O809" s="202">
        <f t="shared" si="100"/>
        <v>0</v>
      </c>
      <c r="P809" s="199">
        <f t="shared" si="97"/>
        <v>0</v>
      </c>
      <c r="Q809" s="203">
        <f t="shared" si="101"/>
        <v>60.400000000001995</v>
      </c>
      <c r="R809" s="203" t="s">
        <v>55</v>
      </c>
      <c r="S809" s="201">
        <f t="shared" si="102"/>
        <v>4.1459369817578029E-3</v>
      </c>
    </row>
    <row r="810" spans="1:19">
      <c r="A810" s="196">
        <v>41141</v>
      </c>
      <c r="B810" s="122">
        <v>12.19</v>
      </c>
      <c r="C810" s="122">
        <v>12.3</v>
      </c>
      <c r="D810" s="122">
        <v>11.96</v>
      </c>
      <c r="E810" s="122">
        <v>12.25</v>
      </c>
      <c r="F810" s="122">
        <v>9.2097499999999997</v>
      </c>
      <c r="G810" s="197">
        <v>151600</v>
      </c>
      <c r="H810" s="198">
        <f>IF(AND(E809&gt;=H809,E810&gt;=E809),E809*(1+'Trading Model'!$E$13),IF(AND(E810&lt;E809,E809&gt;=H809),E810*(1+'Trading Model'!$E$13),H809))</f>
        <v>27.698998950000004</v>
      </c>
      <c r="I810" s="198">
        <f>IF(K810&gt;0,E810*(1-'Trading Model'!E820),IF(E810&lt;I809,I809*(1-'Trading Model'!$E$14),I809))</f>
        <v>9.9545876575278029</v>
      </c>
      <c r="J810" s="198">
        <f t="shared" si="103"/>
        <v>0</v>
      </c>
      <c r="K810" s="198">
        <f t="shared" si="98"/>
        <v>0</v>
      </c>
      <c r="L810" s="198">
        <f>COUNTIF(J810:K810,"&lt;&gt;0")*-'Trading Model'!$E$15</f>
        <v>0</v>
      </c>
      <c r="M810" s="198">
        <f t="shared" si="96"/>
        <v>0</v>
      </c>
      <c r="N810" s="75">
        <f t="shared" si="99"/>
        <v>43</v>
      </c>
      <c r="O810" s="202">
        <f t="shared" si="100"/>
        <v>0</v>
      </c>
      <c r="P810" s="199">
        <f t="shared" si="97"/>
        <v>0</v>
      </c>
      <c r="Q810" s="203">
        <f t="shared" si="101"/>
        <v>60.400000000001995</v>
      </c>
      <c r="R810" s="203" t="s">
        <v>55</v>
      </c>
      <c r="S810" s="201">
        <f t="shared" si="102"/>
        <v>1.1560693641618602E-2</v>
      </c>
    </row>
    <row r="811" spans="1:19">
      <c r="A811" s="196">
        <v>41142</v>
      </c>
      <c r="B811" s="122">
        <v>12.27</v>
      </c>
      <c r="C811" s="122">
        <v>12.41</v>
      </c>
      <c r="D811" s="122">
        <v>12.03</v>
      </c>
      <c r="E811" s="122">
        <v>12.13</v>
      </c>
      <c r="F811" s="122">
        <v>9.1195319999999995</v>
      </c>
      <c r="G811" s="197">
        <v>180900</v>
      </c>
      <c r="H811" s="198">
        <f>IF(AND(E810&gt;=H810,E811&gt;=E810),E810*(1+'Trading Model'!$E$13),IF(AND(E811&lt;E810,E810&gt;=H810),E811*(1+'Trading Model'!$E$13),H810))</f>
        <v>27.698998950000004</v>
      </c>
      <c r="I811" s="198">
        <f>IF(K811&gt;0,E811*(1-'Trading Model'!E821),IF(E811&lt;I810,I810*(1-'Trading Model'!$E$14),I810))</f>
        <v>9.9545876575278029</v>
      </c>
      <c r="J811" s="198">
        <f t="shared" si="103"/>
        <v>0</v>
      </c>
      <c r="K811" s="198">
        <f t="shared" si="98"/>
        <v>0</v>
      </c>
      <c r="L811" s="198">
        <f>COUNTIF(J811:K811,"&lt;&gt;0")*-'Trading Model'!$E$15</f>
        <v>0</v>
      </c>
      <c r="M811" s="198">
        <f t="shared" si="96"/>
        <v>0</v>
      </c>
      <c r="N811" s="75">
        <f t="shared" si="99"/>
        <v>43</v>
      </c>
      <c r="O811" s="202">
        <f t="shared" si="100"/>
        <v>0</v>
      </c>
      <c r="P811" s="199">
        <f t="shared" si="97"/>
        <v>0</v>
      </c>
      <c r="Q811" s="203">
        <f t="shared" si="101"/>
        <v>60.300000000001994</v>
      </c>
      <c r="R811" s="203" t="s">
        <v>55</v>
      </c>
      <c r="S811" s="201">
        <f t="shared" si="102"/>
        <v>-9.7959183673468342E-3</v>
      </c>
    </row>
    <row r="812" spans="1:19">
      <c r="A812" s="196">
        <v>41143</v>
      </c>
      <c r="B812" s="122">
        <v>12.14</v>
      </c>
      <c r="C812" s="122">
        <v>12.34</v>
      </c>
      <c r="D812" s="122">
        <v>11.98</v>
      </c>
      <c r="E812" s="122">
        <v>12.07</v>
      </c>
      <c r="F812" s="122">
        <v>9.0744249999999997</v>
      </c>
      <c r="G812" s="197">
        <v>102400</v>
      </c>
      <c r="H812" s="198">
        <f>IF(AND(E811&gt;=H811,E812&gt;=E811),E811*(1+'Trading Model'!$E$13),IF(AND(E812&lt;E811,E811&gt;=H811),E812*(1+'Trading Model'!$E$13),H811))</f>
        <v>27.698998950000004</v>
      </c>
      <c r="I812" s="198">
        <f>IF(K812&gt;0,E812*(1-'Trading Model'!E822),IF(E812&lt;I811,I811*(1-'Trading Model'!$E$14),I811))</f>
        <v>9.9545876575278029</v>
      </c>
      <c r="J812" s="198">
        <f t="shared" si="103"/>
        <v>0</v>
      </c>
      <c r="K812" s="198">
        <f t="shared" si="98"/>
        <v>0</v>
      </c>
      <c r="L812" s="198">
        <f>COUNTIF(J812:K812,"&lt;&gt;0")*-'Trading Model'!$E$15</f>
        <v>0</v>
      </c>
      <c r="M812" s="198">
        <f t="shared" si="96"/>
        <v>0</v>
      </c>
      <c r="N812" s="75">
        <f t="shared" si="99"/>
        <v>43</v>
      </c>
      <c r="O812" s="202">
        <f t="shared" si="100"/>
        <v>0</v>
      </c>
      <c r="P812" s="199">
        <f t="shared" si="97"/>
        <v>0</v>
      </c>
      <c r="Q812" s="203">
        <f t="shared" si="101"/>
        <v>60.200000000001992</v>
      </c>
      <c r="R812" s="201">
        <f>E812/B808-1</f>
        <v>5.833333333333357E-3</v>
      </c>
      <c r="S812" s="201">
        <f t="shared" si="102"/>
        <v>-4.9464138499588639E-3</v>
      </c>
    </row>
    <row r="813" spans="1:19">
      <c r="A813" s="196">
        <v>41144</v>
      </c>
      <c r="B813" s="122">
        <v>12.07</v>
      </c>
      <c r="C813" s="122">
        <v>12.08</v>
      </c>
      <c r="D813" s="122">
        <v>11.73</v>
      </c>
      <c r="E813" s="122">
        <v>11.77</v>
      </c>
      <c r="F813" s="122">
        <v>8.8488790000000002</v>
      </c>
      <c r="G813" s="197">
        <v>199900</v>
      </c>
      <c r="H813" s="198">
        <f>IF(AND(E812&gt;=H812,E813&gt;=E812),E812*(1+'Trading Model'!$E$13),IF(AND(E813&lt;E812,E812&gt;=H812),E813*(1+'Trading Model'!$E$13),H812))</f>
        <v>27.698998950000004</v>
      </c>
      <c r="I813" s="198">
        <f>IF(K813&gt;0,E813*(1-'Trading Model'!E823),IF(E813&lt;I812,I812*(1-'Trading Model'!$E$14),I812))</f>
        <v>9.9545876575278029</v>
      </c>
      <c r="J813" s="198">
        <f t="shared" si="103"/>
        <v>0</v>
      </c>
      <c r="K813" s="198">
        <f t="shared" si="98"/>
        <v>0</v>
      </c>
      <c r="L813" s="198">
        <f>COUNTIF(J813:K813,"&lt;&gt;0")*-'Trading Model'!$E$15</f>
        <v>0</v>
      </c>
      <c r="M813" s="198">
        <f t="shared" si="96"/>
        <v>0</v>
      </c>
      <c r="N813" s="75">
        <f t="shared" si="99"/>
        <v>43</v>
      </c>
      <c r="O813" s="202">
        <f t="shared" si="100"/>
        <v>0</v>
      </c>
      <c r="P813" s="199">
        <f t="shared" si="97"/>
        <v>0</v>
      </c>
      <c r="Q813" s="203">
        <f t="shared" si="101"/>
        <v>60.100000000001991</v>
      </c>
      <c r="R813" s="160" t="s">
        <v>55</v>
      </c>
      <c r="S813" s="201">
        <f t="shared" si="102"/>
        <v>-2.4855012427506318E-2</v>
      </c>
    </row>
    <row r="814" spans="1:19">
      <c r="A814" s="196">
        <v>41145</v>
      </c>
      <c r="B814" s="122">
        <v>11.86</v>
      </c>
      <c r="C814" s="122">
        <v>11.99</v>
      </c>
      <c r="D814" s="122">
        <v>11.7</v>
      </c>
      <c r="E814" s="122">
        <v>11.75</v>
      </c>
      <c r="F814" s="122">
        <v>8.8338420000000006</v>
      </c>
      <c r="G814" s="197">
        <v>181000</v>
      </c>
      <c r="H814" s="198">
        <f>IF(AND(E813&gt;=H813,E814&gt;=E813),E813*(1+'Trading Model'!$E$13),IF(AND(E814&lt;E813,E813&gt;=H813),E814*(1+'Trading Model'!$E$13),H813))</f>
        <v>27.698998950000004</v>
      </c>
      <c r="I814" s="198">
        <f>IF(K814&gt;0,E814*(1-'Trading Model'!E824),IF(E814&lt;I813,I813*(1-'Trading Model'!$E$14),I813))</f>
        <v>9.9545876575278029</v>
      </c>
      <c r="J814" s="198">
        <f t="shared" si="103"/>
        <v>0</v>
      </c>
      <c r="K814" s="198">
        <f t="shared" si="98"/>
        <v>0</v>
      </c>
      <c r="L814" s="198">
        <f>COUNTIF(J814:K814,"&lt;&gt;0")*-'Trading Model'!$E$15</f>
        <v>0</v>
      </c>
      <c r="M814" s="198">
        <f t="shared" si="96"/>
        <v>0</v>
      </c>
      <c r="N814" s="75">
        <f t="shared" si="99"/>
        <v>43</v>
      </c>
      <c r="O814" s="202">
        <f t="shared" si="100"/>
        <v>0</v>
      </c>
      <c r="P814" s="199">
        <f t="shared" si="97"/>
        <v>0</v>
      </c>
      <c r="Q814" s="203">
        <f t="shared" si="101"/>
        <v>60.00000000000199</v>
      </c>
      <c r="R814" s="203" t="s">
        <v>55</v>
      </c>
      <c r="S814" s="201">
        <f t="shared" si="102"/>
        <v>-1.6992353440951069E-3</v>
      </c>
    </row>
    <row r="815" spans="1:19">
      <c r="A815" s="196">
        <v>41148</v>
      </c>
      <c r="B815" s="122">
        <v>11.76</v>
      </c>
      <c r="C815" s="122">
        <v>11.79</v>
      </c>
      <c r="D815" s="122">
        <v>11.5</v>
      </c>
      <c r="E815" s="122">
        <v>11.55</v>
      </c>
      <c r="F815" s="122">
        <v>8.6834790000000002</v>
      </c>
      <c r="G815" s="197">
        <v>139900</v>
      </c>
      <c r="H815" s="198">
        <f>IF(AND(E814&gt;=H814,E815&gt;=E814),E814*(1+'Trading Model'!$E$13),IF(AND(E815&lt;E814,E814&gt;=H814),E815*(1+'Trading Model'!$E$13),H814))</f>
        <v>27.698998950000004</v>
      </c>
      <c r="I815" s="198">
        <f>IF(K815&gt;0,E815*(1-'Trading Model'!E825),IF(E815&lt;I814,I814*(1-'Trading Model'!$E$14),I814))</f>
        <v>9.9545876575278029</v>
      </c>
      <c r="J815" s="198">
        <f t="shared" si="103"/>
        <v>0</v>
      </c>
      <c r="K815" s="198">
        <f t="shared" si="98"/>
        <v>0</v>
      </c>
      <c r="L815" s="198">
        <f>COUNTIF(J815:K815,"&lt;&gt;0")*-'Trading Model'!$E$15</f>
        <v>0</v>
      </c>
      <c r="M815" s="198">
        <f t="shared" si="96"/>
        <v>0</v>
      </c>
      <c r="N815" s="75">
        <f t="shared" si="99"/>
        <v>43</v>
      </c>
      <c r="O815" s="202">
        <f t="shared" si="100"/>
        <v>0</v>
      </c>
      <c r="P815" s="199">
        <f t="shared" si="97"/>
        <v>0</v>
      </c>
      <c r="Q815" s="203">
        <f t="shared" si="101"/>
        <v>59.900000000001988</v>
      </c>
      <c r="R815" s="203" t="s">
        <v>55</v>
      </c>
      <c r="S815" s="201">
        <f t="shared" si="102"/>
        <v>-1.7021276595744594E-2</v>
      </c>
    </row>
    <row r="816" spans="1:19">
      <c r="A816" s="196">
        <v>41149</v>
      </c>
      <c r="B816" s="122">
        <v>11.55</v>
      </c>
      <c r="C816" s="122">
        <v>11.64</v>
      </c>
      <c r="D816" s="122">
        <v>11.51</v>
      </c>
      <c r="E816" s="122">
        <v>11.54</v>
      </c>
      <c r="F816" s="122">
        <v>8.6759609999999991</v>
      </c>
      <c r="G816" s="197">
        <v>110300</v>
      </c>
      <c r="H816" s="198">
        <f>IF(AND(E815&gt;=H815,E816&gt;=E815),E815*(1+'Trading Model'!$E$13),IF(AND(E816&lt;E815,E815&gt;=H815),E816*(1+'Trading Model'!$E$13),H815))</f>
        <v>27.698998950000004</v>
      </c>
      <c r="I816" s="198">
        <f>IF(K816&gt;0,E816*(1-'Trading Model'!E826),IF(E816&lt;I815,I815*(1-'Trading Model'!$E$14),I815))</f>
        <v>9.9545876575278029</v>
      </c>
      <c r="J816" s="198">
        <f t="shared" si="103"/>
        <v>0</v>
      </c>
      <c r="K816" s="198">
        <f t="shared" si="98"/>
        <v>0</v>
      </c>
      <c r="L816" s="198">
        <f>COUNTIF(J816:K816,"&lt;&gt;0")*-'Trading Model'!$E$15</f>
        <v>0</v>
      </c>
      <c r="M816" s="198">
        <f t="shared" si="96"/>
        <v>0</v>
      </c>
      <c r="N816" s="75">
        <f t="shared" si="99"/>
        <v>43</v>
      </c>
      <c r="O816" s="202">
        <f t="shared" si="100"/>
        <v>0</v>
      </c>
      <c r="P816" s="199">
        <f t="shared" si="97"/>
        <v>0</v>
      </c>
      <c r="Q816" s="203">
        <f t="shared" si="101"/>
        <v>59.800000000001987</v>
      </c>
      <c r="R816" s="203" t="s">
        <v>55</v>
      </c>
      <c r="S816" s="201">
        <f t="shared" si="102"/>
        <v>-8.6580086580101412E-4</v>
      </c>
    </row>
    <row r="817" spans="1:19">
      <c r="A817" s="196">
        <v>41150</v>
      </c>
      <c r="B817" s="122">
        <v>11.61</v>
      </c>
      <c r="C817" s="122">
        <v>11.61</v>
      </c>
      <c r="D817" s="122">
        <v>11.49</v>
      </c>
      <c r="E817" s="122">
        <v>11.5</v>
      </c>
      <c r="F817" s="122">
        <v>8.6458890000000004</v>
      </c>
      <c r="G817" s="197">
        <v>77400</v>
      </c>
      <c r="H817" s="198">
        <f>IF(AND(E816&gt;=H816,E817&gt;=E816),E816*(1+'Trading Model'!$E$13),IF(AND(E817&lt;E816,E816&gt;=H816),E817*(1+'Trading Model'!$E$13),H816))</f>
        <v>27.698998950000004</v>
      </c>
      <c r="I817" s="198">
        <f>IF(K817&gt;0,E817*(1-'Trading Model'!E827),IF(E817&lt;I816,I816*(1-'Trading Model'!$E$14),I816))</f>
        <v>9.9545876575278029</v>
      </c>
      <c r="J817" s="198">
        <f t="shared" si="103"/>
        <v>0</v>
      </c>
      <c r="K817" s="198">
        <f t="shared" si="98"/>
        <v>0</v>
      </c>
      <c r="L817" s="198">
        <f>COUNTIF(J817:K817,"&lt;&gt;0")*-'Trading Model'!$E$15</f>
        <v>0</v>
      </c>
      <c r="M817" s="198">
        <f t="shared" si="96"/>
        <v>0</v>
      </c>
      <c r="N817" s="75">
        <f t="shared" si="99"/>
        <v>43</v>
      </c>
      <c r="O817" s="202">
        <f t="shared" si="100"/>
        <v>0</v>
      </c>
      <c r="P817" s="199">
        <f t="shared" si="97"/>
        <v>0</v>
      </c>
      <c r="Q817" s="203">
        <f t="shared" si="101"/>
        <v>59.700000000001985</v>
      </c>
      <c r="R817" s="201">
        <f>E817/B813-1</f>
        <v>-4.7224523612261815E-2</v>
      </c>
      <c r="S817" s="201">
        <f t="shared" si="102"/>
        <v>-3.4662045060658286E-3</v>
      </c>
    </row>
    <row r="818" spans="1:19">
      <c r="A818" s="196">
        <v>41151</v>
      </c>
      <c r="B818" s="122">
        <v>11.5</v>
      </c>
      <c r="C818" s="122">
        <v>11.5</v>
      </c>
      <c r="D818" s="122">
        <v>11.06</v>
      </c>
      <c r="E818" s="122">
        <v>11.25</v>
      </c>
      <c r="F818" s="122">
        <v>8.4579339999999998</v>
      </c>
      <c r="G818" s="197">
        <v>264800</v>
      </c>
      <c r="H818" s="198">
        <f>IF(AND(E817&gt;=H817,E818&gt;=E817),E817*(1+'Trading Model'!$E$13),IF(AND(E818&lt;E817,E817&gt;=H817),E818*(1+'Trading Model'!$E$13),H817))</f>
        <v>27.698998950000004</v>
      </c>
      <c r="I818" s="198">
        <f>IF(K818&gt;0,E818*(1-'Trading Model'!E828),IF(E818&lt;I817,I817*(1-'Trading Model'!$E$14),I817))</f>
        <v>9.9545876575278029</v>
      </c>
      <c r="J818" s="198">
        <f t="shared" si="103"/>
        <v>0</v>
      </c>
      <c r="K818" s="198">
        <f t="shared" si="98"/>
        <v>0</v>
      </c>
      <c r="L818" s="198">
        <f>COUNTIF(J818:K818,"&lt;&gt;0")*-'Trading Model'!$E$15</f>
        <v>0</v>
      </c>
      <c r="M818" s="198">
        <f t="shared" si="96"/>
        <v>0</v>
      </c>
      <c r="N818" s="75">
        <f t="shared" si="99"/>
        <v>43</v>
      </c>
      <c r="O818" s="202">
        <f t="shared" si="100"/>
        <v>0</v>
      </c>
      <c r="P818" s="199">
        <f t="shared" si="97"/>
        <v>0</v>
      </c>
      <c r="Q818" s="203">
        <f t="shared" si="101"/>
        <v>59.600000000001984</v>
      </c>
      <c r="R818" s="160" t="s">
        <v>55</v>
      </c>
      <c r="S818" s="201">
        <f t="shared" si="102"/>
        <v>-2.1739130434782594E-2</v>
      </c>
    </row>
    <row r="819" spans="1:19">
      <c r="A819" s="196">
        <v>41152</v>
      </c>
      <c r="B819" s="122">
        <v>11.3</v>
      </c>
      <c r="C819" s="122">
        <v>11.4</v>
      </c>
      <c r="D819" s="122">
        <v>11.13</v>
      </c>
      <c r="E819" s="122">
        <v>11.16</v>
      </c>
      <c r="F819" s="122">
        <v>8.390269</v>
      </c>
      <c r="G819" s="197">
        <v>116700</v>
      </c>
      <c r="H819" s="198">
        <f>IF(AND(E818&gt;=H818,E819&gt;=E818),E818*(1+'Trading Model'!$E$13),IF(AND(E819&lt;E818,E818&gt;=H818),E819*(1+'Trading Model'!$E$13),H818))</f>
        <v>27.698998950000004</v>
      </c>
      <c r="I819" s="198">
        <f>IF(K819&gt;0,E819*(1-'Trading Model'!E829),IF(E819&lt;I818,I818*(1-'Trading Model'!$E$14),I818))</f>
        <v>9.9545876575278029</v>
      </c>
      <c r="J819" s="198">
        <f t="shared" si="103"/>
        <v>0</v>
      </c>
      <c r="K819" s="198">
        <f t="shared" si="98"/>
        <v>0</v>
      </c>
      <c r="L819" s="198">
        <f>COUNTIF(J819:K819,"&lt;&gt;0")*-'Trading Model'!$E$15</f>
        <v>0</v>
      </c>
      <c r="M819" s="198">
        <f t="shared" si="96"/>
        <v>0</v>
      </c>
      <c r="N819" s="75">
        <f t="shared" si="99"/>
        <v>43</v>
      </c>
      <c r="O819" s="202">
        <f t="shared" si="100"/>
        <v>0</v>
      </c>
      <c r="P819" s="199">
        <f t="shared" si="97"/>
        <v>0</v>
      </c>
      <c r="Q819" s="203">
        <f t="shared" si="101"/>
        <v>59.500000000001982</v>
      </c>
      <c r="R819" s="203" t="s">
        <v>55</v>
      </c>
      <c r="S819" s="201">
        <f t="shared" si="102"/>
        <v>-8.0000000000000071E-3</v>
      </c>
    </row>
    <row r="820" spans="1:19">
      <c r="A820" s="196">
        <v>41156</v>
      </c>
      <c r="B820" s="122">
        <v>11.27</v>
      </c>
      <c r="C820" s="122">
        <v>11.37</v>
      </c>
      <c r="D820" s="122">
        <v>10.8</v>
      </c>
      <c r="E820" s="122">
        <v>10.95</v>
      </c>
      <c r="F820" s="122">
        <v>8.2323889999999995</v>
      </c>
      <c r="G820" s="197">
        <v>221900</v>
      </c>
      <c r="H820" s="198">
        <f>IF(AND(E819&gt;=H819,E820&gt;=E819),E819*(1+'Trading Model'!$E$13),IF(AND(E820&lt;E819,E819&gt;=H819),E820*(1+'Trading Model'!$E$13),H819))</f>
        <v>27.698998950000004</v>
      </c>
      <c r="I820" s="198">
        <f>IF(K820&gt;0,E820*(1-'Trading Model'!E830),IF(E820&lt;I819,I819*(1-'Trading Model'!$E$14),I819))</f>
        <v>9.9545876575278029</v>
      </c>
      <c r="J820" s="198">
        <f t="shared" si="103"/>
        <v>0</v>
      </c>
      <c r="K820" s="198">
        <f t="shared" si="98"/>
        <v>0</v>
      </c>
      <c r="L820" s="198">
        <f>COUNTIF(J820:K820,"&lt;&gt;0")*-'Trading Model'!$E$15</f>
        <v>0</v>
      </c>
      <c r="M820" s="198">
        <f t="shared" si="96"/>
        <v>0</v>
      </c>
      <c r="N820" s="75">
        <f t="shared" si="99"/>
        <v>43</v>
      </c>
      <c r="O820" s="202">
        <f t="shared" si="100"/>
        <v>0</v>
      </c>
      <c r="P820" s="199">
        <f t="shared" si="97"/>
        <v>0</v>
      </c>
      <c r="Q820" s="203">
        <f t="shared" si="101"/>
        <v>59.400000000001981</v>
      </c>
      <c r="R820" s="203" t="s">
        <v>55</v>
      </c>
      <c r="S820" s="201">
        <f t="shared" si="102"/>
        <v>-1.8817204301075363E-2</v>
      </c>
    </row>
    <row r="821" spans="1:19">
      <c r="A821" s="196">
        <v>41157</v>
      </c>
      <c r="B821" s="122">
        <v>10.93</v>
      </c>
      <c r="C821" s="122">
        <v>10.94</v>
      </c>
      <c r="D821" s="122">
        <v>10.66</v>
      </c>
      <c r="E821" s="122">
        <v>10.79</v>
      </c>
      <c r="F821" s="122">
        <v>8.1120979999999996</v>
      </c>
      <c r="G821" s="197">
        <v>233900</v>
      </c>
      <c r="H821" s="198">
        <f>IF(AND(E820&gt;=H820,E821&gt;=E820),E820*(1+'Trading Model'!$E$13),IF(AND(E821&lt;E820,E820&gt;=H820),E821*(1+'Trading Model'!$E$13),H820))</f>
        <v>27.698998950000004</v>
      </c>
      <c r="I821" s="198">
        <f>IF(K821&gt;0,E821*(1-'Trading Model'!E831),IF(E821&lt;I820,I820*(1-'Trading Model'!$E$14),I820))</f>
        <v>9.9545876575278029</v>
      </c>
      <c r="J821" s="198">
        <f t="shared" si="103"/>
        <v>0</v>
      </c>
      <c r="K821" s="198">
        <f t="shared" si="98"/>
        <v>0</v>
      </c>
      <c r="L821" s="198">
        <f>COUNTIF(J821:K821,"&lt;&gt;0")*-'Trading Model'!$E$15</f>
        <v>0</v>
      </c>
      <c r="M821" s="198">
        <f t="shared" si="96"/>
        <v>0</v>
      </c>
      <c r="N821" s="75">
        <f t="shared" si="99"/>
        <v>43</v>
      </c>
      <c r="O821" s="202">
        <f t="shared" si="100"/>
        <v>0</v>
      </c>
      <c r="P821" s="199">
        <f t="shared" si="97"/>
        <v>0</v>
      </c>
      <c r="Q821" s="203">
        <f t="shared" si="101"/>
        <v>59.30000000000198</v>
      </c>
      <c r="R821" s="203" t="s">
        <v>55</v>
      </c>
      <c r="S821" s="201">
        <f t="shared" si="102"/>
        <v>-1.4611872146118698E-2</v>
      </c>
    </row>
    <row r="822" spans="1:19">
      <c r="A822" s="196">
        <v>41158</v>
      </c>
      <c r="B822" s="122">
        <v>10.73</v>
      </c>
      <c r="C822" s="122">
        <v>10.77</v>
      </c>
      <c r="D822" s="122">
        <v>10.08</v>
      </c>
      <c r="E822" s="122">
        <v>10.19</v>
      </c>
      <c r="F822" s="122">
        <v>7.6610079999999998</v>
      </c>
      <c r="G822" s="197">
        <v>740000</v>
      </c>
      <c r="H822" s="198">
        <f>IF(AND(E821&gt;=H821,E822&gt;=E821),E821*(1+'Trading Model'!$E$13),IF(AND(E822&lt;E821,E821&gt;=H821),E822*(1+'Trading Model'!$E$13),H821))</f>
        <v>27.698998950000004</v>
      </c>
      <c r="I822" s="198">
        <f>IF(K822&gt;0,E822*(1-'Trading Model'!E832),IF(E822&lt;I821,I821*(1-'Trading Model'!$E$14),I821))</f>
        <v>9.9545876575278029</v>
      </c>
      <c r="J822" s="198">
        <f t="shared" si="103"/>
        <v>0</v>
      </c>
      <c r="K822" s="198">
        <f t="shared" si="98"/>
        <v>0</v>
      </c>
      <c r="L822" s="198">
        <f>COUNTIF(J822:K822,"&lt;&gt;0")*-'Trading Model'!$E$15</f>
        <v>0</v>
      </c>
      <c r="M822" s="198">
        <f t="shared" si="96"/>
        <v>0</v>
      </c>
      <c r="N822" s="75">
        <f t="shared" si="99"/>
        <v>43</v>
      </c>
      <c r="O822" s="202">
        <f t="shared" si="100"/>
        <v>0</v>
      </c>
      <c r="P822" s="199">
        <f t="shared" si="97"/>
        <v>0</v>
      </c>
      <c r="Q822" s="203">
        <f t="shared" si="101"/>
        <v>59.200000000001978</v>
      </c>
      <c r="R822" s="201">
        <f>E822/B818-1</f>
        <v>-0.11391304347826092</v>
      </c>
      <c r="S822" s="201">
        <f t="shared" si="102"/>
        <v>-5.5607043558850711E-2</v>
      </c>
    </row>
    <row r="823" spans="1:19">
      <c r="A823" s="196">
        <v>41159</v>
      </c>
      <c r="B823" s="122">
        <v>10.130000000000001</v>
      </c>
      <c r="C823" s="122">
        <v>10.37</v>
      </c>
      <c r="D823" s="122">
        <v>9.4600000000000009</v>
      </c>
      <c r="E823" s="122">
        <v>9.85</v>
      </c>
      <c r="F823" s="122">
        <v>7.4053909999999998</v>
      </c>
      <c r="G823" s="197">
        <v>519300</v>
      </c>
      <c r="H823" s="198">
        <f>IF(AND(E822&gt;=H822,E823&gt;=E822),E822*(1+'Trading Model'!$E$13),IF(AND(E823&lt;E822,E822&gt;=H822),E823*(1+'Trading Model'!$E$13),H822))</f>
        <v>27.698998950000004</v>
      </c>
      <c r="I823" s="198">
        <f>IF(K823&gt;0,E823*(1-'Trading Model'!E833),IF(E823&lt;I822,I822*(1-'Trading Model'!$E$14),I822))</f>
        <v>9.4568582746514132</v>
      </c>
      <c r="J823" s="198">
        <f t="shared" si="103"/>
        <v>-9.85</v>
      </c>
      <c r="K823" s="198">
        <f t="shared" si="98"/>
        <v>0</v>
      </c>
      <c r="L823" s="198">
        <f>COUNTIF(J823:K823,"&lt;&gt;0")*-'Trading Model'!$E$15</f>
        <v>-0.1</v>
      </c>
      <c r="M823" s="198">
        <f t="shared" si="96"/>
        <v>-9.9499999999999993</v>
      </c>
      <c r="N823" s="75">
        <f t="shared" si="99"/>
        <v>44</v>
      </c>
      <c r="O823" s="202">
        <f t="shared" si="100"/>
        <v>0</v>
      </c>
      <c r="P823" s="199">
        <f t="shared" si="97"/>
        <v>0</v>
      </c>
      <c r="Q823" s="203">
        <f t="shared" si="101"/>
        <v>59.100000000001977</v>
      </c>
      <c r="R823" s="160" t="s">
        <v>55</v>
      </c>
      <c r="S823" s="201">
        <f t="shared" si="102"/>
        <v>-3.3366045142296352E-2</v>
      </c>
    </row>
    <row r="824" spans="1:19">
      <c r="A824" s="196">
        <v>41162</v>
      </c>
      <c r="B824" s="122">
        <v>9.49</v>
      </c>
      <c r="C824" s="122">
        <v>9.77</v>
      </c>
      <c r="D824" s="122">
        <v>9.2200000000000006</v>
      </c>
      <c r="E824" s="122">
        <v>9.39</v>
      </c>
      <c r="F824" s="122">
        <v>7.0595559999999997</v>
      </c>
      <c r="G824" s="197">
        <v>616000</v>
      </c>
      <c r="H824" s="198">
        <f>IF(AND(E823&gt;=H823,E824&gt;=E823),E823*(1+'Trading Model'!$E$13),IF(AND(E824&lt;E823,E823&gt;=H823),E824*(1+'Trading Model'!$E$13),H823))</f>
        <v>27.698998950000004</v>
      </c>
      <c r="I824" s="198">
        <f>IF(K824&gt;0,E824*(1-'Trading Model'!E834),IF(E824&lt;I823,I823*(1-'Trading Model'!$E$14),I823))</f>
        <v>8.9840153609188427</v>
      </c>
      <c r="J824" s="198">
        <f t="shared" si="103"/>
        <v>-9.39</v>
      </c>
      <c r="K824" s="198">
        <f t="shared" si="98"/>
        <v>0</v>
      </c>
      <c r="L824" s="198">
        <f>COUNTIF(J824:K824,"&lt;&gt;0")*-'Trading Model'!$E$15</f>
        <v>-0.1</v>
      </c>
      <c r="M824" s="198">
        <f t="shared" si="96"/>
        <v>-9.49</v>
      </c>
      <c r="N824" s="75">
        <f t="shared" si="99"/>
        <v>45</v>
      </c>
      <c r="O824" s="202">
        <f t="shared" si="100"/>
        <v>0</v>
      </c>
      <c r="P824" s="199">
        <f t="shared" si="97"/>
        <v>0</v>
      </c>
      <c r="Q824" s="203">
        <f t="shared" si="101"/>
        <v>59.000000000001975</v>
      </c>
      <c r="R824" s="203" t="s">
        <v>55</v>
      </c>
      <c r="S824" s="201">
        <f t="shared" si="102"/>
        <v>-4.6700507614213072E-2</v>
      </c>
    </row>
    <row r="825" spans="1:19">
      <c r="A825" s="196">
        <v>41163</v>
      </c>
      <c r="B825" s="122">
        <v>9.2799999999999994</v>
      </c>
      <c r="C825" s="122">
        <v>9.8699999999999992</v>
      </c>
      <c r="D825" s="122">
        <v>9.19</v>
      </c>
      <c r="E825" s="122">
        <v>9.83</v>
      </c>
      <c r="F825" s="122">
        <v>7.3903559999999997</v>
      </c>
      <c r="G825" s="197">
        <v>486700</v>
      </c>
      <c r="H825" s="198">
        <f>IF(AND(E824&gt;=H824,E825&gt;=E824),E824*(1+'Trading Model'!$E$13),IF(AND(E825&lt;E824,E824&gt;=H824),E825*(1+'Trading Model'!$E$13),H824))</f>
        <v>27.698998950000004</v>
      </c>
      <c r="I825" s="198">
        <f>IF(K825&gt;0,E825*(1-'Trading Model'!E835),IF(E825&lt;I824,I824*(1-'Trading Model'!$E$14),I824))</f>
        <v>8.9840153609188427</v>
      </c>
      <c r="J825" s="198">
        <f t="shared" si="103"/>
        <v>0</v>
      </c>
      <c r="K825" s="198">
        <f t="shared" si="98"/>
        <v>0</v>
      </c>
      <c r="L825" s="198">
        <f>COUNTIF(J825:K825,"&lt;&gt;0")*-'Trading Model'!$E$15</f>
        <v>0</v>
      </c>
      <c r="M825" s="198">
        <f t="shared" si="96"/>
        <v>0</v>
      </c>
      <c r="N825" s="75">
        <f t="shared" si="99"/>
        <v>45</v>
      </c>
      <c r="O825" s="202">
        <f t="shared" si="100"/>
        <v>0</v>
      </c>
      <c r="P825" s="199">
        <f t="shared" si="97"/>
        <v>0</v>
      </c>
      <c r="Q825" s="203">
        <f t="shared" si="101"/>
        <v>59.000000000001975</v>
      </c>
      <c r="R825" s="203" t="s">
        <v>55</v>
      </c>
      <c r="S825" s="201">
        <f t="shared" si="102"/>
        <v>4.6858359957401508E-2</v>
      </c>
    </row>
    <row r="826" spans="1:19">
      <c r="A826" s="196">
        <v>41164</v>
      </c>
      <c r="B826" s="122">
        <v>9.84</v>
      </c>
      <c r="C826" s="122">
        <v>10.08</v>
      </c>
      <c r="D826" s="122">
        <v>9.7899999999999991</v>
      </c>
      <c r="E826" s="122">
        <v>10</v>
      </c>
      <c r="F826" s="122">
        <v>7.5181630000000004</v>
      </c>
      <c r="G826" s="197">
        <v>290600</v>
      </c>
      <c r="H826" s="198">
        <f>IF(AND(E825&gt;=H825,E826&gt;=E825),E825*(1+'Trading Model'!$E$13),IF(AND(E826&lt;E825,E825&gt;=H825),E826*(1+'Trading Model'!$E$13),H825))</f>
        <v>27.698998950000004</v>
      </c>
      <c r="I826" s="198">
        <f>IF(K826&gt;0,E826*(1-'Trading Model'!E836),IF(E826&lt;I825,I825*(1-'Trading Model'!$E$14),I825))</f>
        <v>8.9840153609188427</v>
      </c>
      <c r="J826" s="198">
        <f t="shared" si="103"/>
        <v>0</v>
      </c>
      <c r="K826" s="198">
        <f t="shared" si="98"/>
        <v>0</v>
      </c>
      <c r="L826" s="198">
        <f>COUNTIF(J826:K826,"&lt;&gt;0")*-'Trading Model'!$E$15</f>
        <v>0</v>
      </c>
      <c r="M826" s="198">
        <f t="shared" si="96"/>
        <v>0</v>
      </c>
      <c r="N826" s="75">
        <f t="shared" si="99"/>
        <v>45</v>
      </c>
      <c r="O826" s="202">
        <f t="shared" si="100"/>
        <v>0</v>
      </c>
      <c r="P826" s="199">
        <f t="shared" si="97"/>
        <v>0</v>
      </c>
      <c r="Q826" s="203">
        <f t="shared" si="101"/>
        <v>59.000000000001975</v>
      </c>
      <c r="R826" s="203" t="s">
        <v>55</v>
      </c>
      <c r="S826" s="201">
        <f t="shared" si="102"/>
        <v>1.7293997965412089E-2</v>
      </c>
    </row>
    <row r="827" spans="1:19">
      <c r="A827" s="196">
        <v>41165</v>
      </c>
      <c r="B827" s="122">
        <v>10</v>
      </c>
      <c r="C827" s="122">
        <v>10.37</v>
      </c>
      <c r="D827" s="122">
        <v>9.8800000000000008</v>
      </c>
      <c r="E827" s="122">
        <v>10.27</v>
      </c>
      <c r="F827" s="122">
        <v>7.7211550000000004</v>
      </c>
      <c r="G827" s="197">
        <v>294500</v>
      </c>
      <c r="H827" s="198">
        <f>IF(AND(E826&gt;=H826,E827&gt;=E826),E826*(1+'Trading Model'!$E$13),IF(AND(E827&lt;E826,E826&gt;=H826),E827*(1+'Trading Model'!$E$13),H826))</f>
        <v>27.698998950000004</v>
      </c>
      <c r="I827" s="198">
        <f>IF(K827&gt;0,E827*(1-'Trading Model'!E837),IF(E827&lt;I826,I826*(1-'Trading Model'!$E$14),I826))</f>
        <v>8.9840153609188427</v>
      </c>
      <c r="J827" s="198">
        <f t="shared" si="103"/>
        <v>0</v>
      </c>
      <c r="K827" s="198">
        <f t="shared" si="98"/>
        <v>0</v>
      </c>
      <c r="L827" s="198">
        <f>COUNTIF(J827:K827,"&lt;&gt;0")*-'Trading Model'!$E$15</f>
        <v>0</v>
      </c>
      <c r="M827" s="198">
        <f t="shared" si="96"/>
        <v>0</v>
      </c>
      <c r="N827" s="75">
        <f t="shared" si="99"/>
        <v>45</v>
      </c>
      <c r="O827" s="202">
        <f t="shared" si="100"/>
        <v>0</v>
      </c>
      <c r="P827" s="199">
        <f t="shared" si="97"/>
        <v>0</v>
      </c>
      <c r="Q827" s="203">
        <f t="shared" si="101"/>
        <v>59.000000000001975</v>
      </c>
      <c r="R827" s="201">
        <f>E827/B823-1</f>
        <v>1.382033563672258E-2</v>
      </c>
      <c r="S827" s="201">
        <f t="shared" si="102"/>
        <v>2.6999999999999913E-2</v>
      </c>
    </row>
    <row r="828" spans="1:19">
      <c r="A828" s="196">
        <v>41166</v>
      </c>
      <c r="B828" s="122">
        <v>10.29</v>
      </c>
      <c r="C828" s="122">
        <v>10.9</v>
      </c>
      <c r="D828" s="122">
        <v>10.25</v>
      </c>
      <c r="E828" s="122">
        <v>10.81</v>
      </c>
      <c r="F828" s="122">
        <v>8.1271350000000009</v>
      </c>
      <c r="G828" s="197">
        <v>298200</v>
      </c>
      <c r="H828" s="198">
        <f>IF(AND(E827&gt;=H827,E828&gt;=E827),E827*(1+'Trading Model'!$E$13),IF(AND(E828&lt;E827,E827&gt;=H827),E828*(1+'Trading Model'!$E$13),H827))</f>
        <v>27.698998950000004</v>
      </c>
      <c r="I828" s="198">
        <f>IF(K828&gt;0,E828*(1-'Trading Model'!E838),IF(E828&lt;I827,I827*(1-'Trading Model'!$E$14),I827))</f>
        <v>8.9840153609188427</v>
      </c>
      <c r="J828" s="198">
        <f t="shared" si="103"/>
        <v>0</v>
      </c>
      <c r="K828" s="198">
        <f t="shared" si="98"/>
        <v>0</v>
      </c>
      <c r="L828" s="198">
        <f>COUNTIF(J828:K828,"&lt;&gt;0")*-'Trading Model'!$E$15</f>
        <v>0</v>
      </c>
      <c r="M828" s="198">
        <f t="shared" si="96"/>
        <v>0</v>
      </c>
      <c r="N828" s="75">
        <f t="shared" si="99"/>
        <v>45</v>
      </c>
      <c r="O828" s="202">
        <f t="shared" si="100"/>
        <v>0</v>
      </c>
      <c r="P828" s="199">
        <f t="shared" si="97"/>
        <v>0</v>
      </c>
      <c r="Q828" s="203">
        <f t="shared" si="101"/>
        <v>59.000000000001975</v>
      </c>
      <c r="R828" s="160" t="s">
        <v>55</v>
      </c>
      <c r="S828" s="201">
        <f t="shared" si="102"/>
        <v>5.2580331061343744E-2</v>
      </c>
    </row>
    <row r="829" spans="1:19">
      <c r="A829" s="196">
        <v>41169</v>
      </c>
      <c r="B829" s="122">
        <v>10.83</v>
      </c>
      <c r="C829" s="122">
        <v>10.83</v>
      </c>
      <c r="D829" s="122">
        <v>10.31</v>
      </c>
      <c r="E829" s="122">
        <v>10.38</v>
      </c>
      <c r="F829" s="122">
        <v>7.8038540000000003</v>
      </c>
      <c r="G829" s="197">
        <v>180800</v>
      </c>
      <c r="H829" s="198">
        <f>IF(AND(E828&gt;=H828,E829&gt;=E828),E828*(1+'Trading Model'!$E$13),IF(AND(E829&lt;E828,E828&gt;=H828),E829*(1+'Trading Model'!$E$13),H828))</f>
        <v>27.698998950000004</v>
      </c>
      <c r="I829" s="198">
        <f>IF(K829&gt;0,E829*(1-'Trading Model'!E839),IF(E829&lt;I828,I828*(1-'Trading Model'!$E$14),I828))</f>
        <v>8.9840153609188427</v>
      </c>
      <c r="J829" s="198">
        <f t="shared" si="103"/>
        <v>0</v>
      </c>
      <c r="K829" s="198">
        <f t="shared" si="98"/>
        <v>0</v>
      </c>
      <c r="L829" s="198">
        <f>COUNTIF(J829:K829,"&lt;&gt;0")*-'Trading Model'!$E$15</f>
        <v>0</v>
      </c>
      <c r="M829" s="198">
        <f t="shared" si="96"/>
        <v>0</v>
      </c>
      <c r="N829" s="75">
        <f t="shared" si="99"/>
        <v>45</v>
      </c>
      <c r="O829" s="202">
        <f t="shared" si="100"/>
        <v>0</v>
      </c>
      <c r="P829" s="199">
        <f t="shared" si="97"/>
        <v>0</v>
      </c>
      <c r="Q829" s="203">
        <f t="shared" si="101"/>
        <v>58.900000000001974</v>
      </c>
      <c r="R829" s="203" t="s">
        <v>55</v>
      </c>
      <c r="S829" s="201">
        <f t="shared" si="102"/>
        <v>-3.9777983348751156E-2</v>
      </c>
    </row>
    <row r="830" spans="1:19">
      <c r="A830" s="196">
        <v>41170</v>
      </c>
      <c r="B830" s="122">
        <v>10.38</v>
      </c>
      <c r="C830" s="122">
        <v>10.48</v>
      </c>
      <c r="D830" s="122">
        <v>10.3</v>
      </c>
      <c r="E830" s="122">
        <v>10.35</v>
      </c>
      <c r="F830" s="122">
        <v>7.7812989999999997</v>
      </c>
      <c r="G830" s="197">
        <v>108300</v>
      </c>
      <c r="H830" s="198">
        <f>IF(AND(E829&gt;=H829,E830&gt;=E829),E829*(1+'Trading Model'!$E$13),IF(AND(E830&lt;E829,E829&gt;=H829),E830*(1+'Trading Model'!$E$13),H829))</f>
        <v>27.698998950000004</v>
      </c>
      <c r="I830" s="198">
        <f>IF(K830&gt;0,E830*(1-'Trading Model'!E840),IF(E830&lt;I829,I829*(1-'Trading Model'!$E$14),I829))</f>
        <v>8.9840153609188427</v>
      </c>
      <c r="J830" s="198">
        <f t="shared" si="103"/>
        <v>0</v>
      </c>
      <c r="K830" s="198">
        <f t="shared" si="98"/>
        <v>0</v>
      </c>
      <c r="L830" s="198">
        <f>COUNTIF(J830:K830,"&lt;&gt;0")*-'Trading Model'!$E$15</f>
        <v>0</v>
      </c>
      <c r="M830" s="198">
        <f t="shared" si="96"/>
        <v>0</v>
      </c>
      <c r="N830" s="75">
        <f t="shared" si="99"/>
        <v>45</v>
      </c>
      <c r="O830" s="202">
        <f t="shared" si="100"/>
        <v>0</v>
      </c>
      <c r="P830" s="199">
        <f t="shared" si="97"/>
        <v>0</v>
      </c>
      <c r="Q830" s="203">
        <f t="shared" si="101"/>
        <v>58.800000000001972</v>
      </c>
      <c r="R830" s="203" t="s">
        <v>55</v>
      </c>
      <c r="S830" s="201">
        <f t="shared" si="102"/>
        <v>-2.8901734104047616E-3</v>
      </c>
    </row>
    <row r="831" spans="1:19">
      <c r="A831" s="196">
        <v>41171</v>
      </c>
      <c r="B831" s="122">
        <v>10.47</v>
      </c>
      <c r="C831" s="122">
        <v>10.54</v>
      </c>
      <c r="D831" s="122">
        <v>10.31</v>
      </c>
      <c r="E831" s="122">
        <v>10.46</v>
      </c>
      <c r="F831" s="122">
        <v>7.8639989999999997</v>
      </c>
      <c r="G831" s="197">
        <v>107500</v>
      </c>
      <c r="H831" s="198">
        <f>IF(AND(E830&gt;=H830,E831&gt;=E830),E830*(1+'Trading Model'!$E$13),IF(AND(E831&lt;E830,E830&gt;=H830),E831*(1+'Trading Model'!$E$13),H830))</f>
        <v>27.698998950000004</v>
      </c>
      <c r="I831" s="198">
        <f>IF(K831&gt;0,E831*(1-'Trading Model'!E841),IF(E831&lt;I830,I830*(1-'Trading Model'!$E$14),I830))</f>
        <v>8.9840153609188427</v>
      </c>
      <c r="J831" s="198">
        <f t="shared" si="103"/>
        <v>0</v>
      </c>
      <c r="K831" s="198">
        <f t="shared" si="98"/>
        <v>0</v>
      </c>
      <c r="L831" s="198">
        <f>COUNTIF(J831:K831,"&lt;&gt;0")*-'Trading Model'!$E$15</f>
        <v>0</v>
      </c>
      <c r="M831" s="198">
        <f t="shared" si="96"/>
        <v>0</v>
      </c>
      <c r="N831" s="75">
        <f t="shared" si="99"/>
        <v>45</v>
      </c>
      <c r="O831" s="202">
        <f t="shared" si="100"/>
        <v>0</v>
      </c>
      <c r="P831" s="199">
        <f t="shared" si="97"/>
        <v>0</v>
      </c>
      <c r="Q831" s="203">
        <f t="shared" si="101"/>
        <v>58.800000000001972</v>
      </c>
      <c r="R831" s="203" t="s">
        <v>55</v>
      </c>
      <c r="S831" s="201">
        <f t="shared" si="102"/>
        <v>1.0628019323671634E-2</v>
      </c>
    </row>
    <row r="832" spans="1:19">
      <c r="A832" s="196">
        <v>41172</v>
      </c>
      <c r="B832" s="122">
        <v>10.51</v>
      </c>
      <c r="C832" s="122">
        <v>10.6</v>
      </c>
      <c r="D832" s="122">
        <v>10.35</v>
      </c>
      <c r="E832" s="122">
        <v>10.46</v>
      </c>
      <c r="F832" s="122">
        <v>7.8639989999999997</v>
      </c>
      <c r="G832" s="197">
        <v>131600</v>
      </c>
      <c r="H832" s="198">
        <f>IF(AND(E831&gt;=H831,E832&gt;=E831),E831*(1+'Trading Model'!$E$13),IF(AND(E832&lt;E831,E831&gt;=H831),E832*(1+'Trading Model'!$E$13),H831))</f>
        <v>27.698998950000004</v>
      </c>
      <c r="I832" s="198">
        <f>IF(K832&gt;0,E832*(1-'Trading Model'!E842),IF(E832&lt;I831,I831*(1-'Trading Model'!$E$14),I831))</f>
        <v>8.9840153609188427</v>
      </c>
      <c r="J832" s="198">
        <f t="shared" si="103"/>
        <v>0</v>
      </c>
      <c r="K832" s="198">
        <f t="shared" si="98"/>
        <v>0</v>
      </c>
      <c r="L832" s="198">
        <f>COUNTIF(J832:K832,"&lt;&gt;0")*-'Trading Model'!$E$15</f>
        <v>0</v>
      </c>
      <c r="M832" s="198">
        <f t="shared" si="96"/>
        <v>0</v>
      </c>
      <c r="N832" s="75">
        <f t="shared" si="99"/>
        <v>45</v>
      </c>
      <c r="O832" s="202">
        <f t="shared" si="100"/>
        <v>0</v>
      </c>
      <c r="P832" s="199">
        <f t="shared" si="97"/>
        <v>0</v>
      </c>
      <c r="Q832" s="203">
        <f t="shared" si="101"/>
        <v>58.800000000001972</v>
      </c>
      <c r="R832" s="201">
        <f>E832/B828-1</f>
        <v>1.6520894071914594E-2</v>
      </c>
      <c r="S832" s="201">
        <f t="shared" si="102"/>
        <v>0</v>
      </c>
    </row>
    <row r="833" spans="1:19">
      <c r="A833" s="196">
        <v>41173</v>
      </c>
      <c r="B833" s="122">
        <v>10.42</v>
      </c>
      <c r="C833" s="122">
        <v>10.6</v>
      </c>
      <c r="D833" s="122">
        <v>10.41</v>
      </c>
      <c r="E833" s="122">
        <v>10.54</v>
      </c>
      <c r="F833" s="122">
        <v>7.9241450000000002</v>
      </c>
      <c r="G833" s="197">
        <v>170500</v>
      </c>
      <c r="H833" s="198">
        <f>IF(AND(E832&gt;=H832,E833&gt;=E832),E832*(1+'Trading Model'!$E$13),IF(AND(E833&lt;E832,E832&gt;=H832),E833*(1+'Trading Model'!$E$13),H832))</f>
        <v>27.698998950000004</v>
      </c>
      <c r="I833" s="198">
        <f>IF(K833&gt;0,E833*(1-'Trading Model'!E843),IF(E833&lt;I832,I832*(1-'Trading Model'!$E$14),I832))</f>
        <v>8.9840153609188427</v>
      </c>
      <c r="J833" s="198">
        <f t="shared" si="103"/>
        <v>0</v>
      </c>
      <c r="K833" s="198">
        <f t="shared" si="98"/>
        <v>0</v>
      </c>
      <c r="L833" s="198">
        <f>COUNTIF(J833:K833,"&lt;&gt;0")*-'Trading Model'!$E$15</f>
        <v>0</v>
      </c>
      <c r="M833" s="198">
        <f t="shared" si="96"/>
        <v>0</v>
      </c>
      <c r="N833" s="75">
        <f t="shared" si="99"/>
        <v>45</v>
      </c>
      <c r="O833" s="202">
        <f t="shared" si="100"/>
        <v>0</v>
      </c>
      <c r="P833" s="199">
        <f t="shared" si="97"/>
        <v>0</v>
      </c>
      <c r="Q833" s="203">
        <f t="shared" si="101"/>
        <v>58.800000000001972</v>
      </c>
      <c r="R833" s="160" t="s">
        <v>55</v>
      </c>
      <c r="S833" s="201">
        <f t="shared" si="102"/>
        <v>7.6481835564052858E-3</v>
      </c>
    </row>
    <row r="834" spans="1:19">
      <c r="A834" s="196">
        <v>41176</v>
      </c>
      <c r="B834" s="122">
        <v>10.73</v>
      </c>
      <c r="C834" s="122">
        <v>10.88</v>
      </c>
      <c r="D834" s="122">
        <v>10.54</v>
      </c>
      <c r="E834" s="122">
        <v>10.87</v>
      </c>
      <c r="F834" s="122">
        <v>8.1722429999999999</v>
      </c>
      <c r="G834" s="197">
        <v>197400</v>
      </c>
      <c r="H834" s="198">
        <f>IF(AND(E833&gt;=H833,E834&gt;=E833),E833*(1+'Trading Model'!$E$13),IF(AND(E834&lt;E833,E833&gt;=H833),E834*(1+'Trading Model'!$E$13),H833))</f>
        <v>27.698998950000004</v>
      </c>
      <c r="I834" s="198">
        <f>IF(K834&gt;0,E834*(1-'Trading Model'!E844),IF(E834&lt;I833,I833*(1-'Trading Model'!$E$14),I833))</f>
        <v>8.9840153609188427</v>
      </c>
      <c r="J834" s="198">
        <f t="shared" si="103"/>
        <v>0</v>
      </c>
      <c r="K834" s="198">
        <f t="shared" si="98"/>
        <v>0</v>
      </c>
      <c r="L834" s="198">
        <f>COUNTIF(J834:K834,"&lt;&gt;0")*-'Trading Model'!$E$15</f>
        <v>0</v>
      </c>
      <c r="M834" s="198">
        <f t="shared" si="96"/>
        <v>0</v>
      </c>
      <c r="N834" s="75">
        <f t="shared" si="99"/>
        <v>45</v>
      </c>
      <c r="O834" s="202">
        <f t="shared" si="100"/>
        <v>0</v>
      </c>
      <c r="P834" s="199">
        <f t="shared" si="97"/>
        <v>0</v>
      </c>
      <c r="Q834" s="203">
        <f t="shared" si="101"/>
        <v>58.800000000001972</v>
      </c>
      <c r="R834" s="203" t="s">
        <v>55</v>
      </c>
      <c r="S834" s="201">
        <f t="shared" si="102"/>
        <v>3.1309297912713419E-2</v>
      </c>
    </row>
    <row r="835" spans="1:19">
      <c r="A835" s="196">
        <v>41177</v>
      </c>
      <c r="B835" s="122">
        <v>11</v>
      </c>
      <c r="C835" s="122">
        <v>11.03</v>
      </c>
      <c r="D835" s="122">
        <v>10.28</v>
      </c>
      <c r="E835" s="122">
        <v>10.3</v>
      </c>
      <c r="F835" s="122">
        <v>7.7437079999999998</v>
      </c>
      <c r="G835" s="197">
        <v>178300</v>
      </c>
      <c r="H835" s="198">
        <f>IF(AND(E834&gt;=H834,E835&gt;=E834),E834*(1+'Trading Model'!$E$13),IF(AND(E835&lt;E834,E834&gt;=H834),E835*(1+'Trading Model'!$E$13),H834))</f>
        <v>27.698998950000004</v>
      </c>
      <c r="I835" s="198">
        <f>IF(K835&gt;0,E835*(1-'Trading Model'!E845),IF(E835&lt;I834,I834*(1-'Trading Model'!$E$14),I834))</f>
        <v>8.9840153609188427</v>
      </c>
      <c r="J835" s="198">
        <f t="shared" si="103"/>
        <v>0</v>
      </c>
      <c r="K835" s="198">
        <f t="shared" si="98"/>
        <v>0</v>
      </c>
      <c r="L835" s="198">
        <f>COUNTIF(J835:K835,"&lt;&gt;0")*-'Trading Model'!$E$15</f>
        <v>0</v>
      </c>
      <c r="M835" s="198">
        <f t="shared" ref="M835:M898" si="104">SUM(J835:L835)</f>
        <v>0</v>
      </c>
      <c r="N835" s="75">
        <f t="shared" si="99"/>
        <v>45</v>
      </c>
      <c r="O835" s="202">
        <f t="shared" si="100"/>
        <v>0</v>
      </c>
      <c r="P835" s="199">
        <f t="shared" ref="P835:P898" si="105">IFERROR(VLOOKUP(A835,Dividends,2,FALSE),$U$1)</f>
        <v>0</v>
      </c>
      <c r="Q835" s="203">
        <f t="shared" si="101"/>
        <v>58.700000000001971</v>
      </c>
      <c r="R835" s="203" t="s">
        <v>55</v>
      </c>
      <c r="S835" s="201">
        <f t="shared" si="102"/>
        <v>-5.2437902483900456E-2</v>
      </c>
    </row>
    <row r="836" spans="1:19">
      <c r="A836" s="196">
        <v>41178</v>
      </c>
      <c r="B836" s="122">
        <v>10.25</v>
      </c>
      <c r="C836" s="122">
        <v>10.39</v>
      </c>
      <c r="D836" s="122">
        <v>10.07</v>
      </c>
      <c r="E836" s="122">
        <v>10.25</v>
      </c>
      <c r="F836" s="122">
        <v>7.7061159999999997</v>
      </c>
      <c r="G836" s="197">
        <v>137300</v>
      </c>
      <c r="H836" s="198">
        <f>IF(AND(E835&gt;=H835,E836&gt;=E835),E835*(1+'Trading Model'!$E$13),IF(AND(E836&lt;E835,E835&gt;=H835),E836*(1+'Trading Model'!$E$13),H835))</f>
        <v>27.698998950000004</v>
      </c>
      <c r="I836" s="198">
        <f>IF(K836&gt;0,E836*(1-'Trading Model'!E846),IF(E836&lt;I835,I835*(1-'Trading Model'!$E$14),I835))</f>
        <v>8.9840153609188427</v>
      </c>
      <c r="J836" s="198">
        <f t="shared" si="103"/>
        <v>0</v>
      </c>
      <c r="K836" s="198">
        <f t="shared" ref="K836:K899" si="106">IF(E836&gt;=H836,E836,0)</f>
        <v>0</v>
      </c>
      <c r="L836" s="198">
        <f>COUNTIF(J836:K836,"&lt;&gt;0")*-'Trading Model'!$E$15</f>
        <v>0</v>
      </c>
      <c r="M836" s="198">
        <f t="shared" si="104"/>
        <v>0</v>
      </c>
      <c r="N836" s="75">
        <f t="shared" ref="N836:N899" si="107">IF(AND(J836&lt;0,K836&gt;0),N835,(IF(J836&lt;0,N835+1,IF(K836&gt;0,N835+1,N835))))</f>
        <v>45</v>
      </c>
      <c r="O836" s="202">
        <f t="shared" ref="O836:O899" si="108">P836</f>
        <v>0</v>
      </c>
      <c r="P836" s="199">
        <f t="shared" si="105"/>
        <v>0</v>
      </c>
      <c r="Q836" s="203">
        <f t="shared" ref="Q836:Q899" si="109">IF(E836&lt;E835,Q835-0.1,Q835)</f>
        <v>58.60000000000197</v>
      </c>
      <c r="R836" s="203" t="s">
        <v>55</v>
      </c>
      <c r="S836" s="201">
        <f t="shared" ref="S836:S899" si="110">E836/E835-1</f>
        <v>-4.8543689320389438E-3</v>
      </c>
    </row>
    <row r="837" spans="1:19">
      <c r="A837" s="196">
        <v>41179</v>
      </c>
      <c r="B837" s="122">
        <v>10.27</v>
      </c>
      <c r="C837" s="122">
        <v>10.35</v>
      </c>
      <c r="D837" s="122">
        <v>10.09</v>
      </c>
      <c r="E837" s="122">
        <v>10.220000000000001</v>
      </c>
      <c r="F837" s="122">
        <v>7.6835639999999996</v>
      </c>
      <c r="G837" s="197">
        <v>114400</v>
      </c>
      <c r="H837" s="198">
        <f>IF(AND(E836&gt;=H836,E837&gt;=E836),E836*(1+'Trading Model'!$E$13),IF(AND(E837&lt;E836,E836&gt;=H836),E837*(1+'Trading Model'!$E$13),H836))</f>
        <v>27.698998950000004</v>
      </c>
      <c r="I837" s="198">
        <f>IF(K837&gt;0,E837*(1-'Trading Model'!E847),IF(E837&lt;I836,I836*(1-'Trading Model'!$E$14),I836))</f>
        <v>8.9840153609188427</v>
      </c>
      <c r="J837" s="198">
        <f t="shared" ref="J837:J900" si="111">IF(E837&gt;=H837,-E837,IF(E837&lt;=I836,-E837,0))</f>
        <v>0</v>
      </c>
      <c r="K837" s="198">
        <f t="shared" si="106"/>
        <v>0</v>
      </c>
      <c r="L837" s="198">
        <f>COUNTIF(J837:K837,"&lt;&gt;0")*-'Trading Model'!$E$15</f>
        <v>0</v>
      </c>
      <c r="M837" s="198">
        <f t="shared" si="104"/>
        <v>0</v>
      </c>
      <c r="N837" s="75">
        <f t="shared" si="107"/>
        <v>45</v>
      </c>
      <c r="O837" s="202">
        <f t="shared" si="108"/>
        <v>0</v>
      </c>
      <c r="P837" s="199">
        <f t="shared" si="105"/>
        <v>0</v>
      </c>
      <c r="Q837" s="203">
        <f t="shared" si="109"/>
        <v>58.500000000001968</v>
      </c>
      <c r="R837" s="201">
        <f>E837/B833-1</f>
        <v>-1.9193857965451033E-2</v>
      </c>
      <c r="S837" s="201">
        <f t="shared" si="110"/>
        <v>-2.9268292682925745E-3</v>
      </c>
    </row>
    <row r="838" spans="1:19">
      <c r="A838" s="196">
        <v>41180</v>
      </c>
      <c r="B838" s="122">
        <v>10.16</v>
      </c>
      <c r="C838" s="122">
        <v>10.3</v>
      </c>
      <c r="D838" s="122">
        <v>9.9700000000000006</v>
      </c>
      <c r="E838" s="122">
        <v>10.01</v>
      </c>
      <c r="F838" s="122">
        <v>7.5256819999999998</v>
      </c>
      <c r="G838" s="197">
        <v>435700</v>
      </c>
      <c r="H838" s="198">
        <f>IF(AND(E837&gt;=H837,E838&gt;=E837),E837*(1+'Trading Model'!$E$13),IF(AND(E838&lt;E837,E837&gt;=H837),E838*(1+'Trading Model'!$E$13),H837))</f>
        <v>27.698998950000004</v>
      </c>
      <c r="I838" s="198">
        <f>IF(K838&gt;0,E838*(1-'Trading Model'!E848),IF(E838&lt;I837,I837*(1-'Trading Model'!$E$14),I837))</f>
        <v>8.9840153609188427</v>
      </c>
      <c r="J838" s="198">
        <f t="shared" si="111"/>
        <v>0</v>
      </c>
      <c r="K838" s="198">
        <f t="shared" si="106"/>
        <v>0</v>
      </c>
      <c r="L838" s="198">
        <f>COUNTIF(J838:K838,"&lt;&gt;0")*-'Trading Model'!$E$15</f>
        <v>0</v>
      </c>
      <c r="M838" s="198">
        <f t="shared" si="104"/>
        <v>0</v>
      </c>
      <c r="N838" s="75">
        <f t="shared" si="107"/>
        <v>45</v>
      </c>
      <c r="O838" s="202">
        <f t="shared" si="108"/>
        <v>0</v>
      </c>
      <c r="P838" s="199">
        <f t="shared" si="105"/>
        <v>0</v>
      </c>
      <c r="Q838" s="203">
        <f t="shared" si="109"/>
        <v>58.400000000001967</v>
      </c>
      <c r="R838" s="160" t="s">
        <v>55</v>
      </c>
      <c r="S838" s="201">
        <f t="shared" si="110"/>
        <v>-2.0547945205479534E-2</v>
      </c>
    </row>
    <row r="839" spans="1:19">
      <c r="A839" s="196">
        <v>41183</v>
      </c>
      <c r="B839" s="122">
        <v>10.1</v>
      </c>
      <c r="C839" s="122">
        <v>10.36</v>
      </c>
      <c r="D839" s="122">
        <v>10.1</v>
      </c>
      <c r="E839" s="122">
        <v>10.36</v>
      </c>
      <c r="F839" s="122">
        <v>7.788818</v>
      </c>
      <c r="G839" s="197">
        <v>117600</v>
      </c>
      <c r="H839" s="198">
        <f>IF(AND(E838&gt;=H838,E839&gt;=E838),E838*(1+'Trading Model'!$E$13),IF(AND(E839&lt;E838,E838&gt;=H838),E839*(1+'Trading Model'!$E$13),H838))</f>
        <v>27.698998950000004</v>
      </c>
      <c r="I839" s="198">
        <f>IF(K839&gt;0,E839*(1-'Trading Model'!E849),IF(E839&lt;I838,I838*(1-'Trading Model'!$E$14),I838))</f>
        <v>8.9840153609188427</v>
      </c>
      <c r="J839" s="198">
        <f t="shared" si="111"/>
        <v>0</v>
      </c>
      <c r="K839" s="198">
        <f t="shared" si="106"/>
        <v>0</v>
      </c>
      <c r="L839" s="198">
        <f>COUNTIF(J839:K839,"&lt;&gt;0")*-'Trading Model'!$E$15</f>
        <v>0</v>
      </c>
      <c r="M839" s="198">
        <f t="shared" si="104"/>
        <v>0</v>
      </c>
      <c r="N839" s="75">
        <f t="shared" si="107"/>
        <v>45</v>
      </c>
      <c r="O839" s="202">
        <f t="shared" si="108"/>
        <v>0</v>
      </c>
      <c r="P839" s="199">
        <f t="shared" si="105"/>
        <v>0</v>
      </c>
      <c r="Q839" s="203">
        <f t="shared" si="109"/>
        <v>58.400000000001967</v>
      </c>
      <c r="R839" s="203" t="s">
        <v>55</v>
      </c>
      <c r="S839" s="201">
        <f t="shared" si="110"/>
        <v>3.4965034965035002E-2</v>
      </c>
    </row>
    <row r="840" spans="1:19">
      <c r="A840" s="196">
        <v>41184</v>
      </c>
      <c r="B840" s="122">
        <v>10.39</v>
      </c>
      <c r="C840" s="122">
        <v>10.47</v>
      </c>
      <c r="D840" s="122">
        <v>10.220000000000001</v>
      </c>
      <c r="E840" s="122">
        <v>10.41</v>
      </c>
      <c r="F840" s="122">
        <v>7.8264069999999997</v>
      </c>
      <c r="G840" s="197">
        <v>111400</v>
      </c>
      <c r="H840" s="198">
        <f>IF(AND(E839&gt;=H839,E840&gt;=E839),E839*(1+'Trading Model'!$E$13),IF(AND(E840&lt;E839,E839&gt;=H839),E840*(1+'Trading Model'!$E$13),H839))</f>
        <v>27.698998950000004</v>
      </c>
      <c r="I840" s="198">
        <f>IF(K840&gt;0,E840*(1-'Trading Model'!E850),IF(E840&lt;I839,I839*(1-'Trading Model'!$E$14),I839))</f>
        <v>8.9840153609188427</v>
      </c>
      <c r="J840" s="198">
        <f t="shared" si="111"/>
        <v>0</v>
      </c>
      <c r="K840" s="198">
        <f t="shared" si="106"/>
        <v>0</v>
      </c>
      <c r="L840" s="198">
        <f>COUNTIF(J840:K840,"&lt;&gt;0")*-'Trading Model'!$E$15</f>
        <v>0</v>
      </c>
      <c r="M840" s="198">
        <f t="shared" si="104"/>
        <v>0</v>
      </c>
      <c r="N840" s="75">
        <f t="shared" si="107"/>
        <v>45</v>
      </c>
      <c r="O840" s="202">
        <f t="shared" si="108"/>
        <v>0</v>
      </c>
      <c r="P840" s="199">
        <f t="shared" si="105"/>
        <v>0</v>
      </c>
      <c r="Q840" s="203">
        <f t="shared" si="109"/>
        <v>58.400000000001967</v>
      </c>
      <c r="R840" s="203" t="s">
        <v>55</v>
      </c>
      <c r="S840" s="201">
        <f t="shared" si="110"/>
        <v>4.8262548262549831E-3</v>
      </c>
    </row>
    <row r="841" spans="1:19">
      <c r="A841" s="196">
        <v>41185</v>
      </c>
      <c r="B841" s="122">
        <v>10.46</v>
      </c>
      <c r="C841" s="122">
        <v>10.58</v>
      </c>
      <c r="D841" s="122">
        <v>10.26</v>
      </c>
      <c r="E841" s="122">
        <v>10.55</v>
      </c>
      <c r="F841" s="122">
        <v>7.9316620000000002</v>
      </c>
      <c r="G841" s="197">
        <v>125500</v>
      </c>
      <c r="H841" s="198">
        <f>IF(AND(E840&gt;=H840,E841&gt;=E840),E840*(1+'Trading Model'!$E$13),IF(AND(E841&lt;E840,E840&gt;=H840),E841*(1+'Trading Model'!$E$13),H840))</f>
        <v>27.698998950000004</v>
      </c>
      <c r="I841" s="198">
        <f>IF(K841&gt;0,E841*(1-'Trading Model'!E851),IF(E841&lt;I840,I840*(1-'Trading Model'!$E$14),I840))</f>
        <v>8.9840153609188427</v>
      </c>
      <c r="J841" s="198">
        <f t="shared" si="111"/>
        <v>0</v>
      </c>
      <c r="K841" s="198">
        <f t="shared" si="106"/>
        <v>0</v>
      </c>
      <c r="L841" s="198">
        <f>COUNTIF(J841:K841,"&lt;&gt;0")*-'Trading Model'!$E$15</f>
        <v>0</v>
      </c>
      <c r="M841" s="198">
        <f t="shared" si="104"/>
        <v>0</v>
      </c>
      <c r="N841" s="75">
        <f t="shared" si="107"/>
        <v>45</v>
      </c>
      <c r="O841" s="202">
        <f t="shared" si="108"/>
        <v>0</v>
      </c>
      <c r="P841" s="199">
        <f t="shared" si="105"/>
        <v>0</v>
      </c>
      <c r="Q841" s="203">
        <f t="shared" si="109"/>
        <v>58.400000000001967</v>
      </c>
      <c r="R841" s="203" t="s">
        <v>55</v>
      </c>
      <c r="S841" s="201">
        <f t="shared" si="110"/>
        <v>1.344860710854956E-2</v>
      </c>
    </row>
    <row r="842" spans="1:19">
      <c r="A842" s="196">
        <v>41186</v>
      </c>
      <c r="B842" s="122">
        <v>10.56</v>
      </c>
      <c r="C842" s="122">
        <v>10.61</v>
      </c>
      <c r="D842" s="122">
        <v>10.29</v>
      </c>
      <c r="E842" s="122">
        <v>10.53</v>
      </c>
      <c r="F842" s="122">
        <v>7.9166259999999999</v>
      </c>
      <c r="G842" s="197">
        <v>130000</v>
      </c>
      <c r="H842" s="198">
        <f>IF(AND(E841&gt;=H841,E842&gt;=E841),E841*(1+'Trading Model'!$E$13),IF(AND(E842&lt;E841,E841&gt;=H841),E842*(1+'Trading Model'!$E$13),H841))</f>
        <v>27.698998950000004</v>
      </c>
      <c r="I842" s="198">
        <f>IF(K842&gt;0,E842*(1-'Trading Model'!E852),IF(E842&lt;I841,I841*(1-'Trading Model'!$E$14),I841))</f>
        <v>8.9840153609188427</v>
      </c>
      <c r="J842" s="198">
        <f t="shared" si="111"/>
        <v>0</v>
      </c>
      <c r="K842" s="198">
        <f t="shared" si="106"/>
        <v>0</v>
      </c>
      <c r="L842" s="198">
        <f>COUNTIF(J842:K842,"&lt;&gt;0")*-'Trading Model'!$E$15</f>
        <v>0</v>
      </c>
      <c r="M842" s="198">
        <f t="shared" si="104"/>
        <v>0</v>
      </c>
      <c r="N842" s="75">
        <f t="shared" si="107"/>
        <v>45</v>
      </c>
      <c r="O842" s="202">
        <f t="shared" si="108"/>
        <v>0</v>
      </c>
      <c r="P842" s="199">
        <f t="shared" si="105"/>
        <v>0</v>
      </c>
      <c r="Q842" s="203">
        <f t="shared" si="109"/>
        <v>58.300000000001965</v>
      </c>
      <c r="R842" s="201">
        <f>E842/B838-1</f>
        <v>3.6417322834645605E-2</v>
      </c>
      <c r="S842" s="201">
        <f t="shared" si="110"/>
        <v>-1.8957345971565287E-3</v>
      </c>
    </row>
    <row r="843" spans="1:19">
      <c r="A843" s="196">
        <v>41187</v>
      </c>
      <c r="B843" s="122">
        <v>10.61</v>
      </c>
      <c r="C843" s="122">
        <v>10.81</v>
      </c>
      <c r="D843" s="122">
        <v>10.51</v>
      </c>
      <c r="E843" s="122">
        <v>10.69</v>
      </c>
      <c r="F843" s="122">
        <v>8.0369159999999997</v>
      </c>
      <c r="G843" s="197">
        <v>96700</v>
      </c>
      <c r="H843" s="198">
        <f>IF(AND(E842&gt;=H842,E843&gt;=E842),E842*(1+'Trading Model'!$E$13),IF(AND(E843&lt;E842,E842&gt;=H842),E843*(1+'Trading Model'!$E$13),H842))</f>
        <v>27.698998950000004</v>
      </c>
      <c r="I843" s="198">
        <f>IF(K843&gt;0,E843*(1-'Trading Model'!E853),IF(E843&lt;I842,I842*(1-'Trading Model'!$E$14),I842))</f>
        <v>8.9840153609188427</v>
      </c>
      <c r="J843" s="198">
        <f t="shared" si="111"/>
        <v>0</v>
      </c>
      <c r="K843" s="198">
        <f t="shared" si="106"/>
        <v>0</v>
      </c>
      <c r="L843" s="198">
        <f>COUNTIF(J843:K843,"&lt;&gt;0")*-'Trading Model'!$E$15</f>
        <v>0</v>
      </c>
      <c r="M843" s="198">
        <f t="shared" si="104"/>
        <v>0</v>
      </c>
      <c r="N843" s="75">
        <f t="shared" si="107"/>
        <v>45</v>
      </c>
      <c r="O843" s="202">
        <f t="shared" si="108"/>
        <v>0</v>
      </c>
      <c r="P843" s="199">
        <f t="shared" si="105"/>
        <v>0</v>
      </c>
      <c r="Q843" s="203">
        <f t="shared" si="109"/>
        <v>58.300000000001965</v>
      </c>
      <c r="R843" s="160" t="s">
        <v>55</v>
      </c>
      <c r="S843" s="201">
        <f t="shared" si="110"/>
        <v>1.5194681861348647E-2</v>
      </c>
    </row>
    <row r="844" spans="1:19">
      <c r="A844" s="196">
        <v>41190</v>
      </c>
      <c r="B844" s="122">
        <v>10.63</v>
      </c>
      <c r="C844" s="122">
        <v>10.7</v>
      </c>
      <c r="D844" s="122">
        <v>10.39</v>
      </c>
      <c r="E844" s="122">
        <v>10.43</v>
      </c>
      <c r="F844" s="122">
        <v>7.8414450000000002</v>
      </c>
      <c r="G844" s="197">
        <v>88200</v>
      </c>
      <c r="H844" s="198">
        <f>IF(AND(E843&gt;=H843,E844&gt;=E843),E843*(1+'Trading Model'!$E$13),IF(AND(E844&lt;E843,E843&gt;=H843),E844*(1+'Trading Model'!$E$13),H843))</f>
        <v>27.698998950000004</v>
      </c>
      <c r="I844" s="198">
        <f>IF(K844&gt;0,E844*(1-'Trading Model'!E854),IF(E844&lt;I843,I843*(1-'Trading Model'!$E$14),I843))</f>
        <v>8.9840153609188427</v>
      </c>
      <c r="J844" s="198">
        <f t="shared" si="111"/>
        <v>0</v>
      </c>
      <c r="K844" s="198">
        <f t="shared" si="106"/>
        <v>0</v>
      </c>
      <c r="L844" s="198">
        <f>COUNTIF(J844:K844,"&lt;&gt;0")*-'Trading Model'!$E$15</f>
        <v>0</v>
      </c>
      <c r="M844" s="198">
        <f t="shared" si="104"/>
        <v>0</v>
      </c>
      <c r="N844" s="75">
        <f t="shared" si="107"/>
        <v>45</v>
      </c>
      <c r="O844" s="202">
        <f t="shared" si="108"/>
        <v>0</v>
      </c>
      <c r="P844" s="199">
        <f t="shared" si="105"/>
        <v>0</v>
      </c>
      <c r="Q844" s="203">
        <f t="shared" si="109"/>
        <v>58.200000000001964</v>
      </c>
      <c r="R844" s="203" t="s">
        <v>55</v>
      </c>
      <c r="S844" s="201">
        <f t="shared" si="110"/>
        <v>-2.4321796071094415E-2</v>
      </c>
    </row>
    <row r="845" spans="1:19">
      <c r="A845" s="196">
        <v>41191</v>
      </c>
      <c r="B845" s="122">
        <v>10.43</v>
      </c>
      <c r="C845" s="122">
        <v>10.69</v>
      </c>
      <c r="D845" s="122">
        <v>10.02</v>
      </c>
      <c r="E845" s="122">
        <v>10.33</v>
      </c>
      <c r="F845" s="122">
        <v>7.7662620000000002</v>
      </c>
      <c r="G845" s="197">
        <v>253800</v>
      </c>
      <c r="H845" s="198">
        <f>IF(AND(E844&gt;=H844,E845&gt;=E844),E844*(1+'Trading Model'!$E$13),IF(AND(E845&lt;E844,E844&gt;=H844),E845*(1+'Trading Model'!$E$13),H844))</f>
        <v>27.698998950000004</v>
      </c>
      <c r="I845" s="198">
        <f>IF(K845&gt;0,E845*(1-'Trading Model'!E855),IF(E845&lt;I844,I844*(1-'Trading Model'!$E$14),I844))</f>
        <v>8.9840153609188427</v>
      </c>
      <c r="J845" s="198">
        <f t="shared" si="111"/>
        <v>0</v>
      </c>
      <c r="K845" s="198">
        <f t="shared" si="106"/>
        <v>0</v>
      </c>
      <c r="L845" s="198">
        <f>COUNTIF(J845:K845,"&lt;&gt;0")*-'Trading Model'!$E$15</f>
        <v>0</v>
      </c>
      <c r="M845" s="198">
        <f t="shared" si="104"/>
        <v>0</v>
      </c>
      <c r="N845" s="75">
        <f t="shared" si="107"/>
        <v>45</v>
      </c>
      <c r="O845" s="202">
        <f t="shared" si="108"/>
        <v>0</v>
      </c>
      <c r="P845" s="199">
        <f t="shared" si="105"/>
        <v>0</v>
      </c>
      <c r="Q845" s="203">
        <f t="shared" si="109"/>
        <v>58.100000000001963</v>
      </c>
      <c r="R845" s="203" t="s">
        <v>55</v>
      </c>
      <c r="S845" s="201">
        <f t="shared" si="110"/>
        <v>-9.5877277085330004E-3</v>
      </c>
    </row>
    <row r="846" spans="1:19">
      <c r="A846" s="196">
        <v>41192</v>
      </c>
      <c r="B846" s="122">
        <v>10.29</v>
      </c>
      <c r="C846" s="122">
        <v>10.46</v>
      </c>
      <c r="D846" s="122">
        <v>10.19</v>
      </c>
      <c r="E846" s="122">
        <v>10.28</v>
      </c>
      <c r="F846" s="122">
        <v>7.7286710000000003</v>
      </c>
      <c r="G846" s="197">
        <v>168100</v>
      </c>
      <c r="H846" s="198">
        <f>IF(AND(E845&gt;=H845,E846&gt;=E845),E845*(1+'Trading Model'!$E$13),IF(AND(E846&lt;E845,E845&gt;=H845),E846*(1+'Trading Model'!$E$13),H845))</f>
        <v>27.698998950000004</v>
      </c>
      <c r="I846" s="198">
        <f>IF(K846&gt;0,E846*(1-'Trading Model'!E856),IF(E846&lt;I845,I845*(1-'Trading Model'!$E$14),I845))</f>
        <v>8.9840153609188427</v>
      </c>
      <c r="J846" s="198">
        <f t="shared" si="111"/>
        <v>0</v>
      </c>
      <c r="K846" s="198">
        <f t="shared" si="106"/>
        <v>0</v>
      </c>
      <c r="L846" s="198">
        <f>COUNTIF(J846:K846,"&lt;&gt;0")*-'Trading Model'!$E$15</f>
        <v>0</v>
      </c>
      <c r="M846" s="198">
        <f t="shared" si="104"/>
        <v>0</v>
      </c>
      <c r="N846" s="75">
        <f t="shared" si="107"/>
        <v>45</v>
      </c>
      <c r="O846" s="202">
        <f t="shared" si="108"/>
        <v>0</v>
      </c>
      <c r="P846" s="199">
        <f t="shared" si="105"/>
        <v>0</v>
      </c>
      <c r="Q846" s="203">
        <f t="shared" si="109"/>
        <v>58.000000000001961</v>
      </c>
      <c r="R846" s="203" t="s">
        <v>55</v>
      </c>
      <c r="S846" s="201">
        <f t="shared" si="110"/>
        <v>-4.8402710551791461E-3</v>
      </c>
    </row>
    <row r="847" spans="1:19">
      <c r="A847" s="196">
        <v>41193</v>
      </c>
      <c r="B847" s="122">
        <v>10.3</v>
      </c>
      <c r="C847" s="122">
        <v>10.4</v>
      </c>
      <c r="D847" s="122">
        <v>10.19</v>
      </c>
      <c r="E847" s="122">
        <v>10.26</v>
      </c>
      <c r="F847" s="122">
        <v>7.7136360000000002</v>
      </c>
      <c r="G847" s="197">
        <v>131000</v>
      </c>
      <c r="H847" s="198">
        <f>IF(AND(E846&gt;=H846,E847&gt;=E846),E846*(1+'Trading Model'!$E$13),IF(AND(E847&lt;E846,E846&gt;=H846),E847*(1+'Trading Model'!$E$13),H846))</f>
        <v>27.698998950000004</v>
      </c>
      <c r="I847" s="198">
        <f>IF(K847&gt;0,E847*(1-'Trading Model'!E857),IF(E847&lt;I846,I846*(1-'Trading Model'!$E$14),I846))</f>
        <v>8.9840153609188427</v>
      </c>
      <c r="J847" s="198">
        <f t="shared" si="111"/>
        <v>0</v>
      </c>
      <c r="K847" s="198">
        <f t="shared" si="106"/>
        <v>0</v>
      </c>
      <c r="L847" s="198">
        <f>COUNTIF(J847:K847,"&lt;&gt;0")*-'Trading Model'!$E$15</f>
        <v>0</v>
      </c>
      <c r="M847" s="198">
        <f t="shared" si="104"/>
        <v>0</v>
      </c>
      <c r="N847" s="75">
        <f t="shared" si="107"/>
        <v>45</v>
      </c>
      <c r="O847" s="202">
        <f t="shared" si="108"/>
        <v>0</v>
      </c>
      <c r="P847" s="199">
        <f t="shared" si="105"/>
        <v>0</v>
      </c>
      <c r="Q847" s="203">
        <f t="shared" si="109"/>
        <v>57.90000000000196</v>
      </c>
      <c r="R847" s="201">
        <f>E847/B843-1</f>
        <v>-3.2987747408105506E-2</v>
      </c>
      <c r="S847" s="201">
        <f t="shared" si="110"/>
        <v>-1.9455252918287869E-3</v>
      </c>
    </row>
    <row r="848" spans="1:19">
      <c r="A848" s="196">
        <v>41194</v>
      </c>
      <c r="B848" s="122">
        <v>10.23</v>
      </c>
      <c r="C848" s="122">
        <v>10.29</v>
      </c>
      <c r="D848" s="122">
        <v>10.1</v>
      </c>
      <c r="E848" s="122">
        <v>10.199999999999999</v>
      </c>
      <c r="F848" s="122">
        <v>7.6685270000000001</v>
      </c>
      <c r="G848" s="197">
        <v>87700</v>
      </c>
      <c r="H848" s="198">
        <f>IF(AND(E847&gt;=H847,E848&gt;=E847),E847*(1+'Trading Model'!$E$13),IF(AND(E848&lt;E847,E847&gt;=H847),E848*(1+'Trading Model'!$E$13),H847))</f>
        <v>27.698998950000004</v>
      </c>
      <c r="I848" s="198">
        <f>IF(K848&gt;0,E848*(1-'Trading Model'!E858),IF(E848&lt;I847,I847*(1-'Trading Model'!$E$14),I847))</f>
        <v>8.9840153609188427</v>
      </c>
      <c r="J848" s="198">
        <f t="shared" si="111"/>
        <v>0</v>
      </c>
      <c r="K848" s="198">
        <f t="shared" si="106"/>
        <v>0</v>
      </c>
      <c r="L848" s="198">
        <f>COUNTIF(J848:K848,"&lt;&gt;0")*-'Trading Model'!$E$15</f>
        <v>0</v>
      </c>
      <c r="M848" s="198">
        <f t="shared" si="104"/>
        <v>0</v>
      </c>
      <c r="N848" s="75">
        <f t="shared" si="107"/>
        <v>45</v>
      </c>
      <c r="O848" s="202">
        <f t="shared" si="108"/>
        <v>0</v>
      </c>
      <c r="P848" s="199">
        <f t="shared" si="105"/>
        <v>0</v>
      </c>
      <c r="Q848" s="203">
        <f t="shared" si="109"/>
        <v>57.800000000001958</v>
      </c>
      <c r="R848" s="160" t="s">
        <v>55</v>
      </c>
      <c r="S848" s="201">
        <f t="shared" si="110"/>
        <v>-5.8479532163743242E-3</v>
      </c>
    </row>
    <row r="849" spans="1:19">
      <c r="A849" s="196">
        <v>41197</v>
      </c>
      <c r="B849" s="122">
        <v>10.06</v>
      </c>
      <c r="C849" s="122">
        <v>10.26</v>
      </c>
      <c r="D849" s="122">
        <v>10</v>
      </c>
      <c r="E849" s="122">
        <v>10.17</v>
      </c>
      <c r="F849" s="122">
        <v>7.6459729999999997</v>
      </c>
      <c r="G849" s="197">
        <v>135800</v>
      </c>
      <c r="H849" s="198">
        <f>IF(AND(E848&gt;=H848,E849&gt;=E848),E848*(1+'Trading Model'!$E$13),IF(AND(E849&lt;E848,E848&gt;=H848),E849*(1+'Trading Model'!$E$13),H848))</f>
        <v>27.698998950000004</v>
      </c>
      <c r="I849" s="198">
        <f>IF(K849&gt;0,E849*(1-'Trading Model'!E859),IF(E849&lt;I848,I848*(1-'Trading Model'!$E$14),I848))</f>
        <v>8.9840153609188427</v>
      </c>
      <c r="J849" s="198">
        <f t="shared" si="111"/>
        <v>0</v>
      </c>
      <c r="K849" s="198">
        <f t="shared" si="106"/>
        <v>0</v>
      </c>
      <c r="L849" s="198">
        <f>COUNTIF(J849:K849,"&lt;&gt;0")*-'Trading Model'!$E$15</f>
        <v>0</v>
      </c>
      <c r="M849" s="198">
        <f t="shared" si="104"/>
        <v>0</v>
      </c>
      <c r="N849" s="75">
        <f t="shared" si="107"/>
        <v>45</v>
      </c>
      <c r="O849" s="202">
        <f t="shared" si="108"/>
        <v>0</v>
      </c>
      <c r="P849" s="199">
        <f t="shared" si="105"/>
        <v>0</v>
      </c>
      <c r="Q849" s="203">
        <f t="shared" si="109"/>
        <v>57.700000000001957</v>
      </c>
      <c r="R849" s="203" t="s">
        <v>55</v>
      </c>
      <c r="S849" s="201">
        <f t="shared" si="110"/>
        <v>-2.9411764705882248E-3</v>
      </c>
    </row>
    <row r="850" spans="1:19">
      <c r="A850" s="196">
        <v>41198</v>
      </c>
      <c r="B850" s="122">
        <v>10.199999999999999</v>
      </c>
      <c r="C850" s="122">
        <v>10.39</v>
      </c>
      <c r="D850" s="122">
        <v>10.199999999999999</v>
      </c>
      <c r="E850" s="122">
        <v>10.36</v>
      </c>
      <c r="F850" s="122">
        <v>7.788818</v>
      </c>
      <c r="G850" s="197">
        <v>192500</v>
      </c>
      <c r="H850" s="198">
        <f>IF(AND(E849&gt;=H849,E850&gt;=E849),E849*(1+'Trading Model'!$E$13),IF(AND(E850&lt;E849,E849&gt;=H849),E850*(1+'Trading Model'!$E$13),H849))</f>
        <v>27.698998950000004</v>
      </c>
      <c r="I850" s="198">
        <f>IF(K850&gt;0,E850*(1-'Trading Model'!E860),IF(E850&lt;I849,I849*(1-'Trading Model'!$E$14),I849))</f>
        <v>8.9840153609188427</v>
      </c>
      <c r="J850" s="198">
        <f t="shared" si="111"/>
        <v>0</v>
      </c>
      <c r="K850" s="198">
        <f t="shared" si="106"/>
        <v>0</v>
      </c>
      <c r="L850" s="198">
        <f>COUNTIF(J850:K850,"&lt;&gt;0")*-'Trading Model'!$E$15</f>
        <v>0</v>
      </c>
      <c r="M850" s="198">
        <f t="shared" si="104"/>
        <v>0</v>
      </c>
      <c r="N850" s="75">
        <f t="shared" si="107"/>
        <v>45</v>
      </c>
      <c r="O850" s="202">
        <f t="shared" si="108"/>
        <v>0</v>
      </c>
      <c r="P850" s="199">
        <f t="shared" si="105"/>
        <v>0</v>
      </c>
      <c r="Q850" s="203">
        <f t="shared" si="109"/>
        <v>57.700000000001957</v>
      </c>
      <c r="R850" s="203" t="s">
        <v>55</v>
      </c>
      <c r="S850" s="201">
        <f t="shared" si="110"/>
        <v>1.8682399213372669E-2</v>
      </c>
    </row>
    <row r="851" spans="1:19">
      <c r="A851" s="196">
        <v>41199</v>
      </c>
      <c r="B851" s="122">
        <v>10.31</v>
      </c>
      <c r="C851" s="122">
        <v>10.48</v>
      </c>
      <c r="D851" s="122">
        <v>10.31</v>
      </c>
      <c r="E851" s="122">
        <v>10.44</v>
      </c>
      <c r="F851" s="122">
        <v>7.8489630000000004</v>
      </c>
      <c r="G851" s="197">
        <v>70100</v>
      </c>
      <c r="H851" s="198">
        <f>IF(AND(E850&gt;=H850,E851&gt;=E850),E850*(1+'Trading Model'!$E$13),IF(AND(E851&lt;E850,E850&gt;=H850),E851*(1+'Trading Model'!$E$13),H850))</f>
        <v>27.698998950000004</v>
      </c>
      <c r="I851" s="198">
        <f>IF(K851&gt;0,E851*(1-'Trading Model'!E861),IF(E851&lt;I850,I850*(1-'Trading Model'!$E$14),I850))</f>
        <v>8.9840153609188427</v>
      </c>
      <c r="J851" s="198">
        <f t="shared" si="111"/>
        <v>0</v>
      </c>
      <c r="K851" s="198">
        <f t="shared" si="106"/>
        <v>0</v>
      </c>
      <c r="L851" s="198">
        <f>COUNTIF(J851:K851,"&lt;&gt;0")*-'Trading Model'!$E$15</f>
        <v>0</v>
      </c>
      <c r="M851" s="198">
        <f t="shared" si="104"/>
        <v>0</v>
      </c>
      <c r="N851" s="75">
        <f t="shared" si="107"/>
        <v>45</v>
      </c>
      <c r="O851" s="202">
        <f t="shared" si="108"/>
        <v>0</v>
      </c>
      <c r="P851" s="199">
        <f t="shared" si="105"/>
        <v>0</v>
      </c>
      <c r="Q851" s="203">
        <f t="shared" si="109"/>
        <v>57.700000000001957</v>
      </c>
      <c r="R851" s="203" t="s">
        <v>55</v>
      </c>
      <c r="S851" s="201">
        <f t="shared" si="110"/>
        <v>7.7220077220077066E-3</v>
      </c>
    </row>
    <row r="852" spans="1:19">
      <c r="A852" s="196">
        <v>41200</v>
      </c>
      <c r="B852" s="122">
        <v>10.4</v>
      </c>
      <c r="C852" s="122">
        <v>10.53</v>
      </c>
      <c r="D852" s="122">
        <v>10.35</v>
      </c>
      <c r="E852" s="122">
        <v>10.45</v>
      </c>
      <c r="F852" s="122">
        <v>7.8564809999999996</v>
      </c>
      <c r="G852" s="197">
        <v>82300</v>
      </c>
      <c r="H852" s="198">
        <f>IF(AND(E851&gt;=H851,E852&gt;=E851),E851*(1+'Trading Model'!$E$13),IF(AND(E852&lt;E851,E851&gt;=H851),E852*(1+'Trading Model'!$E$13),H851))</f>
        <v>27.698998950000004</v>
      </c>
      <c r="I852" s="198">
        <f>IF(K852&gt;0,E852*(1-'Trading Model'!E862),IF(E852&lt;I851,I851*(1-'Trading Model'!$E$14),I851))</f>
        <v>8.9840153609188427</v>
      </c>
      <c r="J852" s="198">
        <f t="shared" si="111"/>
        <v>0</v>
      </c>
      <c r="K852" s="198">
        <f t="shared" si="106"/>
        <v>0</v>
      </c>
      <c r="L852" s="198">
        <f>COUNTIF(J852:K852,"&lt;&gt;0")*-'Trading Model'!$E$15</f>
        <v>0</v>
      </c>
      <c r="M852" s="198">
        <f t="shared" si="104"/>
        <v>0</v>
      </c>
      <c r="N852" s="75">
        <f t="shared" si="107"/>
        <v>45</v>
      </c>
      <c r="O852" s="202">
        <f t="shared" si="108"/>
        <v>0</v>
      </c>
      <c r="P852" s="199">
        <f t="shared" si="105"/>
        <v>0</v>
      </c>
      <c r="Q852" s="203">
        <f t="shared" si="109"/>
        <v>57.700000000001957</v>
      </c>
      <c r="R852" s="201">
        <f>E852/B848-1</f>
        <v>2.1505376344086002E-2</v>
      </c>
      <c r="S852" s="201">
        <f t="shared" si="110"/>
        <v>9.5785440613016526E-4</v>
      </c>
    </row>
    <row r="853" spans="1:19">
      <c r="A853" s="196">
        <v>41201</v>
      </c>
      <c r="B853" s="122">
        <v>10.4</v>
      </c>
      <c r="C853" s="122">
        <v>10.4</v>
      </c>
      <c r="D853" s="122">
        <v>10.210000000000001</v>
      </c>
      <c r="E853" s="122">
        <v>10.220000000000001</v>
      </c>
      <c r="F853" s="122">
        <v>7.6835639999999996</v>
      </c>
      <c r="G853" s="197">
        <v>81300</v>
      </c>
      <c r="H853" s="198">
        <f>IF(AND(E852&gt;=H852,E853&gt;=E852),E852*(1+'Trading Model'!$E$13),IF(AND(E853&lt;E852,E852&gt;=H852),E853*(1+'Trading Model'!$E$13),H852))</f>
        <v>27.698998950000004</v>
      </c>
      <c r="I853" s="198">
        <f>IF(K853&gt;0,E853*(1-'Trading Model'!E863),IF(E853&lt;I852,I852*(1-'Trading Model'!$E$14),I852))</f>
        <v>8.9840153609188427</v>
      </c>
      <c r="J853" s="198">
        <f t="shared" si="111"/>
        <v>0</v>
      </c>
      <c r="K853" s="198">
        <f t="shared" si="106"/>
        <v>0</v>
      </c>
      <c r="L853" s="198">
        <f>COUNTIF(J853:K853,"&lt;&gt;0")*-'Trading Model'!$E$15</f>
        <v>0</v>
      </c>
      <c r="M853" s="198">
        <f t="shared" si="104"/>
        <v>0</v>
      </c>
      <c r="N853" s="75">
        <f t="shared" si="107"/>
        <v>45</v>
      </c>
      <c r="O853" s="202">
        <f t="shared" si="108"/>
        <v>0</v>
      </c>
      <c r="P853" s="199">
        <f t="shared" si="105"/>
        <v>0</v>
      </c>
      <c r="Q853" s="203">
        <f t="shared" si="109"/>
        <v>57.600000000001955</v>
      </c>
      <c r="R853" s="160" t="s">
        <v>55</v>
      </c>
      <c r="S853" s="201">
        <f t="shared" si="110"/>
        <v>-2.2009569377990257E-2</v>
      </c>
    </row>
    <row r="854" spans="1:19">
      <c r="A854" s="196">
        <v>41204</v>
      </c>
      <c r="B854" s="122">
        <v>10.28</v>
      </c>
      <c r="C854" s="122">
        <v>10.37</v>
      </c>
      <c r="D854" s="122">
        <v>10.199999999999999</v>
      </c>
      <c r="E854" s="122">
        <v>10.36</v>
      </c>
      <c r="F854" s="122">
        <v>7.788818</v>
      </c>
      <c r="G854" s="197">
        <v>95100</v>
      </c>
      <c r="H854" s="198">
        <f>IF(AND(E853&gt;=H853,E854&gt;=E853),E853*(1+'Trading Model'!$E$13),IF(AND(E854&lt;E853,E853&gt;=H853),E854*(1+'Trading Model'!$E$13),H853))</f>
        <v>27.698998950000004</v>
      </c>
      <c r="I854" s="198">
        <f>IF(K854&gt;0,E854*(1-'Trading Model'!E864),IF(E854&lt;I853,I853*(1-'Trading Model'!$E$14),I853))</f>
        <v>8.9840153609188427</v>
      </c>
      <c r="J854" s="198">
        <f t="shared" si="111"/>
        <v>0</v>
      </c>
      <c r="K854" s="198">
        <f t="shared" si="106"/>
        <v>0</v>
      </c>
      <c r="L854" s="198">
        <f>COUNTIF(J854:K854,"&lt;&gt;0")*-'Trading Model'!$E$15</f>
        <v>0</v>
      </c>
      <c r="M854" s="198">
        <f t="shared" si="104"/>
        <v>0</v>
      </c>
      <c r="N854" s="75">
        <f t="shared" si="107"/>
        <v>45</v>
      </c>
      <c r="O854" s="202">
        <f t="shared" si="108"/>
        <v>0</v>
      </c>
      <c r="P854" s="199">
        <f t="shared" si="105"/>
        <v>0</v>
      </c>
      <c r="Q854" s="203">
        <f t="shared" si="109"/>
        <v>57.600000000001955</v>
      </c>
      <c r="R854" s="203" t="s">
        <v>55</v>
      </c>
      <c r="S854" s="201">
        <f t="shared" si="110"/>
        <v>1.3698630136986134E-2</v>
      </c>
    </row>
    <row r="855" spans="1:19">
      <c r="A855" s="196">
        <v>41205</v>
      </c>
      <c r="B855" s="122">
        <v>10.25</v>
      </c>
      <c r="C855" s="122">
        <v>10.42</v>
      </c>
      <c r="D855" s="122">
        <v>10.1</v>
      </c>
      <c r="E855" s="122">
        <v>10.220000000000001</v>
      </c>
      <c r="F855" s="122">
        <v>7.6835639999999996</v>
      </c>
      <c r="G855" s="197">
        <v>168100</v>
      </c>
      <c r="H855" s="198">
        <f>IF(AND(E854&gt;=H854,E855&gt;=E854),E854*(1+'Trading Model'!$E$13),IF(AND(E855&lt;E854,E854&gt;=H854),E855*(1+'Trading Model'!$E$13),H854))</f>
        <v>27.698998950000004</v>
      </c>
      <c r="I855" s="198">
        <f>IF(K855&gt;0,E855*(1-'Trading Model'!E865),IF(E855&lt;I854,I854*(1-'Trading Model'!$E$14),I854))</f>
        <v>8.9840153609188427</v>
      </c>
      <c r="J855" s="198">
        <f t="shared" si="111"/>
        <v>0</v>
      </c>
      <c r="K855" s="198">
        <f t="shared" si="106"/>
        <v>0</v>
      </c>
      <c r="L855" s="198">
        <f>COUNTIF(J855:K855,"&lt;&gt;0")*-'Trading Model'!$E$15</f>
        <v>0</v>
      </c>
      <c r="M855" s="198">
        <f t="shared" si="104"/>
        <v>0</v>
      </c>
      <c r="N855" s="75">
        <f t="shared" si="107"/>
        <v>45</v>
      </c>
      <c r="O855" s="202">
        <f t="shared" si="108"/>
        <v>0</v>
      </c>
      <c r="P855" s="199">
        <f t="shared" si="105"/>
        <v>0</v>
      </c>
      <c r="Q855" s="203">
        <f t="shared" si="109"/>
        <v>57.500000000001954</v>
      </c>
      <c r="R855" s="203" t="s">
        <v>55</v>
      </c>
      <c r="S855" s="201">
        <f t="shared" si="110"/>
        <v>-1.3513513513513375E-2</v>
      </c>
    </row>
    <row r="856" spans="1:19">
      <c r="A856" s="196">
        <v>41206</v>
      </c>
      <c r="B856" s="122">
        <v>10.23</v>
      </c>
      <c r="C856" s="122">
        <v>10.34</v>
      </c>
      <c r="D856" s="122">
        <v>10.220000000000001</v>
      </c>
      <c r="E856" s="122">
        <v>10.32</v>
      </c>
      <c r="F856" s="122">
        <v>7.7587440000000001</v>
      </c>
      <c r="G856" s="197">
        <v>99300</v>
      </c>
      <c r="H856" s="198">
        <f>IF(AND(E855&gt;=H855,E856&gt;=E855),E855*(1+'Trading Model'!$E$13),IF(AND(E856&lt;E855,E855&gt;=H855),E856*(1+'Trading Model'!$E$13),H855))</f>
        <v>27.698998950000004</v>
      </c>
      <c r="I856" s="198">
        <f>IF(K856&gt;0,E856*(1-'Trading Model'!E866),IF(E856&lt;I855,I855*(1-'Trading Model'!$E$14),I855))</f>
        <v>8.9840153609188427</v>
      </c>
      <c r="J856" s="198">
        <f t="shared" si="111"/>
        <v>0</v>
      </c>
      <c r="K856" s="198">
        <f t="shared" si="106"/>
        <v>0</v>
      </c>
      <c r="L856" s="198">
        <f>COUNTIF(J856:K856,"&lt;&gt;0")*-'Trading Model'!$E$15</f>
        <v>0</v>
      </c>
      <c r="M856" s="198">
        <f t="shared" si="104"/>
        <v>0</v>
      </c>
      <c r="N856" s="75">
        <f t="shared" si="107"/>
        <v>45</v>
      </c>
      <c r="O856" s="202">
        <f t="shared" si="108"/>
        <v>0</v>
      </c>
      <c r="P856" s="199">
        <f t="shared" si="105"/>
        <v>0</v>
      </c>
      <c r="Q856" s="203">
        <f t="shared" si="109"/>
        <v>57.500000000001954</v>
      </c>
      <c r="R856" s="203" t="s">
        <v>55</v>
      </c>
      <c r="S856" s="201">
        <f t="shared" si="110"/>
        <v>9.7847358121330164E-3</v>
      </c>
    </row>
    <row r="857" spans="1:19">
      <c r="A857" s="196">
        <v>41207</v>
      </c>
      <c r="B857" s="122">
        <v>10.38</v>
      </c>
      <c r="C857" s="122">
        <v>10.5</v>
      </c>
      <c r="D857" s="122">
        <v>10.26</v>
      </c>
      <c r="E857" s="122">
        <v>10.37</v>
      </c>
      <c r="F857" s="122">
        <v>7.7963370000000003</v>
      </c>
      <c r="G857" s="197">
        <v>124200</v>
      </c>
      <c r="H857" s="198">
        <f>IF(AND(E856&gt;=H856,E857&gt;=E856),E856*(1+'Trading Model'!$E$13),IF(AND(E857&lt;E856,E856&gt;=H856),E857*(1+'Trading Model'!$E$13),H856))</f>
        <v>27.698998950000004</v>
      </c>
      <c r="I857" s="198">
        <f>IF(K857&gt;0,E857*(1-'Trading Model'!E867),IF(E857&lt;I856,I856*(1-'Trading Model'!$E$14),I856))</f>
        <v>8.9840153609188427</v>
      </c>
      <c r="J857" s="198">
        <f t="shared" si="111"/>
        <v>0</v>
      </c>
      <c r="K857" s="198">
        <f t="shared" si="106"/>
        <v>0</v>
      </c>
      <c r="L857" s="198">
        <f>COUNTIF(J857:K857,"&lt;&gt;0")*-'Trading Model'!$E$15</f>
        <v>0</v>
      </c>
      <c r="M857" s="198">
        <f t="shared" si="104"/>
        <v>0</v>
      </c>
      <c r="N857" s="75">
        <f t="shared" si="107"/>
        <v>45</v>
      </c>
      <c r="O857" s="202">
        <f t="shared" si="108"/>
        <v>0</v>
      </c>
      <c r="P857" s="199">
        <f t="shared" si="105"/>
        <v>0</v>
      </c>
      <c r="Q857" s="203">
        <f t="shared" si="109"/>
        <v>57.500000000001954</v>
      </c>
      <c r="R857" s="201">
        <f>E857/B853-1</f>
        <v>-2.8846153846154854E-3</v>
      </c>
      <c r="S857" s="201">
        <f t="shared" si="110"/>
        <v>4.8449612403098641E-3</v>
      </c>
    </row>
    <row r="858" spans="1:19">
      <c r="A858" s="196">
        <v>41208</v>
      </c>
      <c r="B858" s="122">
        <v>10.4</v>
      </c>
      <c r="C858" s="122">
        <v>10.4</v>
      </c>
      <c r="D858" s="122">
        <v>10.06</v>
      </c>
      <c r="E858" s="122">
        <v>10.1</v>
      </c>
      <c r="F858" s="122">
        <v>7.5933460000000004</v>
      </c>
      <c r="G858" s="197">
        <v>99700</v>
      </c>
      <c r="H858" s="198">
        <f>IF(AND(E857&gt;=H857,E858&gt;=E857),E857*(1+'Trading Model'!$E$13),IF(AND(E858&lt;E857,E857&gt;=H857),E858*(1+'Trading Model'!$E$13),H857))</f>
        <v>27.698998950000004</v>
      </c>
      <c r="I858" s="198">
        <f>IF(K858&gt;0,E858*(1-'Trading Model'!E868),IF(E858&lt;I857,I857*(1-'Trading Model'!$E$14),I857))</f>
        <v>8.9840153609188427</v>
      </c>
      <c r="J858" s="198">
        <f t="shared" si="111"/>
        <v>0</v>
      </c>
      <c r="K858" s="198">
        <f t="shared" si="106"/>
        <v>0</v>
      </c>
      <c r="L858" s="198">
        <f>COUNTIF(J858:K858,"&lt;&gt;0")*-'Trading Model'!$E$15</f>
        <v>0</v>
      </c>
      <c r="M858" s="198">
        <f t="shared" si="104"/>
        <v>0</v>
      </c>
      <c r="N858" s="75">
        <f t="shared" si="107"/>
        <v>45</v>
      </c>
      <c r="O858" s="202">
        <f t="shared" si="108"/>
        <v>0</v>
      </c>
      <c r="P858" s="199">
        <f t="shared" si="105"/>
        <v>0</v>
      </c>
      <c r="Q858" s="203">
        <f t="shared" si="109"/>
        <v>57.400000000001953</v>
      </c>
      <c r="R858" s="160" t="s">
        <v>55</v>
      </c>
      <c r="S858" s="201">
        <f t="shared" si="110"/>
        <v>-2.6036644165863043E-2</v>
      </c>
    </row>
    <row r="859" spans="1:19">
      <c r="A859" s="196">
        <v>41213</v>
      </c>
      <c r="B859" s="122">
        <v>10.199999999999999</v>
      </c>
      <c r="C859" s="122">
        <v>10.31</v>
      </c>
      <c r="D859" s="122">
        <v>9.7799999999999994</v>
      </c>
      <c r="E859" s="122">
        <v>9.84</v>
      </c>
      <c r="F859" s="122">
        <v>7.3978719999999996</v>
      </c>
      <c r="G859" s="197">
        <v>301600</v>
      </c>
      <c r="H859" s="198">
        <f>IF(AND(E858&gt;=H858,E859&gt;=E858),E858*(1+'Trading Model'!$E$13),IF(AND(E859&lt;E858,E858&gt;=H858),E859*(1+'Trading Model'!$E$13),H858))</f>
        <v>27.698998950000004</v>
      </c>
      <c r="I859" s="198">
        <f>IF(K859&gt;0,E859*(1-'Trading Model'!E869),IF(E859&lt;I858,I858*(1-'Trading Model'!$E$14),I858))</f>
        <v>8.9840153609188427</v>
      </c>
      <c r="J859" s="198">
        <f t="shared" si="111"/>
        <v>0</v>
      </c>
      <c r="K859" s="198">
        <f t="shared" si="106"/>
        <v>0</v>
      </c>
      <c r="L859" s="198">
        <f>COUNTIF(J859:K859,"&lt;&gt;0")*-'Trading Model'!$E$15</f>
        <v>0</v>
      </c>
      <c r="M859" s="198">
        <f t="shared" si="104"/>
        <v>0</v>
      </c>
      <c r="N859" s="75">
        <f t="shared" si="107"/>
        <v>45</v>
      </c>
      <c r="O859" s="202">
        <f t="shared" si="108"/>
        <v>0</v>
      </c>
      <c r="P859" s="199">
        <f t="shared" si="105"/>
        <v>0</v>
      </c>
      <c r="Q859" s="203">
        <f t="shared" si="109"/>
        <v>57.300000000001951</v>
      </c>
      <c r="R859" s="203" t="s">
        <v>55</v>
      </c>
      <c r="S859" s="201">
        <f t="shared" si="110"/>
        <v>-2.5742574257425765E-2</v>
      </c>
    </row>
    <row r="860" spans="1:19">
      <c r="A860" s="196">
        <v>41214</v>
      </c>
      <c r="B860" s="122">
        <v>9.83</v>
      </c>
      <c r="C860" s="122">
        <v>10.47</v>
      </c>
      <c r="D860" s="122">
        <v>9.83</v>
      </c>
      <c r="E860" s="122">
        <v>10.199999999999999</v>
      </c>
      <c r="F860" s="122">
        <v>7.6685270000000001</v>
      </c>
      <c r="G860" s="197">
        <v>172800</v>
      </c>
      <c r="H860" s="198">
        <f>IF(AND(E859&gt;=H859,E860&gt;=E859),E859*(1+'Trading Model'!$E$13),IF(AND(E860&lt;E859,E859&gt;=H859),E860*(1+'Trading Model'!$E$13),H859))</f>
        <v>27.698998950000004</v>
      </c>
      <c r="I860" s="198">
        <f>IF(K860&gt;0,E860*(1-'Trading Model'!E870),IF(E860&lt;I859,I859*(1-'Trading Model'!$E$14),I859))</f>
        <v>8.9840153609188427</v>
      </c>
      <c r="J860" s="198">
        <f t="shared" si="111"/>
        <v>0</v>
      </c>
      <c r="K860" s="198">
        <f t="shared" si="106"/>
        <v>0</v>
      </c>
      <c r="L860" s="198">
        <f>COUNTIF(J860:K860,"&lt;&gt;0")*-'Trading Model'!$E$15</f>
        <v>0</v>
      </c>
      <c r="M860" s="198">
        <f t="shared" si="104"/>
        <v>0</v>
      </c>
      <c r="N860" s="75">
        <f t="shared" si="107"/>
        <v>45</v>
      </c>
      <c r="O860" s="202">
        <f t="shared" si="108"/>
        <v>0</v>
      </c>
      <c r="P860" s="199">
        <f t="shared" si="105"/>
        <v>0</v>
      </c>
      <c r="Q860" s="203">
        <f t="shared" si="109"/>
        <v>57.300000000001951</v>
      </c>
      <c r="R860" s="203" t="s">
        <v>55</v>
      </c>
      <c r="S860" s="201">
        <f t="shared" si="110"/>
        <v>3.6585365853658569E-2</v>
      </c>
    </row>
    <row r="861" spans="1:19">
      <c r="A861" s="196">
        <v>41215</v>
      </c>
      <c r="B861" s="122">
        <v>10.199999999999999</v>
      </c>
      <c r="C861" s="122">
        <v>10.220000000000001</v>
      </c>
      <c r="D861" s="122">
        <v>10</v>
      </c>
      <c r="E861" s="122">
        <v>10.130000000000001</v>
      </c>
      <c r="F861" s="122">
        <v>7.6158989999999998</v>
      </c>
      <c r="G861" s="197">
        <v>115200</v>
      </c>
      <c r="H861" s="198">
        <f>IF(AND(E860&gt;=H860,E861&gt;=E860),E860*(1+'Trading Model'!$E$13),IF(AND(E861&lt;E860,E860&gt;=H860),E861*(1+'Trading Model'!$E$13),H860))</f>
        <v>27.698998950000004</v>
      </c>
      <c r="I861" s="198">
        <f>IF(K861&gt;0,E861*(1-'Trading Model'!E871),IF(E861&lt;I860,I860*(1-'Trading Model'!$E$14),I860))</f>
        <v>8.9840153609188427</v>
      </c>
      <c r="J861" s="198">
        <f t="shared" si="111"/>
        <v>0</v>
      </c>
      <c r="K861" s="198">
        <f t="shared" si="106"/>
        <v>0</v>
      </c>
      <c r="L861" s="198">
        <f>COUNTIF(J861:K861,"&lt;&gt;0")*-'Trading Model'!$E$15</f>
        <v>0</v>
      </c>
      <c r="M861" s="198">
        <f t="shared" si="104"/>
        <v>0</v>
      </c>
      <c r="N861" s="75">
        <f t="shared" si="107"/>
        <v>45</v>
      </c>
      <c r="O861" s="202">
        <f t="shared" si="108"/>
        <v>0</v>
      </c>
      <c r="P861" s="199">
        <f t="shared" si="105"/>
        <v>0</v>
      </c>
      <c r="Q861" s="203">
        <f t="shared" si="109"/>
        <v>57.20000000000195</v>
      </c>
      <c r="R861" s="203" t="s">
        <v>55</v>
      </c>
      <c r="S861" s="201">
        <f t="shared" si="110"/>
        <v>-6.8627450980390803E-3</v>
      </c>
    </row>
    <row r="862" spans="1:19">
      <c r="A862" s="196">
        <v>41218</v>
      </c>
      <c r="B862" s="122">
        <v>10.050000000000001</v>
      </c>
      <c r="C862" s="122">
        <v>10.15</v>
      </c>
      <c r="D862" s="122">
        <v>9.92</v>
      </c>
      <c r="E862" s="122">
        <v>10.02</v>
      </c>
      <c r="F862" s="122">
        <v>7.533201</v>
      </c>
      <c r="G862" s="197">
        <v>84000</v>
      </c>
      <c r="H862" s="198">
        <f>IF(AND(E861&gt;=H861,E862&gt;=E861),E861*(1+'Trading Model'!$E$13),IF(AND(E862&lt;E861,E861&gt;=H861),E862*(1+'Trading Model'!$E$13),H861))</f>
        <v>27.698998950000004</v>
      </c>
      <c r="I862" s="198">
        <f>IF(K862&gt;0,E862*(1-'Trading Model'!E872),IF(E862&lt;I861,I861*(1-'Trading Model'!$E$14),I861))</f>
        <v>8.9840153609188427</v>
      </c>
      <c r="J862" s="198">
        <f t="shared" si="111"/>
        <v>0</v>
      </c>
      <c r="K862" s="198">
        <f t="shared" si="106"/>
        <v>0</v>
      </c>
      <c r="L862" s="198">
        <f>COUNTIF(J862:K862,"&lt;&gt;0")*-'Trading Model'!$E$15</f>
        <v>0</v>
      </c>
      <c r="M862" s="198">
        <f t="shared" si="104"/>
        <v>0</v>
      </c>
      <c r="N862" s="75">
        <f t="shared" si="107"/>
        <v>45</v>
      </c>
      <c r="O862" s="202">
        <f t="shared" si="108"/>
        <v>0</v>
      </c>
      <c r="P862" s="199">
        <f t="shared" si="105"/>
        <v>0</v>
      </c>
      <c r="Q862" s="203">
        <f t="shared" si="109"/>
        <v>57.100000000001948</v>
      </c>
      <c r="R862" s="201">
        <f>E862/B858-1</f>
        <v>-3.6538461538461631E-2</v>
      </c>
      <c r="S862" s="201">
        <f t="shared" si="110"/>
        <v>-1.0858835143139345E-2</v>
      </c>
    </row>
    <row r="863" spans="1:19">
      <c r="A863" s="196">
        <v>41219</v>
      </c>
      <c r="B863" s="122">
        <v>10.11</v>
      </c>
      <c r="C863" s="122">
        <v>10.119999999999999</v>
      </c>
      <c r="D863" s="122">
        <v>10</v>
      </c>
      <c r="E863" s="122">
        <v>10.09</v>
      </c>
      <c r="F863" s="122">
        <v>7.5858270000000001</v>
      </c>
      <c r="G863" s="197">
        <v>91100</v>
      </c>
      <c r="H863" s="198">
        <f>IF(AND(E862&gt;=H862,E863&gt;=E862),E862*(1+'Trading Model'!$E$13),IF(AND(E863&lt;E862,E862&gt;=H862),E863*(1+'Trading Model'!$E$13),H862))</f>
        <v>27.698998950000004</v>
      </c>
      <c r="I863" s="198">
        <f>IF(K863&gt;0,E863*(1-'Trading Model'!E873),IF(E863&lt;I862,I862*(1-'Trading Model'!$E$14),I862))</f>
        <v>8.9840153609188427</v>
      </c>
      <c r="J863" s="198">
        <f t="shared" si="111"/>
        <v>0</v>
      </c>
      <c r="K863" s="198">
        <f t="shared" si="106"/>
        <v>0</v>
      </c>
      <c r="L863" s="198">
        <f>COUNTIF(J863:K863,"&lt;&gt;0")*-'Trading Model'!$E$15</f>
        <v>0</v>
      </c>
      <c r="M863" s="198">
        <f t="shared" si="104"/>
        <v>0</v>
      </c>
      <c r="N863" s="75">
        <f t="shared" si="107"/>
        <v>45</v>
      </c>
      <c r="O863" s="202">
        <f t="shared" si="108"/>
        <v>0</v>
      </c>
      <c r="P863" s="199">
        <f t="shared" si="105"/>
        <v>0</v>
      </c>
      <c r="Q863" s="203">
        <f t="shared" si="109"/>
        <v>57.100000000001948</v>
      </c>
      <c r="R863" s="160" t="s">
        <v>55</v>
      </c>
      <c r="S863" s="201">
        <f t="shared" si="110"/>
        <v>6.98602794411185E-3</v>
      </c>
    </row>
    <row r="864" spans="1:19">
      <c r="A864" s="196">
        <v>41220</v>
      </c>
      <c r="B864" s="122">
        <v>10.09</v>
      </c>
      <c r="C864" s="122">
        <v>10.1</v>
      </c>
      <c r="D864" s="122">
        <v>9.7899999999999991</v>
      </c>
      <c r="E864" s="122">
        <v>9.8800000000000008</v>
      </c>
      <c r="F864" s="122">
        <v>7.4279460000000004</v>
      </c>
      <c r="G864" s="197">
        <v>196100</v>
      </c>
      <c r="H864" s="198">
        <f>IF(AND(E863&gt;=H863,E864&gt;=E863),E863*(1+'Trading Model'!$E$13),IF(AND(E864&lt;E863,E863&gt;=H863),E864*(1+'Trading Model'!$E$13),H863))</f>
        <v>27.698998950000004</v>
      </c>
      <c r="I864" s="198">
        <f>IF(K864&gt;0,E864*(1-'Trading Model'!E874),IF(E864&lt;I863,I863*(1-'Trading Model'!$E$14),I863))</f>
        <v>8.9840153609188427</v>
      </c>
      <c r="J864" s="198">
        <f t="shared" si="111"/>
        <v>0</v>
      </c>
      <c r="K864" s="198">
        <f t="shared" si="106"/>
        <v>0</v>
      </c>
      <c r="L864" s="198">
        <f>COUNTIF(J864:K864,"&lt;&gt;0")*-'Trading Model'!$E$15</f>
        <v>0</v>
      </c>
      <c r="M864" s="198">
        <f t="shared" si="104"/>
        <v>0</v>
      </c>
      <c r="N864" s="75">
        <f t="shared" si="107"/>
        <v>45</v>
      </c>
      <c r="O864" s="202">
        <f t="shared" si="108"/>
        <v>0</v>
      </c>
      <c r="P864" s="199">
        <f t="shared" si="105"/>
        <v>0</v>
      </c>
      <c r="Q864" s="203">
        <f t="shared" si="109"/>
        <v>57.000000000001947</v>
      </c>
      <c r="R864" s="203" t="s">
        <v>55</v>
      </c>
      <c r="S864" s="201">
        <f t="shared" si="110"/>
        <v>-2.0812685827551913E-2</v>
      </c>
    </row>
    <row r="865" spans="1:19">
      <c r="A865" s="196">
        <v>41221</v>
      </c>
      <c r="B865" s="122">
        <v>9.91</v>
      </c>
      <c r="C865" s="122">
        <v>9.9700000000000006</v>
      </c>
      <c r="D865" s="122">
        <v>9.69</v>
      </c>
      <c r="E865" s="122">
        <v>9.75</v>
      </c>
      <c r="F865" s="122">
        <v>7.3302100000000001</v>
      </c>
      <c r="G865" s="197">
        <v>244700</v>
      </c>
      <c r="H865" s="198">
        <f>IF(AND(E864&gt;=H864,E865&gt;=E864),E864*(1+'Trading Model'!$E$13),IF(AND(E865&lt;E864,E864&gt;=H864),E865*(1+'Trading Model'!$E$13),H864))</f>
        <v>27.698998950000004</v>
      </c>
      <c r="I865" s="198">
        <f>IF(K865&gt;0,E865*(1-'Trading Model'!E875),IF(E865&lt;I864,I864*(1-'Trading Model'!$E$14),I864))</f>
        <v>8.9840153609188427</v>
      </c>
      <c r="J865" s="198">
        <f t="shared" si="111"/>
        <v>0</v>
      </c>
      <c r="K865" s="198">
        <f t="shared" si="106"/>
        <v>0</v>
      </c>
      <c r="L865" s="198">
        <f>COUNTIF(J865:K865,"&lt;&gt;0")*-'Trading Model'!$E$15</f>
        <v>0</v>
      </c>
      <c r="M865" s="198">
        <f t="shared" si="104"/>
        <v>0</v>
      </c>
      <c r="N865" s="75">
        <f t="shared" si="107"/>
        <v>45</v>
      </c>
      <c r="O865" s="202">
        <f t="shared" si="108"/>
        <v>0</v>
      </c>
      <c r="P865" s="199">
        <f t="shared" si="105"/>
        <v>0</v>
      </c>
      <c r="Q865" s="203">
        <f t="shared" si="109"/>
        <v>56.900000000001945</v>
      </c>
      <c r="R865" s="203" t="s">
        <v>55</v>
      </c>
      <c r="S865" s="201">
        <f t="shared" si="110"/>
        <v>-1.3157894736842146E-2</v>
      </c>
    </row>
    <row r="866" spans="1:19">
      <c r="A866" s="196">
        <v>41222</v>
      </c>
      <c r="B866" s="122">
        <v>9.69</v>
      </c>
      <c r="C866" s="122">
        <v>9.9</v>
      </c>
      <c r="D866" s="122">
        <v>9.66</v>
      </c>
      <c r="E866" s="122">
        <v>9.81</v>
      </c>
      <c r="F866" s="122">
        <v>7.375318</v>
      </c>
      <c r="G866" s="197">
        <v>77600</v>
      </c>
      <c r="H866" s="198">
        <f>IF(AND(E865&gt;=H865,E866&gt;=E865),E865*(1+'Trading Model'!$E$13),IF(AND(E866&lt;E865,E865&gt;=H865),E866*(1+'Trading Model'!$E$13),H865))</f>
        <v>27.698998950000004</v>
      </c>
      <c r="I866" s="198">
        <f>IF(K866&gt;0,E866*(1-'Trading Model'!E876),IF(E866&lt;I865,I865*(1-'Trading Model'!$E$14),I865))</f>
        <v>8.9840153609188427</v>
      </c>
      <c r="J866" s="198">
        <f t="shared" si="111"/>
        <v>0</v>
      </c>
      <c r="K866" s="198">
        <f t="shared" si="106"/>
        <v>0</v>
      </c>
      <c r="L866" s="198">
        <f>COUNTIF(J866:K866,"&lt;&gt;0")*-'Trading Model'!$E$15</f>
        <v>0</v>
      </c>
      <c r="M866" s="198">
        <f t="shared" si="104"/>
        <v>0</v>
      </c>
      <c r="N866" s="75">
        <f t="shared" si="107"/>
        <v>45</v>
      </c>
      <c r="O866" s="202">
        <f t="shared" si="108"/>
        <v>0</v>
      </c>
      <c r="P866" s="199">
        <f t="shared" si="105"/>
        <v>0</v>
      </c>
      <c r="Q866" s="203">
        <f t="shared" si="109"/>
        <v>56.900000000001945</v>
      </c>
      <c r="R866" s="203" t="s">
        <v>55</v>
      </c>
      <c r="S866" s="201">
        <f t="shared" si="110"/>
        <v>6.1538461538461764E-3</v>
      </c>
    </row>
    <row r="867" spans="1:19">
      <c r="A867" s="196">
        <v>41225</v>
      </c>
      <c r="B867" s="122">
        <v>9.92</v>
      </c>
      <c r="C867" s="122">
        <v>10.029999999999999</v>
      </c>
      <c r="D867" s="122">
        <v>9.8000000000000007</v>
      </c>
      <c r="E867" s="122">
        <v>9.82</v>
      </c>
      <c r="F867" s="122">
        <v>7.3828360000000002</v>
      </c>
      <c r="G867" s="197">
        <v>127400</v>
      </c>
      <c r="H867" s="198">
        <f>IF(AND(E866&gt;=H866,E867&gt;=E866),E866*(1+'Trading Model'!$E$13),IF(AND(E867&lt;E866,E866&gt;=H866),E867*(1+'Trading Model'!$E$13),H866))</f>
        <v>27.698998950000004</v>
      </c>
      <c r="I867" s="198">
        <f>IF(K867&gt;0,E867*(1-'Trading Model'!E877),IF(E867&lt;I866,I866*(1-'Trading Model'!$E$14),I866))</f>
        <v>8.9840153609188427</v>
      </c>
      <c r="J867" s="198">
        <f t="shared" si="111"/>
        <v>0</v>
      </c>
      <c r="K867" s="198">
        <f t="shared" si="106"/>
        <v>0</v>
      </c>
      <c r="L867" s="198">
        <f>COUNTIF(J867:K867,"&lt;&gt;0")*-'Trading Model'!$E$15</f>
        <v>0</v>
      </c>
      <c r="M867" s="198">
        <f t="shared" si="104"/>
        <v>0</v>
      </c>
      <c r="N867" s="75">
        <f t="shared" si="107"/>
        <v>45</v>
      </c>
      <c r="O867" s="202">
        <f t="shared" si="108"/>
        <v>0</v>
      </c>
      <c r="P867" s="199">
        <f t="shared" si="105"/>
        <v>0</v>
      </c>
      <c r="Q867" s="203">
        <f t="shared" si="109"/>
        <v>56.900000000001945</v>
      </c>
      <c r="R867" s="201">
        <f>E867/B863-1</f>
        <v>-2.8684470820969254E-2</v>
      </c>
      <c r="S867" s="201">
        <f t="shared" si="110"/>
        <v>1.0193679918450993E-3</v>
      </c>
    </row>
    <row r="868" spans="1:19">
      <c r="A868" s="196">
        <v>41226</v>
      </c>
      <c r="B868" s="122">
        <v>9.8699999999999992</v>
      </c>
      <c r="C868" s="122">
        <v>9.8699999999999992</v>
      </c>
      <c r="D868" s="122">
        <v>9.4700000000000006</v>
      </c>
      <c r="E868" s="122">
        <v>9.5500000000000007</v>
      </c>
      <c r="F868" s="122">
        <v>7.1798460000000004</v>
      </c>
      <c r="G868" s="197">
        <v>291200</v>
      </c>
      <c r="H868" s="198">
        <f>IF(AND(E867&gt;=H867,E868&gt;=E867),E867*(1+'Trading Model'!$E$13),IF(AND(E868&lt;E867,E867&gt;=H867),E868*(1+'Trading Model'!$E$13),H867))</f>
        <v>27.698998950000004</v>
      </c>
      <c r="I868" s="198">
        <f>IF(K868&gt;0,E868*(1-'Trading Model'!E878),IF(E868&lt;I867,I867*(1-'Trading Model'!$E$14),I867))</f>
        <v>8.9840153609188427</v>
      </c>
      <c r="J868" s="198">
        <f t="shared" si="111"/>
        <v>0</v>
      </c>
      <c r="K868" s="198">
        <f t="shared" si="106"/>
        <v>0</v>
      </c>
      <c r="L868" s="198">
        <f>COUNTIF(J868:K868,"&lt;&gt;0")*-'Trading Model'!$E$15</f>
        <v>0</v>
      </c>
      <c r="M868" s="198">
        <f t="shared" si="104"/>
        <v>0</v>
      </c>
      <c r="N868" s="75">
        <f t="shared" si="107"/>
        <v>45</v>
      </c>
      <c r="O868" s="202">
        <f t="shared" si="108"/>
        <v>0</v>
      </c>
      <c r="P868" s="199">
        <f t="shared" si="105"/>
        <v>0</v>
      </c>
      <c r="Q868" s="203">
        <f t="shared" si="109"/>
        <v>56.800000000001944</v>
      </c>
      <c r="R868" s="160" t="s">
        <v>55</v>
      </c>
      <c r="S868" s="201">
        <f t="shared" si="110"/>
        <v>-2.7494908350305436E-2</v>
      </c>
    </row>
    <row r="869" spans="1:19">
      <c r="A869" s="196">
        <v>41227</v>
      </c>
      <c r="B869" s="122">
        <v>9.58</v>
      </c>
      <c r="C869" s="122">
        <v>9.7100000000000009</v>
      </c>
      <c r="D869" s="122">
        <v>9.44</v>
      </c>
      <c r="E869" s="122">
        <v>9.48</v>
      </c>
      <c r="F869" s="122">
        <v>7.1272200000000003</v>
      </c>
      <c r="G869" s="197">
        <v>151500</v>
      </c>
      <c r="H869" s="198">
        <f>IF(AND(E868&gt;=H868,E869&gt;=E868),E868*(1+'Trading Model'!$E$13),IF(AND(E869&lt;E868,E868&gt;=H868),E869*(1+'Trading Model'!$E$13),H868))</f>
        <v>27.698998950000004</v>
      </c>
      <c r="I869" s="198">
        <f>IF(K869&gt;0,E869*(1-'Trading Model'!E879),IF(E869&lt;I868,I868*(1-'Trading Model'!$E$14),I868))</f>
        <v>8.9840153609188427</v>
      </c>
      <c r="J869" s="198">
        <f t="shared" si="111"/>
        <v>0</v>
      </c>
      <c r="K869" s="198">
        <f t="shared" si="106"/>
        <v>0</v>
      </c>
      <c r="L869" s="198">
        <f>COUNTIF(J869:K869,"&lt;&gt;0")*-'Trading Model'!$E$15</f>
        <v>0</v>
      </c>
      <c r="M869" s="198">
        <f t="shared" si="104"/>
        <v>0</v>
      </c>
      <c r="N869" s="75">
        <f t="shared" si="107"/>
        <v>45</v>
      </c>
      <c r="O869" s="202">
        <f t="shared" si="108"/>
        <v>0</v>
      </c>
      <c r="P869" s="199">
        <f t="shared" si="105"/>
        <v>0</v>
      </c>
      <c r="Q869" s="203">
        <f t="shared" si="109"/>
        <v>56.700000000001943</v>
      </c>
      <c r="R869" s="203" t="s">
        <v>55</v>
      </c>
      <c r="S869" s="201">
        <f t="shared" si="110"/>
        <v>-7.3298429319371694E-3</v>
      </c>
    </row>
    <row r="870" spans="1:19">
      <c r="A870" s="196">
        <v>41228</v>
      </c>
      <c r="B870" s="122">
        <v>9.48</v>
      </c>
      <c r="C870" s="122">
        <v>9.64</v>
      </c>
      <c r="D870" s="122">
        <v>9.4</v>
      </c>
      <c r="E870" s="122">
        <v>9.64</v>
      </c>
      <c r="F870" s="122">
        <v>7.2475100000000001</v>
      </c>
      <c r="G870" s="197">
        <v>131900</v>
      </c>
      <c r="H870" s="198">
        <f>IF(AND(E869&gt;=H869,E870&gt;=E869),E869*(1+'Trading Model'!$E$13),IF(AND(E870&lt;E869,E869&gt;=H869),E870*(1+'Trading Model'!$E$13),H869))</f>
        <v>27.698998950000004</v>
      </c>
      <c r="I870" s="198">
        <f>IF(K870&gt;0,E870*(1-'Trading Model'!E880),IF(E870&lt;I869,I869*(1-'Trading Model'!$E$14),I869))</f>
        <v>8.9840153609188427</v>
      </c>
      <c r="J870" s="198">
        <f t="shared" si="111"/>
        <v>0</v>
      </c>
      <c r="K870" s="198">
        <f t="shared" si="106"/>
        <v>0</v>
      </c>
      <c r="L870" s="198">
        <f>COUNTIF(J870:K870,"&lt;&gt;0")*-'Trading Model'!$E$15</f>
        <v>0</v>
      </c>
      <c r="M870" s="198">
        <f t="shared" si="104"/>
        <v>0</v>
      </c>
      <c r="N870" s="75">
        <f t="shared" si="107"/>
        <v>45</v>
      </c>
      <c r="O870" s="202">
        <f t="shared" si="108"/>
        <v>0</v>
      </c>
      <c r="P870" s="199">
        <f t="shared" si="105"/>
        <v>0</v>
      </c>
      <c r="Q870" s="203">
        <f t="shared" si="109"/>
        <v>56.700000000001943</v>
      </c>
      <c r="R870" s="203" t="s">
        <v>55</v>
      </c>
      <c r="S870" s="201">
        <f t="shared" si="110"/>
        <v>1.6877637130801704E-2</v>
      </c>
    </row>
    <row r="871" spans="1:19">
      <c r="A871" s="196">
        <v>41229</v>
      </c>
      <c r="B871" s="122">
        <v>9.61</v>
      </c>
      <c r="C871" s="122">
        <v>9.6999999999999993</v>
      </c>
      <c r="D871" s="122">
        <v>9.39</v>
      </c>
      <c r="E871" s="122">
        <v>9.6300000000000008</v>
      </c>
      <c r="F871" s="122">
        <v>7.239992</v>
      </c>
      <c r="G871" s="197">
        <v>181200</v>
      </c>
      <c r="H871" s="198">
        <f>IF(AND(E870&gt;=H870,E871&gt;=E870),E870*(1+'Trading Model'!$E$13),IF(AND(E871&lt;E870,E870&gt;=H870),E871*(1+'Trading Model'!$E$13),H870))</f>
        <v>27.698998950000004</v>
      </c>
      <c r="I871" s="198">
        <f>IF(K871&gt;0,E871*(1-'Trading Model'!E881),IF(E871&lt;I870,I870*(1-'Trading Model'!$E$14),I870))</f>
        <v>8.9840153609188427</v>
      </c>
      <c r="J871" s="198">
        <f t="shared" si="111"/>
        <v>0</v>
      </c>
      <c r="K871" s="198">
        <f t="shared" si="106"/>
        <v>0</v>
      </c>
      <c r="L871" s="198">
        <f>COUNTIF(J871:K871,"&lt;&gt;0")*-'Trading Model'!$E$15</f>
        <v>0</v>
      </c>
      <c r="M871" s="198">
        <f t="shared" si="104"/>
        <v>0</v>
      </c>
      <c r="N871" s="75">
        <f t="shared" si="107"/>
        <v>45</v>
      </c>
      <c r="O871" s="202">
        <f t="shared" si="108"/>
        <v>0</v>
      </c>
      <c r="P871" s="199">
        <f t="shared" si="105"/>
        <v>0</v>
      </c>
      <c r="Q871" s="203">
        <f t="shared" si="109"/>
        <v>56.600000000001941</v>
      </c>
      <c r="R871" s="203" t="s">
        <v>55</v>
      </c>
      <c r="S871" s="201">
        <f t="shared" si="110"/>
        <v>-1.0373443983402453E-3</v>
      </c>
    </row>
    <row r="872" spans="1:19">
      <c r="A872" s="196">
        <v>41232</v>
      </c>
      <c r="B872" s="122">
        <v>9.6999999999999993</v>
      </c>
      <c r="C872" s="122">
        <v>9.7899999999999991</v>
      </c>
      <c r="D872" s="122">
        <v>9.57</v>
      </c>
      <c r="E872" s="122">
        <v>9.64</v>
      </c>
      <c r="F872" s="122">
        <v>7.2475100000000001</v>
      </c>
      <c r="G872" s="197">
        <v>112500</v>
      </c>
      <c r="H872" s="198">
        <f>IF(AND(E871&gt;=H871,E872&gt;=E871),E871*(1+'Trading Model'!$E$13),IF(AND(E872&lt;E871,E871&gt;=H871),E872*(1+'Trading Model'!$E$13),H871))</f>
        <v>27.698998950000004</v>
      </c>
      <c r="I872" s="198">
        <f>IF(K872&gt;0,E872*(1-'Trading Model'!E882),IF(E872&lt;I871,I871*(1-'Trading Model'!$E$14),I871))</f>
        <v>8.9840153609188427</v>
      </c>
      <c r="J872" s="198">
        <f t="shared" si="111"/>
        <v>0</v>
      </c>
      <c r="K872" s="198">
        <f t="shared" si="106"/>
        <v>0</v>
      </c>
      <c r="L872" s="198">
        <f>COUNTIF(J872:K872,"&lt;&gt;0")*-'Trading Model'!$E$15</f>
        <v>0</v>
      </c>
      <c r="M872" s="198">
        <f t="shared" si="104"/>
        <v>0</v>
      </c>
      <c r="N872" s="75">
        <f t="shared" si="107"/>
        <v>45</v>
      </c>
      <c r="O872" s="202">
        <f t="shared" si="108"/>
        <v>0</v>
      </c>
      <c r="P872" s="199">
        <f t="shared" si="105"/>
        <v>0</v>
      </c>
      <c r="Q872" s="203">
        <f t="shared" si="109"/>
        <v>56.600000000001941</v>
      </c>
      <c r="R872" s="201">
        <f>E872/B868-1</f>
        <v>-2.3302938196555045E-2</v>
      </c>
      <c r="S872" s="201">
        <f t="shared" si="110"/>
        <v>1.0384215991692258E-3</v>
      </c>
    </row>
    <row r="873" spans="1:19">
      <c r="A873" s="196">
        <v>41233</v>
      </c>
      <c r="B873" s="122">
        <v>9.5500000000000007</v>
      </c>
      <c r="C873" s="122">
        <v>9.66</v>
      </c>
      <c r="D873" s="122">
        <v>9.4499999999999993</v>
      </c>
      <c r="E873" s="122">
        <v>9.5</v>
      </c>
      <c r="F873" s="122">
        <v>7.1422549999999996</v>
      </c>
      <c r="G873" s="197">
        <v>83000</v>
      </c>
      <c r="H873" s="198">
        <f>IF(AND(E872&gt;=H872,E873&gt;=E872),E872*(1+'Trading Model'!$E$13),IF(AND(E873&lt;E872,E872&gt;=H872),E873*(1+'Trading Model'!$E$13),H872))</f>
        <v>27.698998950000004</v>
      </c>
      <c r="I873" s="198">
        <f>IF(K873&gt;0,E873*(1-'Trading Model'!E883),IF(E873&lt;I872,I872*(1-'Trading Model'!$E$14),I872))</f>
        <v>8.9840153609188427</v>
      </c>
      <c r="J873" s="198">
        <f t="shared" si="111"/>
        <v>0</v>
      </c>
      <c r="K873" s="198">
        <f t="shared" si="106"/>
        <v>0</v>
      </c>
      <c r="L873" s="198">
        <f>COUNTIF(J873:K873,"&lt;&gt;0")*-'Trading Model'!$E$15</f>
        <v>0</v>
      </c>
      <c r="M873" s="198">
        <f t="shared" si="104"/>
        <v>0</v>
      </c>
      <c r="N873" s="75">
        <f t="shared" si="107"/>
        <v>45</v>
      </c>
      <c r="O873" s="202">
        <f t="shared" si="108"/>
        <v>0</v>
      </c>
      <c r="P873" s="199">
        <f t="shared" si="105"/>
        <v>0</v>
      </c>
      <c r="Q873" s="203">
        <f t="shared" si="109"/>
        <v>56.50000000000194</v>
      </c>
      <c r="R873" s="160" t="s">
        <v>55</v>
      </c>
      <c r="S873" s="201">
        <f t="shared" si="110"/>
        <v>-1.4522821576763545E-2</v>
      </c>
    </row>
    <row r="874" spans="1:19">
      <c r="A874" s="196">
        <v>41234</v>
      </c>
      <c r="B874" s="122">
        <v>9.58</v>
      </c>
      <c r="C874" s="122">
        <v>9.6199999999999992</v>
      </c>
      <c r="D874" s="122">
        <v>9.32</v>
      </c>
      <c r="E874" s="122">
        <v>9.3699999999999992</v>
      </c>
      <c r="F874" s="122">
        <v>7.0445190000000002</v>
      </c>
      <c r="G874" s="197">
        <v>213100</v>
      </c>
      <c r="H874" s="198">
        <f>IF(AND(E873&gt;=H873,E874&gt;=E873),E873*(1+'Trading Model'!$E$13),IF(AND(E874&lt;E873,E873&gt;=H873),E874*(1+'Trading Model'!$E$13),H873))</f>
        <v>27.698998950000004</v>
      </c>
      <c r="I874" s="198">
        <f>IF(K874&gt;0,E874*(1-'Trading Model'!E884),IF(E874&lt;I873,I873*(1-'Trading Model'!$E$14),I873))</f>
        <v>8.9840153609188427</v>
      </c>
      <c r="J874" s="198">
        <f t="shared" si="111"/>
        <v>0</v>
      </c>
      <c r="K874" s="198">
        <f t="shared" si="106"/>
        <v>0</v>
      </c>
      <c r="L874" s="198">
        <f>COUNTIF(J874:K874,"&lt;&gt;0")*-'Trading Model'!$E$15</f>
        <v>0</v>
      </c>
      <c r="M874" s="198">
        <f t="shared" si="104"/>
        <v>0</v>
      </c>
      <c r="N874" s="75">
        <f t="shared" si="107"/>
        <v>45</v>
      </c>
      <c r="O874" s="202">
        <f t="shared" si="108"/>
        <v>0</v>
      </c>
      <c r="P874" s="199">
        <f t="shared" si="105"/>
        <v>0</v>
      </c>
      <c r="Q874" s="203">
        <f t="shared" si="109"/>
        <v>56.400000000001938</v>
      </c>
      <c r="R874" s="203" t="s">
        <v>55</v>
      </c>
      <c r="S874" s="201">
        <f t="shared" si="110"/>
        <v>-1.3684210526315854E-2</v>
      </c>
    </row>
    <row r="875" spans="1:19">
      <c r="A875" s="196">
        <v>41236</v>
      </c>
      <c r="B875" s="122">
        <v>9.18</v>
      </c>
      <c r="C875" s="122">
        <v>9.48</v>
      </c>
      <c r="D875" s="122">
        <v>9.1199999999999992</v>
      </c>
      <c r="E875" s="122">
        <v>9.41</v>
      </c>
      <c r="F875" s="122">
        <v>7.074592</v>
      </c>
      <c r="G875" s="197">
        <v>128100</v>
      </c>
      <c r="H875" s="198">
        <f>IF(AND(E874&gt;=H874,E875&gt;=E874),E874*(1+'Trading Model'!$E$13),IF(AND(E875&lt;E874,E874&gt;=H874),E875*(1+'Trading Model'!$E$13),H874))</f>
        <v>27.698998950000004</v>
      </c>
      <c r="I875" s="198">
        <f>IF(K875&gt;0,E875*(1-'Trading Model'!E885),IF(E875&lt;I874,I874*(1-'Trading Model'!$E$14),I874))</f>
        <v>8.9840153609188427</v>
      </c>
      <c r="J875" s="198">
        <f t="shared" si="111"/>
        <v>0</v>
      </c>
      <c r="K875" s="198">
        <f t="shared" si="106"/>
        <v>0</v>
      </c>
      <c r="L875" s="198">
        <f>COUNTIF(J875:K875,"&lt;&gt;0")*-'Trading Model'!$E$15</f>
        <v>0</v>
      </c>
      <c r="M875" s="198">
        <f t="shared" si="104"/>
        <v>0</v>
      </c>
      <c r="N875" s="75">
        <f t="shared" si="107"/>
        <v>45</v>
      </c>
      <c r="O875" s="202">
        <f t="shared" si="108"/>
        <v>0</v>
      </c>
      <c r="P875" s="199">
        <f t="shared" si="105"/>
        <v>0</v>
      </c>
      <c r="Q875" s="203">
        <f t="shared" si="109"/>
        <v>56.400000000001938</v>
      </c>
      <c r="R875" s="203" t="s">
        <v>55</v>
      </c>
      <c r="S875" s="201">
        <f t="shared" si="110"/>
        <v>4.2689434364995282E-3</v>
      </c>
    </row>
    <row r="876" spans="1:19">
      <c r="A876" s="196">
        <v>41239</v>
      </c>
      <c r="B876" s="122">
        <v>9.6</v>
      </c>
      <c r="C876" s="122">
        <v>10.119999999999999</v>
      </c>
      <c r="D876" s="122">
        <v>9.5399999999999991</v>
      </c>
      <c r="E876" s="122">
        <v>9.89</v>
      </c>
      <c r="F876" s="122">
        <v>7.4354639999999996</v>
      </c>
      <c r="G876" s="197">
        <v>479800</v>
      </c>
      <c r="H876" s="198">
        <f>IF(AND(E875&gt;=H875,E876&gt;=E875),E875*(1+'Trading Model'!$E$13),IF(AND(E876&lt;E875,E875&gt;=H875),E876*(1+'Trading Model'!$E$13),H875))</f>
        <v>27.698998950000004</v>
      </c>
      <c r="I876" s="198">
        <f>IF(K876&gt;0,E876*(1-'Trading Model'!E886),IF(E876&lt;I875,I875*(1-'Trading Model'!$E$14),I875))</f>
        <v>8.9840153609188427</v>
      </c>
      <c r="J876" s="198">
        <f t="shared" si="111"/>
        <v>0</v>
      </c>
      <c r="K876" s="198">
        <f t="shared" si="106"/>
        <v>0</v>
      </c>
      <c r="L876" s="198">
        <f>COUNTIF(J876:K876,"&lt;&gt;0")*-'Trading Model'!$E$15</f>
        <v>0</v>
      </c>
      <c r="M876" s="198">
        <f t="shared" si="104"/>
        <v>0</v>
      </c>
      <c r="N876" s="75">
        <f t="shared" si="107"/>
        <v>45</v>
      </c>
      <c r="O876" s="202">
        <f t="shared" si="108"/>
        <v>0</v>
      </c>
      <c r="P876" s="199">
        <f t="shared" si="105"/>
        <v>0</v>
      </c>
      <c r="Q876" s="203">
        <f t="shared" si="109"/>
        <v>56.400000000001938</v>
      </c>
      <c r="R876" s="203" t="s">
        <v>55</v>
      </c>
      <c r="S876" s="201">
        <f t="shared" si="110"/>
        <v>5.1009564293305054E-2</v>
      </c>
    </row>
    <row r="877" spans="1:19">
      <c r="A877" s="196">
        <v>41240</v>
      </c>
      <c r="B877" s="122">
        <v>9.89</v>
      </c>
      <c r="C877" s="122">
        <v>9.93</v>
      </c>
      <c r="D877" s="122">
        <v>9.6300000000000008</v>
      </c>
      <c r="E877" s="122">
        <v>9.8000000000000007</v>
      </c>
      <c r="F877" s="122">
        <v>7.367801</v>
      </c>
      <c r="G877" s="197">
        <v>135600</v>
      </c>
      <c r="H877" s="198">
        <f>IF(AND(E876&gt;=H876,E877&gt;=E876),E876*(1+'Trading Model'!$E$13),IF(AND(E877&lt;E876,E876&gt;=H876),E877*(1+'Trading Model'!$E$13),H876))</f>
        <v>27.698998950000004</v>
      </c>
      <c r="I877" s="198">
        <f>IF(K877&gt;0,E877*(1-'Trading Model'!E887),IF(E877&lt;I876,I876*(1-'Trading Model'!$E$14),I876))</f>
        <v>8.9840153609188427</v>
      </c>
      <c r="J877" s="198">
        <f t="shared" si="111"/>
        <v>0</v>
      </c>
      <c r="K877" s="198">
        <f t="shared" si="106"/>
        <v>0</v>
      </c>
      <c r="L877" s="198">
        <f>COUNTIF(J877:K877,"&lt;&gt;0")*-'Trading Model'!$E$15</f>
        <v>0</v>
      </c>
      <c r="M877" s="198">
        <f t="shared" si="104"/>
        <v>0</v>
      </c>
      <c r="N877" s="75">
        <f t="shared" si="107"/>
        <v>45</v>
      </c>
      <c r="O877" s="202">
        <f t="shared" si="108"/>
        <v>0</v>
      </c>
      <c r="P877" s="199">
        <f t="shared" si="105"/>
        <v>0</v>
      </c>
      <c r="Q877" s="203">
        <f t="shared" si="109"/>
        <v>56.300000000001937</v>
      </c>
      <c r="R877" s="201">
        <f>E877/B873-1</f>
        <v>2.6178010471204161E-2</v>
      </c>
      <c r="S877" s="201">
        <f t="shared" si="110"/>
        <v>-9.1001011122345821E-3</v>
      </c>
    </row>
    <row r="878" spans="1:19">
      <c r="A878" s="196">
        <v>41241</v>
      </c>
      <c r="B878" s="122">
        <v>9.81</v>
      </c>
      <c r="C878" s="122">
        <v>9.8699999999999992</v>
      </c>
      <c r="D878" s="122">
        <v>9.61</v>
      </c>
      <c r="E878" s="122">
        <v>9.84</v>
      </c>
      <c r="F878" s="122">
        <v>7.3978719999999996</v>
      </c>
      <c r="G878" s="197">
        <v>90700</v>
      </c>
      <c r="H878" s="198">
        <f>IF(AND(E877&gt;=H877,E878&gt;=E877),E877*(1+'Trading Model'!$E$13),IF(AND(E878&lt;E877,E877&gt;=H877),E878*(1+'Trading Model'!$E$13),H877))</f>
        <v>27.698998950000004</v>
      </c>
      <c r="I878" s="198">
        <f>IF(K878&gt;0,E878*(1-'Trading Model'!E888),IF(E878&lt;I877,I877*(1-'Trading Model'!$E$14),I877))</f>
        <v>8.9840153609188427</v>
      </c>
      <c r="J878" s="198">
        <f t="shared" si="111"/>
        <v>0</v>
      </c>
      <c r="K878" s="198">
        <f t="shared" si="106"/>
        <v>0</v>
      </c>
      <c r="L878" s="198">
        <f>COUNTIF(J878:K878,"&lt;&gt;0")*-'Trading Model'!$E$15</f>
        <v>0</v>
      </c>
      <c r="M878" s="198">
        <f t="shared" si="104"/>
        <v>0</v>
      </c>
      <c r="N878" s="75">
        <f t="shared" si="107"/>
        <v>45</v>
      </c>
      <c r="O878" s="202">
        <f t="shared" si="108"/>
        <v>0</v>
      </c>
      <c r="P878" s="199">
        <f t="shared" si="105"/>
        <v>0</v>
      </c>
      <c r="Q878" s="203">
        <f t="shared" si="109"/>
        <v>56.300000000001937</v>
      </c>
      <c r="R878" s="160" t="s">
        <v>55</v>
      </c>
      <c r="S878" s="201">
        <f t="shared" si="110"/>
        <v>4.0816326530610514E-3</v>
      </c>
    </row>
    <row r="879" spans="1:19">
      <c r="A879" s="196">
        <v>41242</v>
      </c>
      <c r="B879" s="122">
        <v>9.82</v>
      </c>
      <c r="C879" s="122">
        <v>10.39</v>
      </c>
      <c r="D879" s="122">
        <v>9.51</v>
      </c>
      <c r="E879" s="122">
        <v>10.38</v>
      </c>
      <c r="F879" s="122">
        <v>7.8038540000000003</v>
      </c>
      <c r="G879" s="197">
        <v>229800</v>
      </c>
      <c r="H879" s="198">
        <f>IF(AND(E878&gt;=H878,E879&gt;=E878),E878*(1+'Trading Model'!$E$13),IF(AND(E879&lt;E878,E878&gt;=H878),E879*(1+'Trading Model'!$E$13),H878))</f>
        <v>27.698998950000004</v>
      </c>
      <c r="I879" s="198">
        <f>IF(K879&gt;0,E879*(1-'Trading Model'!E889),IF(E879&lt;I878,I878*(1-'Trading Model'!$E$14),I878))</f>
        <v>8.9840153609188427</v>
      </c>
      <c r="J879" s="198">
        <f t="shared" si="111"/>
        <v>0</v>
      </c>
      <c r="K879" s="198">
        <f t="shared" si="106"/>
        <v>0</v>
      </c>
      <c r="L879" s="198">
        <f>COUNTIF(J879:K879,"&lt;&gt;0")*-'Trading Model'!$E$15</f>
        <v>0</v>
      </c>
      <c r="M879" s="198">
        <f t="shared" si="104"/>
        <v>0</v>
      </c>
      <c r="N879" s="75">
        <f t="shared" si="107"/>
        <v>45</v>
      </c>
      <c r="O879" s="202">
        <f t="shared" si="108"/>
        <v>0</v>
      </c>
      <c r="P879" s="199">
        <f t="shared" si="105"/>
        <v>0</v>
      </c>
      <c r="Q879" s="203">
        <f t="shared" si="109"/>
        <v>56.300000000001937</v>
      </c>
      <c r="R879" s="203" t="s">
        <v>55</v>
      </c>
      <c r="S879" s="201">
        <f t="shared" si="110"/>
        <v>5.4878048780487854E-2</v>
      </c>
    </row>
    <row r="880" spans="1:19">
      <c r="A880" s="196">
        <v>41243</v>
      </c>
      <c r="B880" s="122">
        <v>10.35</v>
      </c>
      <c r="C880" s="122">
        <v>10.35</v>
      </c>
      <c r="D880" s="122">
        <v>10.029999999999999</v>
      </c>
      <c r="E880" s="122">
        <v>10.119999999999999</v>
      </c>
      <c r="F880" s="122">
        <v>7.6083809999999996</v>
      </c>
      <c r="G880" s="197">
        <v>114400</v>
      </c>
      <c r="H880" s="198">
        <f>IF(AND(E879&gt;=H879,E880&gt;=E879),E879*(1+'Trading Model'!$E$13),IF(AND(E880&lt;E879,E879&gt;=H879),E880*(1+'Trading Model'!$E$13),H879))</f>
        <v>27.698998950000004</v>
      </c>
      <c r="I880" s="198">
        <f>IF(K880&gt;0,E880*(1-'Trading Model'!E890),IF(E880&lt;I879,I879*(1-'Trading Model'!$E$14),I879))</f>
        <v>8.9840153609188427</v>
      </c>
      <c r="J880" s="198">
        <f t="shared" si="111"/>
        <v>0</v>
      </c>
      <c r="K880" s="198">
        <f t="shared" si="106"/>
        <v>0</v>
      </c>
      <c r="L880" s="198">
        <f>COUNTIF(J880:K880,"&lt;&gt;0")*-'Trading Model'!$E$15</f>
        <v>0</v>
      </c>
      <c r="M880" s="198">
        <f t="shared" si="104"/>
        <v>0</v>
      </c>
      <c r="N880" s="75">
        <f t="shared" si="107"/>
        <v>45</v>
      </c>
      <c r="O880" s="202">
        <f t="shared" si="108"/>
        <v>0</v>
      </c>
      <c r="P880" s="199">
        <f t="shared" si="105"/>
        <v>0</v>
      </c>
      <c r="Q880" s="203">
        <f t="shared" si="109"/>
        <v>56.200000000001936</v>
      </c>
      <c r="R880" s="203" t="s">
        <v>55</v>
      </c>
      <c r="S880" s="201">
        <f t="shared" si="110"/>
        <v>-2.5048169556840194E-2</v>
      </c>
    </row>
    <row r="881" spans="1:19">
      <c r="A881" s="196">
        <v>41246</v>
      </c>
      <c r="B881" s="122">
        <v>10.039999999999999</v>
      </c>
      <c r="C881" s="122">
        <v>10.130000000000001</v>
      </c>
      <c r="D881" s="122">
        <v>9.94</v>
      </c>
      <c r="E881" s="122">
        <v>10.130000000000001</v>
      </c>
      <c r="F881" s="122">
        <v>7.6158989999999998</v>
      </c>
      <c r="G881" s="197">
        <v>80700</v>
      </c>
      <c r="H881" s="198">
        <f>IF(AND(E880&gt;=H880,E881&gt;=E880),E880*(1+'Trading Model'!$E$13),IF(AND(E881&lt;E880,E880&gt;=H880),E881*(1+'Trading Model'!$E$13),H880))</f>
        <v>27.698998950000004</v>
      </c>
      <c r="I881" s="198">
        <f>IF(K881&gt;0,E881*(1-'Trading Model'!E891),IF(E881&lt;I880,I880*(1-'Trading Model'!$E$14),I880))</f>
        <v>8.9840153609188427</v>
      </c>
      <c r="J881" s="198">
        <f t="shared" si="111"/>
        <v>0</v>
      </c>
      <c r="K881" s="198">
        <f t="shared" si="106"/>
        <v>0</v>
      </c>
      <c r="L881" s="198">
        <f>COUNTIF(J881:K881,"&lt;&gt;0")*-'Trading Model'!$E$15</f>
        <v>0</v>
      </c>
      <c r="M881" s="198">
        <f t="shared" si="104"/>
        <v>0</v>
      </c>
      <c r="N881" s="75">
        <f t="shared" si="107"/>
        <v>45</v>
      </c>
      <c r="O881" s="202">
        <f t="shared" si="108"/>
        <v>0</v>
      </c>
      <c r="P881" s="199">
        <f t="shared" si="105"/>
        <v>0</v>
      </c>
      <c r="Q881" s="203">
        <f t="shared" si="109"/>
        <v>56.200000000001936</v>
      </c>
      <c r="R881" s="203" t="s">
        <v>55</v>
      </c>
      <c r="S881" s="201">
        <f t="shared" si="110"/>
        <v>9.8814229249022389E-4</v>
      </c>
    </row>
    <row r="882" spans="1:19">
      <c r="A882" s="196">
        <v>41247</v>
      </c>
      <c r="B882" s="122">
        <v>10.09</v>
      </c>
      <c r="C882" s="122">
        <v>10.3</v>
      </c>
      <c r="D882" s="122">
        <v>10.029999999999999</v>
      </c>
      <c r="E882" s="122">
        <v>10.15</v>
      </c>
      <c r="F882" s="122">
        <v>7.630935</v>
      </c>
      <c r="G882" s="197">
        <v>95900</v>
      </c>
      <c r="H882" s="198">
        <f>IF(AND(E881&gt;=H881,E882&gt;=E881),E881*(1+'Trading Model'!$E$13),IF(AND(E882&lt;E881,E881&gt;=H881),E882*(1+'Trading Model'!$E$13),H881))</f>
        <v>27.698998950000004</v>
      </c>
      <c r="I882" s="198">
        <f>IF(K882&gt;0,E882*(1-'Trading Model'!E892),IF(E882&lt;I881,I881*(1-'Trading Model'!$E$14),I881))</f>
        <v>8.9840153609188427</v>
      </c>
      <c r="J882" s="198">
        <f t="shared" si="111"/>
        <v>0</v>
      </c>
      <c r="K882" s="198">
        <f t="shared" si="106"/>
        <v>0</v>
      </c>
      <c r="L882" s="198">
        <f>COUNTIF(J882:K882,"&lt;&gt;0")*-'Trading Model'!$E$15</f>
        <v>0</v>
      </c>
      <c r="M882" s="198">
        <f t="shared" si="104"/>
        <v>0</v>
      </c>
      <c r="N882" s="75">
        <f t="shared" si="107"/>
        <v>45</v>
      </c>
      <c r="O882" s="202">
        <f t="shared" si="108"/>
        <v>0</v>
      </c>
      <c r="P882" s="199">
        <f t="shared" si="105"/>
        <v>0</v>
      </c>
      <c r="Q882" s="203">
        <f t="shared" si="109"/>
        <v>56.200000000001936</v>
      </c>
      <c r="R882" s="201">
        <f>E882/B878-1</f>
        <v>3.4658511722731822E-2</v>
      </c>
      <c r="S882" s="201">
        <f t="shared" si="110"/>
        <v>1.9743336623889718E-3</v>
      </c>
    </row>
    <row r="883" spans="1:19">
      <c r="A883" s="196">
        <v>41248</v>
      </c>
      <c r="B883" s="122">
        <v>10.17</v>
      </c>
      <c r="C883" s="122">
        <v>10.27</v>
      </c>
      <c r="D883" s="122">
        <v>10.09</v>
      </c>
      <c r="E883" s="122">
        <v>10.210000000000001</v>
      </c>
      <c r="F883" s="122">
        <v>7.6760460000000004</v>
      </c>
      <c r="G883" s="197">
        <v>114100</v>
      </c>
      <c r="H883" s="198">
        <f>IF(AND(E882&gt;=H882,E883&gt;=E882),E882*(1+'Trading Model'!$E$13),IF(AND(E883&lt;E882,E882&gt;=H882),E883*(1+'Trading Model'!$E$13),H882))</f>
        <v>27.698998950000004</v>
      </c>
      <c r="I883" s="198">
        <f>IF(K883&gt;0,E883*(1-'Trading Model'!E893),IF(E883&lt;I882,I882*(1-'Trading Model'!$E$14),I882))</f>
        <v>8.9840153609188427</v>
      </c>
      <c r="J883" s="198">
        <f t="shared" si="111"/>
        <v>0</v>
      </c>
      <c r="K883" s="198">
        <f t="shared" si="106"/>
        <v>0</v>
      </c>
      <c r="L883" s="198">
        <f>COUNTIF(J883:K883,"&lt;&gt;0")*-'Trading Model'!$E$15</f>
        <v>0</v>
      </c>
      <c r="M883" s="198">
        <f t="shared" si="104"/>
        <v>0</v>
      </c>
      <c r="N883" s="75">
        <f t="shared" si="107"/>
        <v>45</v>
      </c>
      <c r="O883" s="202">
        <f t="shared" si="108"/>
        <v>0</v>
      </c>
      <c r="P883" s="199">
        <f t="shared" si="105"/>
        <v>0</v>
      </c>
      <c r="Q883" s="203">
        <f t="shared" si="109"/>
        <v>56.200000000001936</v>
      </c>
      <c r="R883" s="160" t="s">
        <v>55</v>
      </c>
      <c r="S883" s="201">
        <f t="shared" si="110"/>
        <v>5.9113300492610321E-3</v>
      </c>
    </row>
    <row r="884" spans="1:19">
      <c r="A884" s="196">
        <v>41249</v>
      </c>
      <c r="B884" s="122">
        <v>10.09</v>
      </c>
      <c r="C884" s="122">
        <v>10.16</v>
      </c>
      <c r="D884" s="122">
        <v>9.9499999999999993</v>
      </c>
      <c r="E884" s="122">
        <v>10.029999999999999</v>
      </c>
      <c r="F884" s="122">
        <v>7.5407169999999999</v>
      </c>
      <c r="G884" s="197">
        <v>68400</v>
      </c>
      <c r="H884" s="198">
        <f>IF(AND(E883&gt;=H883,E884&gt;=E883),E883*(1+'Trading Model'!$E$13),IF(AND(E884&lt;E883,E883&gt;=H883),E884*(1+'Trading Model'!$E$13),H883))</f>
        <v>27.698998950000004</v>
      </c>
      <c r="I884" s="198">
        <f>IF(K884&gt;0,E884*(1-'Trading Model'!E894),IF(E884&lt;I883,I883*(1-'Trading Model'!$E$14),I883))</f>
        <v>8.9840153609188427</v>
      </c>
      <c r="J884" s="198">
        <f t="shared" si="111"/>
        <v>0</v>
      </c>
      <c r="K884" s="198">
        <f t="shared" si="106"/>
        <v>0</v>
      </c>
      <c r="L884" s="198">
        <f>COUNTIF(J884:K884,"&lt;&gt;0")*-'Trading Model'!$E$15</f>
        <v>0</v>
      </c>
      <c r="M884" s="198">
        <f t="shared" si="104"/>
        <v>0</v>
      </c>
      <c r="N884" s="75">
        <f t="shared" si="107"/>
        <v>45</v>
      </c>
      <c r="O884" s="202">
        <f t="shared" si="108"/>
        <v>0</v>
      </c>
      <c r="P884" s="199">
        <f t="shared" si="105"/>
        <v>0</v>
      </c>
      <c r="Q884" s="203">
        <f t="shared" si="109"/>
        <v>56.100000000001934</v>
      </c>
      <c r="R884" s="203" t="s">
        <v>55</v>
      </c>
      <c r="S884" s="201">
        <f t="shared" si="110"/>
        <v>-1.7629774730656411E-2</v>
      </c>
    </row>
    <row r="885" spans="1:19">
      <c r="A885" s="196">
        <v>41250</v>
      </c>
      <c r="B885" s="122">
        <v>10.06</v>
      </c>
      <c r="C885" s="122">
        <v>10.09</v>
      </c>
      <c r="D885" s="122">
        <v>9.9700000000000006</v>
      </c>
      <c r="E885" s="122">
        <v>10.02</v>
      </c>
      <c r="F885" s="122">
        <v>7.533201</v>
      </c>
      <c r="G885" s="197">
        <v>50400</v>
      </c>
      <c r="H885" s="198">
        <f>IF(AND(E884&gt;=H884,E885&gt;=E884),E884*(1+'Trading Model'!$E$13),IF(AND(E885&lt;E884,E884&gt;=H884),E885*(1+'Trading Model'!$E$13),H884))</f>
        <v>27.698998950000004</v>
      </c>
      <c r="I885" s="198">
        <f>IF(K885&gt;0,E885*(1-'Trading Model'!E895),IF(E885&lt;I884,I884*(1-'Trading Model'!$E$14),I884))</f>
        <v>8.9840153609188427</v>
      </c>
      <c r="J885" s="198">
        <f t="shared" si="111"/>
        <v>0</v>
      </c>
      <c r="K885" s="198">
        <f t="shared" si="106"/>
        <v>0</v>
      </c>
      <c r="L885" s="198">
        <f>COUNTIF(J885:K885,"&lt;&gt;0")*-'Trading Model'!$E$15</f>
        <v>0</v>
      </c>
      <c r="M885" s="198">
        <f t="shared" si="104"/>
        <v>0</v>
      </c>
      <c r="N885" s="75">
        <f t="shared" si="107"/>
        <v>45</v>
      </c>
      <c r="O885" s="202">
        <f t="shared" si="108"/>
        <v>0</v>
      </c>
      <c r="P885" s="199">
        <f t="shared" si="105"/>
        <v>0</v>
      </c>
      <c r="Q885" s="203">
        <f t="shared" si="109"/>
        <v>56.000000000001933</v>
      </c>
      <c r="R885" s="203" t="s">
        <v>55</v>
      </c>
      <c r="S885" s="201">
        <f t="shared" si="110"/>
        <v>-9.9700897308074854E-4</v>
      </c>
    </row>
    <row r="886" spans="1:19">
      <c r="A886" s="196">
        <v>41253</v>
      </c>
      <c r="B886" s="122">
        <v>9.99</v>
      </c>
      <c r="C886" s="122">
        <v>10.48</v>
      </c>
      <c r="D886" s="122">
        <v>9.93</v>
      </c>
      <c r="E886" s="122">
        <v>10.46</v>
      </c>
      <c r="F886" s="122">
        <v>7.8639989999999997</v>
      </c>
      <c r="G886" s="197">
        <v>106800</v>
      </c>
      <c r="H886" s="198">
        <f>IF(AND(E885&gt;=H885,E886&gt;=E885),E885*(1+'Trading Model'!$E$13),IF(AND(E886&lt;E885,E885&gt;=H885),E886*(1+'Trading Model'!$E$13),H885))</f>
        <v>27.698998950000004</v>
      </c>
      <c r="I886" s="198">
        <f>IF(K886&gt;0,E886*(1-'Trading Model'!E896),IF(E886&lt;I885,I885*(1-'Trading Model'!$E$14),I885))</f>
        <v>8.9840153609188427</v>
      </c>
      <c r="J886" s="198">
        <f t="shared" si="111"/>
        <v>0</v>
      </c>
      <c r="K886" s="198">
        <f t="shared" si="106"/>
        <v>0</v>
      </c>
      <c r="L886" s="198">
        <f>COUNTIF(J886:K886,"&lt;&gt;0")*-'Trading Model'!$E$15</f>
        <v>0</v>
      </c>
      <c r="M886" s="198">
        <f t="shared" si="104"/>
        <v>0</v>
      </c>
      <c r="N886" s="75">
        <f t="shared" si="107"/>
        <v>45</v>
      </c>
      <c r="O886" s="202">
        <f t="shared" si="108"/>
        <v>0</v>
      </c>
      <c r="P886" s="199">
        <f t="shared" si="105"/>
        <v>0</v>
      </c>
      <c r="Q886" s="203">
        <f t="shared" si="109"/>
        <v>56.000000000001933</v>
      </c>
      <c r="R886" s="203" t="s">
        <v>55</v>
      </c>
      <c r="S886" s="201">
        <f t="shared" si="110"/>
        <v>4.3912175648702645E-2</v>
      </c>
    </row>
    <row r="887" spans="1:19">
      <c r="A887" s="196">
        <v>41254</v>
      </c>
      <c r="B887" s="122">
        <v>10.46</v>
      </c>
      <c r="C887" s="122">
        <v>11.03</v>
      </c>
      <c r="D887" s="122">
        <v>10.36</v>
      </c>
      <c r="E887" s="122">
        <v>11</v>
      </c>
      <c r="F887" s="122">
        <v>8.2699809999999996</v>
      </c>
      <c r="G887" s="197">
        <v>348400</v>
      </c>
      <c r="H887" s="198">
        <f>IF(AND(E886&gt;=H886,E887&gt;=E886),E886*(1+'Trading Model'!$E$13),IF(AND(E887&lt;E886,E886&gt;=H886),E887*(1+'Trading Model'!$E$13),H886))</f>
        <v>27.698998950000004</v>
      </c>
      <c r="I887" s="198">
        <f>IF(K887&gt;0,E887*(1-'Trading Model'!E897),IF(E887&lt;I886,I886*(1-'Trading Model'!$E$14),I886))</f>
        <v>8.9840153609188427</v>
      </c>
      <c r="J887" s="198">
        <f t="shared" si="111"/>
        <v>0</v>
      </c>
      <c r="K887" s="198">
        <f t="shared" si="106"/>
        <v>0</v>
      </c>
      <c r="L887" s="198">
        <f>COUNTIF(J887:K887,"&lt;&gt;0")*-'Trading Model'!$E$15</f>
        <v>0</v>
      </c>
      <c r="M887" s="198">
        <f t="shared" si="104"/>
        <v>0</v>
      </c>
      <c r="N887" s="75">
        <f t="shared" si="107"/>
        <v>45</v>
      </c>
      <c r="O887" s="202">
        <f t="shared" si="108"/>
        <v>0</v>
      </c>
      <c r="P887" s="199">
        <f t="shared" si="105"/>
        <v>0</v>
      </c>
      <c r="Q887" s="203">
        <f t="shared" si="109"/>
        <v>56.000000000001933</v>
      </c>
      <c r="R887" s="201">
        <f>E887/B883-1</f>
        <v>8.1612586037364876E-2</v>
      </c>
      <c r="S887" s="201">
        <f t="shared" si="110"/>
        <v>5.1625239005736123E-2</v>
      </c>
    </row>
    <row r="888" spans="1:19">
      <c r="A888" s="196">
        <v>41255</v>
      </c>
      <c r="B888" s="122">
        <v>11.02</v>
      </c>
      <c r="C888" s="122">
        <v>11.15</v>
      </c>
      <c r="D888" s="122">
        <v>10.97</v>
      </c>
      <c r="E888" s="122">
        <v>11.02</v>
      </c>
      <c r="F888" s="122">
        <v>8.2850169999999999</v>
      </c>
      <c r="G888" s="197">
        <v>134100</v>
      </c>
      <c r="H888" s="198">
        <f>IF(AND(E887&gt;=H887,E888&gt;=E887),E887*(1+'Trading Model'!$E$13),IF(AND(E888&lt;E887,E887&gt;=H887),E888*(1+'Trading Model'!$E$13),H887))</f>
        <v>27.698998950000004</v>
      </c>
      <c r="I888" s="198">
        <f>IF(K888&gt;0,E888*(1-'Trading Model'!E898),IF(E888&lt;I887,I887*(1-'Trading Model'!$E$14),I887))</f>
        <v>8.9840153609188427</v>
      </c>
      <c r="J888" s="198">
        <f t="shared" si="111"/>
        <v>0</v>
      </c>
      <c r="K888" s="198">
        <f t="shared" si="106"/>
        <v>0</v>
      </c>
      <c r="L888" s="198">
        <f>COUNTIF(J888:K888,"&lt;&gt;0")*-'Trading Model'!$E$15</f>
        <v>0</v>
      </c>
      <c r="M888" s="198">
        <f t="shared" si="104"/>
        <v>0</v>
      </c>
      <c r="N888" s="75">
        <f t="shared" si="107"/>
        <v>45</v>
      </c>
      <c r="O888" s="202">
        <f t="shared" si="108"/>
        <v>0</v>
      </c>
      <c r="P888" s="199">
        <f t="shared" si="105"/>
        <v>0</v>
      </c>
      <c r="Q888" s="203">
        <f t="shared" si="109"/>
        <v>56.000000000001933</v>
      </c>
      <c r="R888" s="160" t="s">
        <v>55</v>
      </c>
      <c r="S888" s="201">
        <f t="shared" si="110"/>
        <v>1.8181818181817189E-3</v>
      </c>
    </row>
    <row r="889" spans="1:19">
      <c r="A889" s="196">
        <v>41256</v>
      </c>
      <c r="B889" s="122">
        <v>10.95</v>
      </c>
      <c r="C889" s="122">
        <v>11.23</v>
      </c>
      <c r="D889" s="122">
        <v>10.91</v>
      </c>
      <c r="E889" s="122">
        <v>11.04</v>
      </c>
      <c r="F889" s="122">
        <v>8.3000509999999998</v>
      </c>
      <c r="G889" s="197">
        <v>208200</v>
      </c>
      <c r="H889" s="198">
        <f>IF(AND(E888&gt;=H888,E889&gt;=E888),E888*(1+'Trading Model'!$E$13),IF(AND(E889&lt;E888,E888&gt;=H888),E889*(1+'Trading Model'!$E$13),H888))</f>
        <v>27.698998950000004</v>
      </c>
      <c r="I889" s="198">
        <f>IF(K889&gt;0,E889*(1-'Trading Model'!E899),IF(E889&lt;I888,I888*(1-'Trading Model'!$E$14),I888))</f>
        <v>8.9840153609188427</v>
      </c>
      <c r="J889" s="198">
        <f t="shared" si="111"/>
        <v>0</v>
      </c>
      <c r="K889" s="198">
        <f t="shared" si="106"/>
        <v>0</v>
      </c>
      <c r="L889" s="198">
        <f>COUNTIF(J889:K889,"&lt;&gt;0")*-'Trading Model'!$E$15</f>
        <v>0</v>
      </c>
      <c r="M889" s="198">
        <f t="shared" si="104"/>
        <v>0</v>
      </c>
      <c r="N889" s="75">
        <f t="shared" si="107"/>
        <v>45</v>
      </c>
      <c r="O889" s="202">
        <f t="shared" si="108"/>
        <v>0</v>
      </c>
      <c r="P889" s="199">
        <f t="shared" si="105"/>
        <v>0</v>
      </c>
      <c r="Q889" s="203">
        <f t="shared" si="109"/>
        <v>56.000000000001933</v>
      </c>
      <c r="R889" s="203" t="s">
        <v>55</v>
      </c>
      <c r="S889" s="201">
        <f t="shared" si="110"/>
        <v>1.814882032667775E-3</v>
      </c>
    </row>
    <row r="890" spans="1:19">
      <c r="A890" s="196">
        <v>41257</v>
      </c>
      <c r="B890" s="122">
        <v>10.91</v>
      </c>
      <c r="C890" s="122">
        <v>11.48</v>
      </c>
      <c r="D890" s="122">
        <v>10.91</v>
      </c>
      <c r="E890" s="122">
        <v>11.41</v>
      </c>
      <c r="F890" s="122">
        <v>8.5782240000000005</v>
      </c>
      <c r="G890" s="197">
        <v>197500</v>
      </c>
      <c r="H890" s="198">
        <f>IF(AND(E889&gt;=H889,E890&gt;=E889),E889*(1+'Trading Model'!$E$13),IF(AND(E890&lt;E889,E889&gt;=H889),E890*(1+'Trading Model'!$E$13),H889))</f>
        <v>27.698998950000004</v>
      </c>
      <c r="I890" s="198">
        <f>IF(K890&gt;0,E890*(1-'Trading Model'!E900),IF(E890&lt;I889,I889*(1-'Trading Model'!$E$14),I889))</f>
        <v>8.9840153609188427</v>
      </c>
      <c r="J890" s="198">
        <f t="shared" si="111"/>
        <v>0</v>
      </c>
      <c r="K890" s="198">
        <f t="shared" si="106"/>
        <v>0</v>
      </c>
      <c r="L890" s="198">
        <f>COUNTIF(J890:K890,"&lt;&gt;0")*-'Trading Model'!$E$15</f>
        <v>0</v>
      </c>
      <c r="M890" s="198">
        <f t="shared" si="104"/>
        <v>0</v>
      </c>
      <c r="N890" s="75">
        <f t="shared" si="107"/>
        <v>45</v>
      </c>
      <c r="O890" s="202">
        <f t="shared" si="108"/>
        <v>0</v>
      </c>
      <c r="P890" s="199">
        <f t="shared" si="105"/>
        <v>0</v>
      </c>
      <c r="Q890" s="203">
        <f t="shared" si="109"/>
        <v>56.000000000001933</v>
      </c>
      <c r="R890" s="203" t="s">
        <v>55</v>
      </c>
      <c r="S890" s="201">
        <f t="shared" si="110"/>
        <v>3.3514492753623282E-2</v>
      </c>
    </row>
    <row r="891" spans="1:19">
      <c r="A891" s="196">
        <v>41260</v>
      </c>
      <c r="B891" s="122">
        <v>11.26</v>
      </c>
      <c r="C891" s="122">
        <v>11.65</v>
      </c>
      <c r="D891" s="122">
        <v>11.26</v>
      </c>
      <c r="E891" s="122">
        <v>11.38</v>
      </c>
      <c r="F891" s="122">
        <v>8.5556710000000002</v>
      </c>
      <c r="G891" s="197">
        <v>228900</v>
      </c>
      <c r="H891" s="198">
        <f>IF(AND(E890&gt;=H890,E891&gt;=E890),E890*(1+'Trading Model'!$E$13),IF(AND(E891&lt;E890,E890&gt;=H890),E891*(1+'Trading Model'!$E$13),H890))</f>
        <v>27.698998950000004</v>
      </c>
      <c r="I891" s="198">
        <f>IF(K891&gt;0,E891*(1-'Trading Model'!E901),IF(E891&lt;I890,I890*(1-'Trading Model'!$E$14),I890))</f>
        <v>8.9840153609188427</v>
      </c>
      <c r="J891" s="198">
        <f t="shared" si="111"/>
        <v>0</v>
      </c>
      <c r="K891" s="198">
        <f t="shared" si="106"/>
        <v>0</v>
      </c>
      <c r="L891" s="198">
        <f>COUNTIF(J891:K891,"&lt;&gt;0")*-'Trading Model'!$E$15</f>
        <v>0</v>
      </c>
      <c r="M891" s="198">
        <f t="shared" si="104"/>
        <v>0</v>
      </c>
      <c r="N891" s="75">
        <f t="shared" si="107"/>
        <v>45</v>
      </c>
      <c r="O891" s="202">
        <f t="shared" si="108"/>
        <v>0</v>
      </c>
      <c r="P891" s="199">
        <f t="shared" si="105"/>
        <v>0</v>
      </c>
      <c r="Q891" s="203">
        <f t="shared" si="109"/>
        <v>55.900000000001931</v>
      </c>
      <c r="R891" s="203" t="s">
        <v>55</v>
      </c>
      <c r="S891" s="201">
        <f t="shared" si="110"/>
        <v>-2.6292725679227802E-3</v>
      </c>
    </row>
    <row r="892" spans="1:19">
      <c r="A892" s="196">
        <v>41261</v>
      </c>
      <c r="B892" s="122">
        <v>11.4</v>
      </c>
      <c r="C892" s="122">
        <v>12.23</v>
      </c>
      <c r="D892" s="122">
        <v>11.16</v>
      </c>
      <c r="E892" s="122">
        <v>12.17</v>
      </c>
      <c r="F892" s="122">
        <v>9.1496049999999993</v>
      </c>
      <c r="G892" s="197">
        <v>400700</v>
      </c>
      <c r="H892" s="198">
        <f>IF(AND(E891&gt;=H891,E892&gt;=E891),E891*(1+'Trading Model'!$E$13),IF(AND(E892&lt;E891,E891&gt;=H891),E892*(1+'Trading Model'!$E$13),H891))</f>
        <v>27.698998950000004</v>
      </c>
      <c r="I892" s="198">
        <f>IF(K892&gt;0,E892*(1-'Trading Model'!E902),IF(E892&lt;I891,I891*(1-'Trading Model'!$E$14),I891))</f>
        <v>8.9840153609188427</v>
      </c>
      <c r="J892" s="198">
        <f t="shared" si="111"/>
        <v>0</v>
      </c>
      <c r="K892" s="198">
        <f t="shared" si="106"/>
        <v>0</v>
      </c>
      <c r="L892" s="198">
        <f>COUNTIF(J892:K892,"&lt;&gt;0")*-'Trading Model'!$E$15</f>
        <v>0</v>
      </c>
      <c r="M892" s="198">
        <f t="shared" si="104"/>
        <v>0</v>
      </c>
      <c r="N892" s="75">
        <f t="shared" si="107"/>
        <v>45</v>
      </c>
      <c r="O892" s="202">
        <f t="shared" si="108"/>
        <v>0</v>
      </c>
      <c r="P892" s="199">
        <f t="shared" si="105"/>
        <v>0</v>
      </c>
      <c r="Q892" s="203">
        <f t="shared" si="109"/>
        <v>55.900000000001931</v>
      </c>
      <c r="R892" s="201">
        <f>E892/B888-1</f>
        <v>0.10435571687840284</v>
      </c>
      <c r="S892" s="201">
        <f t="shared" si="110"/>
        <v>6.9420035149384773E-2</v>
      </c>
    </row>
    <row r="893" spans="1:19">
      <c r="A893" s="196">
        <v>41262</v>
      </c>
      <c r="B893" s="122">
        <v>12.08</v>
      </c>
      <c r="C893" s="122">
        <v>12.2</v>
      </c>
      <c r="D893" s="122">
        <v>11.97</v>
      </c>
      <c r="E893" s="122">
        <v>12.04</v>
      </c>
      <c r="F893" s="122">
        <v>9.0518699999999992</v>
      </c>
      <c r="G893" s="197">
        <v>277000</v>
      </c>
      <c r="H893" s="198">
        <f>IF(AND(E892&gt;=H892,E893&gt;=E892),E892*(1+'Trading Model'!$E$13),IF(AND(E893&lt;E892,E892&gt;=H892),E893*(1+'Trading Model'!$E$13),H892))</f>
        <v>27.698998950000004</v>
      </c>
      <c r="I893" s="198">
        <f>IF(K893&gt;0,E893*(1-'Trading Model'!E903),IF(E893&lt;I892,I892*(1-'Trading Model'!$E$14),I892))</f>
        <v>8.9840153609188427</v>
      </c>
      <c r="J893" s="198">
        <f t="shared" si="111"/>
        <v>0</v>
      </c>
      <c r="K893" s="198">
        <f t="shared" si="106"/>
        <v>0</v>
      </c>
      <c r="L893" s="198">
        <f>COUNTIF(J893:K893,"&lt;&gt;0")*-'Trading Model'!$E$15</f>
        <v>0</v>
      </c>
      <c r="M893" s="198">
        <f t="shared" si="104"/>
        <v>0</v>
      </c>
      <c r="N893" s="75">
        <f t="shared" si="107"/>
        <v>45</v>
      </c>
      <c r="O893" s="202">
        <f t="shared" si="108"/>
        <v>0</v>
      </c>
      <c r="P893" s="199">
        <f t="shared" si="105"/>
        <v>0</v>
      </c>
      <c r="Q893" s="203">
        <f t="shared" si="109"/>
        <v>55.80000000000193</v>
      </c>
      <c r="R893" s="160" t="s">
        <v>55</v>
      </c>
      <c r="S893" s="201">
        <f t="shared" si="110"/>
        <v>-1.0682004930156141E-2</v>
      </c>
    </row>
    <row r="894" spans="1:19">
      <c r="A894" s="196">
        <v>41263</v>
      </c>
      <c r="B894" s="122">
        <v>11.95</v>
      </c>
      <c r="C894" s="122">
        <v>12.13</v>
      </c>
      <c r="D894" s="122">
        <v>11.76</v>
      </c>
      <c r="E894" s="122">
        <v>11.84</v>
      </c>
      <c r="F894" s="122">
        <v>8.9015070000000005</v>
      </c>
      <c r="G894" s="197">
        <v>400900</v>
      </c>
      <c r="H894" s="198">
        <f>IF(AND(E893&gt;=H893,E894&gt;=E893),E893*(1+'Trading Model'!$E$13),IF(AND(E894&lt;E893,E893&gt;=H893),E894*(1+'Trading Model'!$E$13),H893))</f>
        <v>27.698998950000004</v>
      </c>
      <c r="I894" s="198">
        <f>IF(K894&gt;0,E894*(1-'Trading Model'!E904),IF(E894&lt;I893,I893*(1-'Trading Model'!$E$14),I893))</f>
        <v>8.9840153609188427</v>
      </c>
      <c r="J894" s="198">
        <f t="shared" si="111"/>
        <v>0</v>
      </c>
      <c r="K894" s="198">
        <f t="shared" si="106"/>
        <v>0</v>
      </c>
      <c r="L894" s="198">
        <f>COUNTIF(J894:K894,"&lt;&gt;0")*-'Trading Model'!$E$15</f>
        <v>0</v>
      </c>
      <c r="M894" s="198">
        <f t="shared" si="104"/>
        <v>0</v>
      </c>
      <c r="N894" s="75">
        <f t="shared" si="107"/>
        <v>45</v>
      </c>
      <c r="O894" s="202">
        <f t="shared" si="108"/>
        <v>0</v>
      </c>
      <c r="P894" s="199">
        <f t="shared" si="105"/>
        <v>0</v>
      </c>
      <c r="Q894" s="203">
        <f t="shared" si="109"/>
        <v>55.700000000001928</v>
      </c>
      <c r="R894" s="203" t="s">
        <v>55</v>
      </c>
      <c r="S894" s="201">
        <f t="shared" si="110"/>
        <v>-1.661129568106301E-2</v>
      </c>
    </row>
    <row r="895" spans="1:19">
      <c r="A895" s="196">
        <v>41264</v>
      </c>
      <c r="B895" s="122">
        <v>11.7</v>
      </c>
      <c r="C895" s="122">
        <v>11.91</v>
      </c>
      <c r="D895" s="122">
        <v>11.25</v>
      </c>
      <c r="E895" s="122">
        <v>11.25</v>
      </c>
      <c r="F895" s="122">
        <v>8.4579339999999998</v>
      </c>
      <c r="G895" s="197">
        <v>315700</v>
      </c>
      <c r="H895" s="198">
        <f>IF(AND(E894&gt;=H894,E895&gt;=E894),E894*(1+'Trading Model'!$E$13),IF(AND(E895&lt;E894,E894&gt;=H894),E895*(1+'Trading Model'!$E$13),H894))</f>
        <v>27.698998950000004</v>
      </c>
      <c r="I895" s="198">
        <f>IF(K895&gt;0,E895*(1-'Trading Model'!E905),IF(E895&lt;I894,I894*(1-'Trading Model'!$E$14),I894))</f>
        <v>8.9840153609188427</v>
      </c>
      <c r="J895" s="198">
        <f t="shared" si="111"/>
        <v>0</v>
      </c>
      <c r="K895" s="198">
        <f t="shared" si="106"/>
        <v>0</v>
      </c>
      <c r="L895" s="198">
        <f>COUNTIF(J895:K895,"&lt;&gt;0")*-'Trading Model'!$E$15</f>
        <v>0</v>
      </c>
      <c r="M895" s="198">
        <f t="shared" si="104"/>
        <v>0</v>
      </c>
      <c r="N895" s="75">
        <f t="shared" si="107"/>
        <v>45</v>
      </c>
      <c r="O895" s="202">
        <f t="shared" si="108"/>
        <v>0</v>
      </c>
      <c r="P895" s="199">
        <f t="shared" si="105"/>
        <v>0</v>
      </c>
      <c r="Q895" s="203">
        <f t="shared" si="109"/>
        <v>55.600000000001927</v>
      </c>
      <c r="R895" s="203" t="s">
        <v>55</v>
      </c>
      <c r="S895" s="201">
        <f t="shared" si="110"/>
        <v>-4.983108108108103E-2</v>
      </c>
    </row>
    <row r="896" spans="1:19">
      <c r="A896" s="196">
        <v>41267</v>
      </c>
      <c r="B896" s="122">
        <v>11.25</v>
      </c>
      <c r="C896" s="122">
        <v>11.31</v>
      </c>
      <c r="D896" s="122">
        <v>11.04</v>
      </c>
      <c r="E896" s="122">
        <v>11.22</v>
      </c>
      <c r="F896" s="122">
        <v>8.4353789999999993</v>
      </c>
      <c r="G896" s="197">
        <v>101200</v>
      </c>
      <c r="H896" s="198">
        <f>IF(AND(E895&gt;=H895,E896&gt;=E895),E895*(1+'Trading Model'!$E$13),IF(AND(E896&lt;E895,E895&gt;=H895),E896*(1+'Trading Model'!$E$13),H895))</f>
        <v>27.698998950000004</v>
      </c>
      <c r="I896" s="198">
        <f>IF(K896&gt;0,E896*(1-'Trading Model'!E906),IF(E896&lt;I895,I895*(1-'Trading Model'!$E$14),I895))</f>
        <v>8.9840153609188427</v>
      </c>
      <c r="J896" s="198">
        <f t="shared" si="111"/>
        <v>0</v>
      </c>
      <c r="K896" s="198">
        <f t="shared" si="106"/>
        <v>0</v>
      </c>
      <c r="L896" s="198">
        <f>COUNTIF(J896:K896,"&lt;&gt;0")*-'Trading Model'!$E$15</f>
        <v>0</v>
      </c>
      <c r="M896" s="198">
        <f t="shared" si="104"/>
        <v>0</v>
      </c>
      <c r="N896" s="75">
        <f t="shared" si="107"/>
        <v>45</v>
      </c>
      <c r="O896" s="202">
        <f t="shared" si="108"/>
        <v>0</v>
      </c>
      <c r="P896" s="199">
        <f t="shared" si="105"/>
        <v>0</v>
      </c>
      <c r="Q896" s="203">
        <f t="shared" si="109"/>
        <v>55.500000000001926</v>
      </c>
      <c r="R896" s="203" t="s">
        <v>55</v>
      </c>
      <c r="S896" s="201">
        <f t="shared" si="110"/>
        <v>-2.666666666666595E-3</v>
      </c>
    </row>
    <row r="897" spans="1:19">
      <c r="A897" s="196">
        <v>41269</v>
      </c>
      <c r="B897" s="122">
        <v>11.2</v>
      </c>
      <c r="C897" s="122">
        <v>11.31</v>
      </c>
      <c r="D897" s="122">
        <v>11.16</v>
      </c>
      <c r="E897" s="122">
        <v>11.16</v>
      </c>
      <c r="F897" s="122">
        <v>8.390269</v>
      </c>
      <c r="G897" s="197">
        <v>110200</v>
      </c>
      <c r="H897" s="198">
        <f>IF(AND(E896&gt;=H896,E897&gt;=E896),E896*(1+'Trading Model'!$E$13),IF(AND(E897&lt;E896,E896&gt;=H896),E897*(1+'Trading Model'!$E$13),H896))</f>
        <v>27.698998950000004</v>
      </c>
      <c r="I897" s="198">
        <f>IF(K897&gt;0,E897*(1-'Trading Model'!E907),IF(E897&lt;I896,I896*(1-'Trading Model'!$E$14),I896))</f>
        <v>8.9840153609188427</v>
      </c>
      <c r="J897" s="198">
        <f t="shared" si="111"/>
        <v>0</v>
      </c>
      <c r="K897" s="198">
        <f t="shared" si="106"/>
        <v>0</v>
      </c>
      <c r="L897" s="198">
        <f>COUNTIF(J897:K897,"&lt;&gt;0")*-'Trading Model'!$E$15</f>
        <v>0</v>
      </c>
      <c r="M897" s="198">
        <f t="shared" si="104"/>
        <v>0</v>
      </c>
      <c r="N897" s="75">
        <f t="shared" si="107"/>
        <v>45</v>
      </c>
      <c r="O897" s="202">
        <f t="shared" si="108"/>
        <v>0</v>
      </c>
      <c r="P897" s="199">
        <f t="shared" si="105"/>
        <v>0</v>
      </c>
      <c r="Q897" s="203">
        <f t="shared" si="109"/>
        <v>55.400000000001924</v>
      </c>
      <c r="R897" s="201">
        <f>E897/B893-1</f>
        <v>-7.6158940397350938E-2</v>
      </c>
      <c r="S897" s="201">
        <f t="shared" si="110"/>
        <v>-5.3475935828877219E-3</v>
      </c>
    </row>
    <row r="898" spans="1:19">
      <c r="A898" s="196">
        <v>41270</v>
      </c>
      <c r="B898" s="122">
        <v>11.1</v>
      </c>
      <c r="C898" s="122">
        <v>11.66</v>
      </c>
      <c r="D898" s="122">
        <v>11.1</v>
      </c>
      <c r="E898" s="122">
        <v>11.59</v>
      </c>
      <c r="F898" s="122">
        <v>8.713552</v>
      </c>
      <c r="G898" s="197">
        <v>204400</v>
      </c>
      <c r="H898" s="198">
        <f>IF(AND(E897&gt;=H897,E898&gt;=E897),E897*(1+'Trading Model'!$E$13),IF(AND(E898&lt;E897,E897&gt;=H897),E898*(1+'Trading Model'!$E$13),H897))</f>
        <v>27.698998950000004</v>
      </c>
      <c r="I898" s="198">
        <f>IF(K898&gt;0,E898*(1-'Trading Model'!E908),IF(E898&lt;I897,I897*(1-'Trading Model'!$E$14),I897))</f>
        <v>8.9840153609188427</v>
      </c>
      <c r="J898" s="198">
        <f t="shared" si="111"/>
        <v>0</v>
      </c>
      <c r="K898" s="198">
        <f t="shared" si="106"/>
        <v>0</v>
      </c>
      <c r="L898" s="198">
        <f>COUNTIF(J898:K898,"&lt;&gt;0")*-'Trading Model'!$E$15</f>
        <v>0</v>
      </c>
      <c r="M898" s="198">
        <f t="shared" si="104"/>
        <v>0</v>
      </c>
      <c r="N898" s="75">
        <f t="shared" si="107"/>
        <v>45</v>
      </c>
      <c r="O898" s="202">
        <f t="shared" si="108"/>
        <v>0</v>
      </c>
      <c r="P898" s="199">
        <f t="shared" si="105"/>
        <v>0</v>
      </c>
      <c r="Q898" s="203">
        <f t="shared" si="109"/>
        <v>55.400000000001924</v>
      </c>
      <c r="R898" s="160" t="s">
        <v>55</v>
      </c>
      <c r="S898" s="201">
        <f t="shared" si="110"/>
        <v>3.853046594982068E-2</v>
      </c>
    </row>
    <row r="899" spans="1:19">
      <c r="A899" s="196">
        <v>41271</v>
      </c>
      <c r="B899" s="122">
        <v>11.4</v>
      </c>
      <c r="C899" s="122">
        <v>11.51</v>
      </c>
      <c r="D899" s="122">
        <v>11.17</v>
      </c>
      <c r="E899" s="122">
        <v>11.29</v>
      </c>
      <c r="F899" s="122">
        <v>8.4880069999999996</v>
      </c>
      <c r="G899" s="197">
        <v>201000</v>
      </c>
      <c r="H899" s="198">
        <f>IF(AND(E898&gt;=H898,E899&gt;=E898),E898*(1+'Trading Model'!$E$13),IF(AND(E899&lt;E898,E898&gt;=H898),E899*(1+'Trading Model'!$E$13),H898))</f>
        <v>27.698998950000004</v>
      </c>
      <c r="I899" s="198">
        <f>IF(K899&gt;0,E899*(1-'Trading Model'!E909),IF(E899&lt;I898,I898*(1-'Trading Model'!$E$14),I898))</f>
        <v>8.9840153609188427</v>
      </c>
      <c r="J899" s="198">
        <f t="shared" si="111"/>
        <v>0</v>
      </c>
      <c r="K899" s="198">
        <f t="shared" si="106"/>
        <v>0</v>
      </c>
      <c r="L899" s="198">
        <f>COUNTIF(J899:K899,"&lt;&gt;0")*-'Trading Model'!$E$15</f>
        <v>0</v>
      </c>
      <c r="M899" s="198">
        <f t="shared" ref="M899:M962" si="112">SUM(J899:L899)</f>
        <v>0</v>
      </c>
      <c r="N899" s="75">
        <f t="shared" si="107"/>
        <v>45</v>
      </c>
      <c r="O899" s="202">
        <f t="shared" si="108"/>
        <v>0</v>
      </c>
      <c r="P899" s="199">
        <f t="shared" ref="P899:P962" si="113">IFERROR(VLOOKUP(A899,Dividends,2,FALSE),$U$1)</f>
        <v>0</v>
      </c>
      <c r="Q899" s="203">
        <f t="shared" si="109"/>
        <v>55.300000000001923</v>
      </c>
      <c r="R899" s="203" t="s">
        <v>55</v>
      </c>
      <c r="S899" s="201">
        <f t="shared" si="110"/>
        <v>-2.5884383088869756E-2</v>
      </c>
    </row>
    <row r="900" spans="1:19">
      <c r="A900" s="196">
        <v>41274</v>
      </c>
      <c r="B900" s="122">
        <v>11.19</v>
      </c>
      <c r="C900" s="122">
        <v>11.56</v>
      </c>
      <c r="D900" s="122">
        <v>11.19</v>
      </c>
      <c r="E900" s="122">
        <v>11.38</v>
      </c>
      <c r="F900" s="122">
        <v>8.5556710000000002</v>
      </c>
      <c r="G900" s="197">
        <v>142800</v>
      </c>
      <c r="H900" s="198">
        <f>IF(AND(E899&gt;=H899,E900&gt;=E899),E899*(1+'Trading Model'!$E$13),IF(AND(E900&lt;E899,E899&gt;=H899),E900*(1+'Trading Model'!$E$13),H899))</f>
        <v>27.698998950000004</v>
      </c>
      <c r="I900" s="198">
        <f>IF(K900&gt;0,E900*(1-'Trading Model'!E910),IF(E900&lt;I899,I899*(1-'Trading Model'!$E$14),I899))</f>
        <v>8.9840153609188427</v>
      </c>
      <c r="J900" s="198">
        <f t="shared" si="111"/>
        <v>0</v>
      </c>
      <c r="K900" s="198">
        <f t="shared" ref="K900:K963" si="114">IF(E900&gt;=H900,E900,0)</f>
        <v>0</v>
      </c>
      <c r="L900" s="198">
        <f>COUNTIF(J900:K900,"&lt;&gt;0")*-'Trading Model'!$E$15</f>
        <v>0</v>
      </c>
      <c r="M900" s="198">
        <f t="shared" si="112"/>
        <v>0</v>
      </c>
      <c r="N900" s="75">
        <f t="shared" ref="N900:N963" si="115">IF(AND(J900&lt;0,K900&gt;0),N899,(IF(J900&lt;0,N899+1,IF(K900&gt;0,N899+1,N899))))</f>
        <v>45</v>
      </c>
      <c r="O900" s="202">
        <f t="shared" ref="O900:O963" si="116">P900</f>
        <v>0</v>
      </c>
      <c r="P900" s="199">
        <f t="shared" si="113"/>
        <v>0</v>
      </c>
      <c r="Q900" s="203">
        <f t="shared" ref="Q900:Q963" si="117">IF(E900&lt;E899,Q899-0.1,Q899)</f>
        <v>55.300000000001923</v>
      </c>
      <c r="R900" s="203" t="s">
        <v>55</v>
      </c>
      <c r="S900" s="201">
        <f t="shared" ref="S900:S963" si="118">E900/E899-1</f>
        <v>7.9716563330383128E-3</v>
      </c>
    </row>
    <row r="901" spans="1:19">
      <c r="A901" s="196">
        <v>41276</v>
      </c>
      <c r="B901" s="122">
        <v>11.74</v>
      </c>
      <c r="C901" s="122">
        <v>12.17</v>
      </c>
      <c r="D901" s="122">
        <v>11.72</v>
      </c>
      <c r="E901" s="122">
        <v>12.13</v>
      </c>
      <c r="F901" s="122">
        <v>9.1195319999999995</v>
      </c>
      <c r="G901" s="197">
        <v>247000</v>
      </c>
      <c r="H901" s="198">
        <f>IF(AND(E900&gt;=H900,E901&gt;=E900),E900*(1+'Trading Model'!$E$13),IF(AND(E901&lt;E900,E900&gt;=H900),E901*(1+'Trading Model'!$E$13),H900))</f>
        <v>27.698998950000004</v>
      </c>
      <c r="I901" s="198">
        <f>IF(K901&gt;0,E901*(1-'Trading Model'!E911),IF(E901&lt;I900,I900*(1-'Trading Model'!$E$14),I900))</f>
        <v>8.9840153609188427</v>
      </c>
      <c r="J901" s="198">
        <f t="shared" ref="J901:J964" si="119">IF(E901&gt;=H901,-E901,IF(E901&lt;=I900,-E901,0))</f>
        <v>0</v>
      </c>
      <c r="K901" s="198">
        <f t="shared" si="114"/>
        <v>0</v>
      </c>
      <c r="L901" s="198">
        <f>COUNTIF(J901:K901,"&lt;&gt;0")*-'Trading Model'!$E$15</f>
        <v>0</v>
      </c>
      <c r="M901" s="198">
        <f t="shared" si="112"/>
        <v>0</v>
      </c>
      <c r="N901" s="75">
        <f t="shared" si="115"/>
        <v>45</v>
      </c>
      <c r="O901" s="202">
        <f t="shared" si="116"/>
        <v>0</v>
      </c>
      <c r="P901" s="199">
        <f t="shared" si="113"/>
        <v>0</v>
      </c>
      <c r="Q901" s="203">
        <f t="shared" si="117"/>
        <v>55.300000000001923</v>
      </c>
      <c r="R901" s="203" t="s">
        <v>55</v>
      </c>
      <c r="S901" s="201">
        <f t="shared" si="118"/>
        <v>6.5905096660808349E-2</v>
      </c>
    </row>
    <row r="902" spans="1:19">
      <c r="A902" s="196">
        <v>41277</v>
      </c>
      <c r="B902" s="122">
        <v>12.17</v>
      </c>
      <c r="C902" s="122">
        <v>12.56</v>
      </c>
      <c r="D902" s="122">
        <v>12.13</v>
      </c>
      <c r="E902" s="122">
        <v>12.36</v>
      </c>
      <c r="F902" s="122">
        <v>9.2924500000000005</v>
      </c>
      <c r="G902" s="197">
        <v>333500</v>
      </c>
      <c r="H902" s="198">
        <f>IF(AND(E901&gt;=H901,E902&gt;=E901),E901*(1+'Trading Model'!$E$13),IF(AND(E902&lt;E901,E901&gt;=H901),E902*(1+'Trading Model'!$E$13),H901))</f>
        <v>27.698998950000004</v>
      </c>
      <c r="I902" s="198">
        <f>IF(K902&gt;0,E902*(1-'Trading Model'!E912),IF(E902&lt;I901,I901*(1-'Trading Model'!$E$14),I901))</f>
        <v>8.9840153609188427</v>
      </c>
      <c r="J902" s="198">
        <f t="shared" si="119"/>
        <v>0</v>
      </c>
      <c r="K902" s="198">
        <f t="shared" si="114"/>
        <v>0</v>
      </c>
      <c r="L902" s="198">
        <f>COUNTIF(J902:K902,"&lt;&gt;0")*-'Trading Model'!$E$15</f>
        <v>0</v>
      </c>
      <c r="M902" s="198">
        <f t="shared" si="112"/>
        <v>0</v>
      </c>
      <c r="N902" s="75">
        <f t="shared" si="115"/>
        <v>45</v>
      </c>
      <c r="O902" s="202">
        <f t="shared" si="116"/>
        <v>0</v>
      </c>
      <c r="P902" s="199">
        <f t="shared" si="113"/>
        <v>0</v>
      </c>
      <c r="Q902" s="203">
        <f t="shared" si="117"/>
        <v>55.300000000001923</v>
      </c>
      <c r="R902" s="201">
        <f>E902/B898-1</f>
        <v>0.11351351351351346</v>
      </c>
      <c r="S902" s="201">
        <f t="shared" si="118"/>
        <v>1.8961253091508645E-2</v>
      </c>
    </row>
    <row r="903" spans="1:19">
      <c r="A903" s="196">
        <v>41278</v>
      </c>
      <c r="B903" s="122">
        <v>12.4</v>
      </c>
      <c r="C903" s="122">
        <v>12.44</v>
      </c>
      <c r="D903" s="122">
        <v>12.26</v>
      </c>
      <c r="E903" s="122">
        <v>12.4</v>
      </c>
      <c r="F903" s="122">
        <v>9.3225230000000003</v>
      </c>
      <c r="G903" s="197">
        <v>253800</v>
      </c>
      <c r="H903" s="198">
        <f>IF(AND(E902&gt;=H902,E903&gt;=E902),E902*(1+'Trading Model'!$E$13),IF(AND(E903&lt;E902,E902&gt;=H902),E903*(1+'Trading Model'!$E$13),H902))</f>
        <v>27.698998950000004</v>
      </c>
      <c r="I903" s="198">
        <f>IF(K903&gt;0,E903*(1-'Trading Model'!E913),IF(E903&lt;I902,I902*(1-'Trading Model'!$E$14),I902))</f>
        <v>8.9840153609188427</v>
      </c>
      <c r="J903" s="198">
        <f t="shared" si="119"/>
        <v>0</v>
      </c>
      <c r="K903" s="198">
        <f t="shared" si="114"/>
        <v>0</v>
      </c>
      <c r="L903" s="198">
        <f>COUNTIF(J903:K903,"&lt;&gt;0")*-'Trading Model'!$E$15</f>
        <v>0</v>
      </c>
      <c r="M903" s="198">
        <f t="shared" si="112"/>
        <v>0</v>
      </c>
      <c r="N903" s="75">
        <f t="shared" si="115"/>
        <v>45</v>
      </c>
      <c r="O903" s="202">
        <f t="shared" si="116"/>
        <v>0</v>
      </c>
      <c r="P903" s="199">
        <f t="shared" si="113"/>
        <v>0</v>
      </c>
      <c r="Q903" s="203">
        <f t="shared" si="117"/>
        <v>55.300000000001923</v>
      </c>
      <c r="R903" s="160" t="s">
        <v>55</v>
      </c>
      <c r="S903" s="201">
        <f t="shared" si="118"/>
        <v>3.2362459546926292E-3</v>
      </c>
    </row>
    <row r="904" spans="1:19">
      <c r="A904" s="196">
        <v>41281</v>
      </c>
      <c r="B904" s="122">
        <v>12.42</v>
      </c>
      <c r="C904" s="122">
        <v>12.55</v>
      </c>
      <c r="D904" s="122">
        <v>12.25</v>
      </c>
      <c r="E904" s="122">
        <v>12.55</v>
      </c>
      <c r="F904" s="122">
        <v>9.435295</v>
      </c>
      <c r="G904" s="197">
        <v>200600</v>
      </c>
      <c r="H904" s="198">
        <f>IF(AND(E903&gt;=H903,E904&gt;=E903),E903*(1+'Trading Model'!$E$13),IF(AND(E904&lt;E903,E903&gt;=H903),E904*(1+'Trading Model'!$E$13),H903))</f>
        <v>27.698998950000004</v>
      </c>
      <c r="I904" s="198">
        <f>IF(K904&gt;0,E904*(1-'Trading Model'!E914),IF(E904&lt;I903,I903*(1-'Trading Model'!$E$14),I903))</f>
        <v>8.9840153609188427</v>
      </c>
      <c r="J904" s="198">
        <f t="shared" si="119"/>
        <v>0</v>
      </c>
      <c r="K904" s="198">
        <f t="shared" si="114"/>
        <v>0</v>
      </c>
      <c r="L904" s="198">
        <f>COUNTIF(J904:K904,"&lt;&gt;0")*-'Trading Model'!$E$15</f>
        <v>0</v>
      </c>
      <c r="M904" s="198">
        <f t="shared" si="112"/>
        <v>0</v>
      </c>
      <c r="N904" s="75">
        <f t="shared" si="115"/>
        <v>45</v>
      </c>
      <c r="O904" s="202">
        <f t="shared" si="116"/>
        <v>0</v>
      </c>
      <c r="P904" s="199">
        <f t="shared" si="113"/>
        <v>0</v>
      </c>
      <c r="Q904" s="203">
        <f t="shared" si="117"/>
        <v>55.300000000001923</v>
      </c>
      <c r="R904" s="203" t="s">
        <v>55</v>
      </c>
      <c r="S904" s="201">
        <f t="shared" si="118"/>
        <v>1.2096774193548487E-2</v>
      </c>
    </row>
    <row r="905" spans="1:19">
      <c r="A905" s="196">
        <v>41282</v>
      </c>
      <c r="B905" s="122">
        <v>12.51</v>
      </c>
      <c r="C905" s="122">
        <v>12.54</v>
      </c>
      <c r="D905" s="122">
        <v>12.26</v>
      </c>
      <c r="E905" s="122">
        <v>12.35</v>
      </c>
      <c r="F905" s="122">
        <v>9.2849330000000005</v>
      </c>
      <c r="G905" s="197">
        <v>147800</v>
      </c>
      <c r="H905" s="198">
        <f>IF(AND(E904&gt;=H904,E905&gt;=E904),E904*(1+'Trading Model'!$E$13),IF(AND(E905&lt;E904,E904&gt;=H904),E905*(1+'Trading Model'!$E$13),H904))</f>
        <v>27.698998950000004</v>
      </c>
      <c r="I905" s="198">
        <f>IF(K905&gt;0,E905*(1-'Trading Model'!E915),IF(E905&lt;I904,I904*(1-'Trading Model'!$E$14),I904))</f>
        <v>8.9840153609188427</v>
      </c>
      <c r="J905" s="198">
        <f t="shared" si="119"/>
        <v>0</v>
      </c>
      <c r="K905" s="198">
        <f t="shared" si="114"/>
        <v>0</v>
      </c>
      <c r="L905" s="198">
        <f>COUNTIF(J905:K905,"&lt;&gt;0")*-'Trading Model'!$E$15</f>
        <v>0</v>
      </c>
      <c r="M905" s="198">
        <f t="shared" si="112"/>
        <v>0</v>
      </c>
      <c r="N905" s="75">
        <f t="shared" si="115"/>
        <v>45</v>
      </c>
      <c r="O905" s="202">
        <f t="shared" si="116"/>
        <v>0</v>
      </c>
      <c r="P905" s="199">
        <f t="shared" si="113"/>
        <v>0</v>
      </c>
      <c r="Q905" s="203">
        <f t="shared" si="117"/>
        <v>55.200000000001921</v>
      </c>
      <c r="R905" s="203" t="s">
        <v>55</v>
      </c>
      <c r="S905" s="201">
        <f t="shared" si="118"/>
        <v>-1.5936254980079778E-2</v>
      </c>
    </row>
    <row r="906" spans="1:19">
      <c r="A906" s="196">
        <v>41283</v>
      </c>
      <c r="B906" s="122">
        <v>12.36</v>
      </c>
      <c r="C906" s="122">
        <v>12.73</v>
      </c>
      <c r="D906" s="122">
        <v>12.35</v>
      </c>
      <c r="E906" s="122">
        <v>12.46</v>
      </c>
      <c r="F906" s="122">
        <v>9.3676329999999997</v>
      </c>
      <c r="G906" s="197">
        <v>183100</v>
      </c>
      <c r="H906" s="198">
        <f>IF(AND(E905&gt;=H905,E906&gt;=E905),E905*(1+'Trading Model'!$E$13),IF(AND(E906&lt;E905,E905&gt;=H905),E906*(1+'Trading Model'!$E$13),H905))</f>
        <v>27.698998950000004</v>
      </c>
      <c r="I906" s="198">
        <f>IF(K906&gt;0,E906*(1-'Trading Model'!E916),IF(E906&lt;I905,I905*(1-'Trading Model'!$E$14),I905))</f>
        <v>8.9840153609188427</v>
      </c>
      <c r="J906" s="198">
        <f t="shared" si="119"/>
        <v>0</v>
      </c>
      <c r="K906" s="198">
        <f t="shared" si="114"/>
        <v>0</v>
      </c>
      <c r="L906" s="198">
        <f>COUNTIF(J906:K906,"&lt;&gt;0")*-'Trading Model'!$E$15</f>
        <v>0</v>
      </c>
      <c r="M906" s="198">
        <f t="shared" si="112"/>
        <v>0</v>
      </c>
      <c r="N906" s="75">
        <f t="shared" si="115"/>
        <v>45</v>
      </c>
      <c r="O906" s="202">
        <f t="shared" si="116"/>
        <v>0</v>
      </c>
      <c r="P906" s="199">
        <f t="shared" si="113"/>
        <v>0</v>
      </c>
      <c r="Q906" s="203">
        <f t="shared" si="117"/>
        <v>55.200000000001921</v>
      </c>
      <c r="R906" s="203" t="s">
        <v>55</v>
      </c>
      <c r="S906" s="201">
        <f t="shared" si="118"/>
        <v>8.9068825910931793E-3</v>
      </c>
    </row>
    <row r="907" spans="1:19">
      <c r="A907" s="196">
        <v>41284</v>
      </c>
      <c r="B907" s="122">
        <v>12.6</v>
      </c>
      <c r="C907" s="122">
        <v>12.76</v>
      </c>
      <c r="D907" s="122">
        <v>12.4</v>
      </c>
      <c r="E907" s="122">
        <v>12.48</v>
      </c>
      <c r="F907" s="122">
        <v>9.3826689999999999</v>
      </c>
      <c r="G907" s="197">
        <v>199800</v>
      </c>
      <c r="H907" s="198">
        <f>IF(AND(E906&gt;=H906,E907&gt;=E906),E906*(1+'Trading Model'!$E$13),IF(AND(E907&lt;E906,E906&gt;=H906),E907*(1+'Trading Model'!$E$13),H906))</f>
        <v>27.698998950000004</v>
      </c>
      <c r="I907" s="198">
        <f>IF(K907&gt;0,E907*(1-'Trading Model'!E917),IF(E907&lt;I906,I906*(1-'Trading Model'!$E$14),I906))</f>
        <v>8.9840153609188427</v>
      </c>
      <c r="J907" s="198">
        <f t="shared" si="119"/>
        <v>0</v>
      </c>
      <c r="K907" s="198">
        <f t="shared" si="114"/>
        <v>0</v>
      </c>
      <c r="L907" s="198">
        <f>COUNTIF(J907:K907,"&lt;&gt;0")*-'Trading Model'!$E$15</f>
        <v>0</v>
      </c>
      <c r="M907" s="198">
        <f t="shared" si="112"/>
        <v>0</v>
      </c>
      <c r="N907" s="75">
        <f t="shared" si="115"/>
        <v>45</v>
      </c>
      <c r="O907" s="202">
        <f t="shared" si="116"/>
        <v>0</v>
      </c>
      <c r="P907" s="199">
        <f t="shared" si="113"/>
        <v>0</v>
      </c>
      <c r="Q907" s="203">
        <f t="shared" si="117"/>
        <v>55.200000000001921</v>
      </c>
      <c r="R907" s="201">
        <f>E907/B903-1</f>
        <v>6.4516129032257119E-3</v>
      </c>
      <c r="S907" s="201">
        <f t="shared" si="118"/>
        <v>1.6051364365969878E-3</v>
      </c>
    </row>
    <row r="908" spans="1:19">
      <c r="A908" s="196">
        <v>41285</v>
      </c>
      <c r="B908" s="122">
        <v>12.65</v>
      </c>
      <c r="C908" s="122">
        <v>12.73</v>
      </c>
      <c r="D908" s="122">
        <v>12.5</v>
      </c>
      <c r="E908" s="122">
        <v>12.64</v>
      </c>
      <c r="F908" s="122">
        <v>9.5029579999999996</v>
      </c>
      <c r="G908" s="197">
        <v>191000</v>
      </c>
      <c r="H908" s="198">
        <f>IF(AND(E907&gt;=H907,E908&gt;=E907),E907*(1+'Trading Model'!$E$13),IF(AND(E908&lt;E907,E907&gt;=H907),E908*(1+'Trading Model'!$E$13),H907))</f>
        <v>27.698998950000004</v>
      </c>
      <c r="I908" s="198">
        <f>IF(K908&gt;0,E908*(1-'Trading Model'!E918),IF(E908&lt;I907,I907*(1-'Trading Model'!$E$14),I907))</f>
        <v>8.9840153609188427</v>
      </c>
      <c r="J908" s="198">
        <f t="shared" si="119"/>
        <v>0</v>
      </c>
      <c r="K908" s="198">
        <f t="shared" si="114"/>
        <v>0</v>
      </c>
      <c r="L908" s="198">
        <f>COUNTIF(J908:K908,"&lt;&gt;0")*-'Trading Model'!$E$15</f>
        <v>0</v>
      </c>
      <c r="M908" s="198">
        <f t="shared" si="112"/>
        <v>0</v>
      </c>
      <c r="N908" s="75">
        <f t="shared" si="115"/>
        <v>45</v>
      </c>
      <c r="O908" s="202">
        <f t="shared" si="116"/>
        <v>0</v>
      </c>
      <c r="P908" s="199">
        <f t="shared" si="113"/>
        <v>0</v>
      </c>
      <c r="Q908" s="203">
        <f t="shared" si="117"/>
        <v>55.200000000001921</v>
      </c>
      <c r="R908" s="160" t="s">
        <v>55</v>
      </c>
      <c r="S908" s="201">
        <f t="shared" si="118"/>
        <v>1.2820512820512775E-2</v>
      </c>
    </row>
    <row r="909" spans="1:19">
      <c r="A909" s="196">
        <v>41288</v>
      </c>
      <c r="B909" s="122">
        <v>12.75</v>
      </c>
      <c r="C909" s="122">
        <v>12.99</v>
      </c>
      <c r="D909" s="122">
        <v>12.71</v>
      </c>
      <c r="E909" s="122">
        <v>12.99</v>
      </c>
      <c r="F909" s="122">
        <v>9.7660940000000007</v>
      </c>
      <c r="G909" s="197">
        <v>265300</v>
      </c>
      <c r="H909" s="198">
        <f>IF(AND(E908&gt;=H908,E909&gt;=E908),E908*(1+'Trading Model'!$E$13),IF(AND(E909&lt;E908,E908&gt;=H908),E909*(1+'Trading Model'!$E$13),H908))</f>
        <v>27.698998950000004</v>
      </c>
      <c r="I909" s="198">
        <f>IF(K909&gt;0,E909*(1-'Trading Model'!E919),IF(E909&lt;I908,I908*(1-'Trading Model'!$E$14),I908))</f>
        <v>8.9840153609188427</v>
      </c>
      <c r="J909" s="198">
        <f t="shared" si="119"/>
        <v>0</v>
      </c>
      <c r="K909" s="198">
        <f t="shared" si="114"/>
        <v>0</v>
      </c>
      <c r="L909" s="198">
        <f>COUNTIF(J909:K909,"&lt;&gt;0")*-'Trading Model'!$E$15</f>
        <v>0</v>
      </c>
      <c r="M909" s="198">
        <f t="shared" si="112"/>
        <v>0</v>
      </c>
      <c r="N909" s="75">
        <f t="shared" si="115"/>
        <v>45</v>
      </c>
      <c r="O909" s="202">
        <f t="shared" si="116"/>
        <v>0</v>
      </c>
      <c r="P909" s="199">
        <f t="shared" si="113"/>
        <v>0</v>
      </c>
      <c r="Q909" s="203">
        <f t="shared" si="117"/>
        <v>55.200000000001921</v>
      </c>
      <c r="R909" s="203" t="s">
        <v>55</v>
      </c>
      <c r="S909" s="201">
        <f t="shared" si="118"/>
        <v>2.7689873417721556E-2</v>
      </c>
    </row>
    <row r="910" spans="1:19">
      <c r="A910" s="196">
        <v>41289</v>
      </c>
      <c r="B910" s="122">
        <v>12.98</v>
      </c>
      <c r="C910" s="122">
        <v>13.17</v>
      </c>
      <c r="D910" s="122">
        <v>12.87</v>
      </c>
      <c r="E910" s="122">
        <v>13.17</v>
      </c>
      <c r="F910" s="122">
        <v>9.9014229999999994</v>
      </c>
      <c r="G910" s="197">
        <v>367000</v>
      </c>
      <c r="H910" s="198">
        <f>IF(AND(E909&gt;=H909,E910&gt;=E909),E909*(1+'Trading Model'!$E$13),IF(AND(E910&lt;E909,E909&gt;=H909),E910*(1+'Trading Model'!$E$13),H909))</f>
        <v>27.698998950000004</v>
      </c>
      <c r="I910" s="198">
        <f>IF(K910&gt;0,E910*(1-'Trading Model'!E920),IF(E910&lt;I909,I909*(1-'Trading Model'!$E$14),I909))</f>
        <v>8.9840153609188427</v>
      </c>
      <c r="J910" s="198">
        <f t="shared" si="119"/>
        <v>0</v>
      </c>
      <c r="K910" s="198">
        <f t="shared" si="114"/>
        <v>0</v>
      </c>
      <c r="L910" s="198">
        <f>COUNTIF(J910:K910,"&lt;&gt;0")*-'Trading Model'!$E$15</f>
        <v>0</v>
      </c>
      <c r="M910" s="198">
        <f t="shared" si="112"/>
        <v>0</v>
      </c>
      <c r="N910" s="75">
        <f t="shared" si="115"/>
        <v>45</v>
      </c>
      <c r="O910" s="202">
        <f t="shared" si="116"/>
        <v>0</v>
      </c>
      <c r="P910" s="199">
        <f t="shared" si="113"/>
        <v>0</v>
      </c>
      <c r="Q910" s="203">
        <f t="shared" si="117"/>
        <v>55.200000000001921</v>
      </c>
      <c r="R910" s="203" t="s">
        <v>55</v>
      </c>
      <c r="S910" s="201">
        <f t="shared" si="118"/>
        <v>1.3856812933025431E-2</v>
      </c>
    </row>
    <row r="911" spans="1:19">
      <c r="A911" s="196">
        <v>41290</v>
      </c>
      <c r="B911" s="122">
        <v>13.1</v>
      </c>
      <c r="C911" s="122">
        <v>13.39</v>
      </c>
      <c r="D911" s="122">
        <v>13.02</v>
      </c>
      <c r="E911" s="122">
        <v>13.39</v>
      </c>
      <c r="F911" s="122">
        <v>10.066820999999999</v>
      </c>
      <c r="G911" s="197">
        <v>425100</v>
      </c>
      <c r="H911" s="198">
        <f>IF(AND(E910&gt;=H910,E911&gt;=E910),E910*(1+'Trading Model'!$E$13),IF(AND(E911&lt;E910,E910&gt;=H910),E911*(1+'Trading Model'!$E$13),H910))</f>
        <v>27.698998950000004</v>
      </c>
      <c r="I911" s="198">
        <f>IF(K911&gt;0,E911*(1-'Trading Model'!E921),IF(E911&lt;I910,I910*(1-'Trading Model'!$E$14),I910))</f>
        <v>8.9840153609188427</v>
      </c>
      <c r="J911" s="198">
        <f t="shared" si="119"/>
        <v>0</v>
      </c>
      <c r="K911" s="198">
        <f t="shared" si="114"/>
        <v>0</v>
      </c>
      <c r="L911" s="198">
        <f>COUNTIF(J911:K911,"&lt;&gt;0")*-'Trading Model'!$E$15</f>
        <v>0</v>
      </c>
      <c r="M911" s="198">
        <f t="shared" si="112"/>
        <v>0</v>
      </c>
      <c r="N911" s="75">
        <f t="shared" si="115"/>
        <v>45</v>
      </c>
      <c r="O911" s="202">
        <f t="shared" si="116"/>
        <v>0</v>
      </c>
      <c r="P911" s="199">
        <f t="shared" si="113"/>
        <v>0</v>
      </c>
      <c r="Q911" s="203">
        <f t="shared" si="117"/>
        <v>55.200000000001921</v>
      </c>
      <c r="R911" s="203" t="s">
        <v>55</v>
      </c>
      <c r="S911" s="201">
        <f t="shared" si="118"/>
        <v>1.6704631738800435E-2</v>
      </c>
    </row>
    <row r="912" spans="1:19">
      <c r="A912" s="196">
        <v>41291</v>
      </c>
      <c r="B912" s="122">
        <v>13.5</v>
      </c>
      <c r="C912" s="122">
        <v>13.91</v>
      </c>
      <c r="D912" s="122">
        <v>13.44</v>
      </c>
      <c r="E912" s="122">
        <v>13.9</v>
      </c>
      <c r="F912" s="122">
        <v>10.450248</v>
      </c>
      <c r="G912" s="197">
        <v>468500</v>
      </c>
      <c r="H912" s="198">
        <f>IF(AND(E911&gt;=H911,E912&gt;=E911),E911*(1+'Trading Model'!$E$13),IF(AND(E912&lt;E911,E911&gt;=H911),E912*(1+'Trading Model'!$E$13),H911))</f>
        <v>27.698998950000004</v>
      </c>
      <c r="I912" s="198">
        <f>IF(K912&gt;0,E912*(1-'Trading Model'!E922),IF(E912&lt;I911,I911*(1-'Trading Model'!$E$14),I911))</f>
        <v>8.9840153609188427</v>
      </c>
      <c r="J912" s="198">
        <f t="shared" si="119"/>
        <v>0</v>
      </c>
      <c r="K912" s="198">
        <f t="shared" si="114"/>
        <v>0</v>
      </c>
      <c r="L912" s="198">
        <f>COUNTIF(J912:K912,"&lt;&gt;0")*-'Trading Model'!$E$15</f>
        <v>0</v>
      </c>
      <c r="M912" s="198">
        <f t="shared" si="112"/>
        <v>0</v>
      </c>
      <c r="N912" s="75">
        <f t="shared" si="115"/>
        <v>45</v>
      </c>
      <c r="O912" s="202">
        <f t="shared" si="116"/>
        <v>0</v>
      </c>
      <c r="P912" s="199">
        <f t="shared" si="113"/>
        <v>0</v>
      </c>
      <c r="Q912" s="203">
        <f t="shared" si="117"/>
        <v>55.200000000001921</v>
      </c>
      <c r="R912" s="201">
        <f>E912/B908-1</f>
        <v>9.8814229249011953E-2</v>
      </c>
      <c r="S912" s="201">
        <f t="shared" si="118"/>
        <v>3.8088125466766209E-2</v>
      </c>
    </row>
    <row r="913" spans="1:19">
      <c r="A913" s="196">
        <v>41292</v>
      </c>
      <c r="B913" s="122">
        <v>14</v>
      </c>
      <c r="C913" s="122">
        <v>14.46</v>
      </c>
      <c r="D913" s="122">
        <v>13.9</v>
      </c>
      <c r="E913" s="122">
        <v>14.37</v>
      </c>
      <c r="F913" s="122">
        <v>10.803599999999999</v>
      </c>
      <c r="G913" s="197">
        <v>793300</v>
      </c>
      <c r="H913" s="198">
        <f>IF(AND(E912&gt;=H912,E913&gt;=E912),E912*(1+'Trading Model'!$E$13),IF(AND(E913&lt;E912,E912&gt;=H912),E913*(1+'Trading Model'!$E$13),H912))</f>
        <v>27.698998950000004</v>
      </c>
      <c r="I913" s="198">
        <f>IF(K913&gt;0,E913*(1-'Trading Model'!E923),IF(E913&lt;I912,I912*(1-'Trading Model'!$E$14),I912))</f>
        <v>8.9840153609188427</v>
      </c>
      <c r="J913" s="198">
        <f t="shared" si="119"/>
        <v>0</v>
      </c>
      <c r="K913" s="198">
        <f t="shared" si="114"/>
        <v>0</v>
      </c>
      <c r="L913" s="198">
        <f>COUNTIF(J913:K913,"&lt;&gt;0")*-'Trading Model'!$E$15</f>
        <v>0</v>
      </c>
      <c r="M913" s="198">
        <f t="shared" si="112"/>
        <v>0</v>
      </c>
      <c r="N913" s="75">
        <f t="shared" si="115"/>
        <v>45</v>
      </c>
      <c r="O913" s="202">
        <f t="shared" si="116"/>
        <v>0</v>
      </c>
      <c r="P913" s="199">
        <f t="shared" si="113"/>
        <v>0</v>
      </c>
      <c r="Q913" s="203">
        <f t="shared" si="117"/>
        <v>55.200000000001921</v>
      </c>
      <c r="R913" s="160" t="s">
        <v>55</v>
      </c>
      <c r="S913" s="201">
        <f t="shared" si="118"/>
        <v>3.3812949640287693E-2</v>
      </c>
    </row>
    <row r="914" spans="1:19">
      <c r="A914" s="196">
        <v>41296</v>
      </c>
      <c r="B914" s="122">
        <v>14.37</v>
      </c>
      <c r="C914" s="122">
        <v>14.65</v>
      </c>
      <c r="D914" s="122">
        <v>14.01</v>
      </c>
      <c r="E914" s="122">
        <v>14.51</v>
      </c>
      <c r="F914" s="122">
        <v>10.908855000000001</v>
      </c>
      <c r="G914" s="197">
        <v>729700</v>
      </c>
      <c r="H914" s="198">
        <f>IF(AND(E913&gt;=H913,E914&gt;=E913),E913*(1+'Trading Model'!$E$13),IF(AND(E914&lt;E913,E913&gt;=H913),E914*(1+'Trading Model'!$E$13),H913))</f>
        <v>27.698998950000004</v>
      </c>
      <c r="I914" s="198">
        <f>IF(K914&gt;0,E914*(1-'Trading Model'!E924),IF(E914&lt;I913,I913*(1-'Trading Model'!$E$14),I913))</f>
        <v>8.9840153609188427</v>
      </c>
      <c r="J914" s="198">
        <f t="shared" si="119"/>
        <v>0</v>
      </c>
      <c r="K914" s="198">
        <f t="shared" si="114"/>
        <v>0</v>
      </c>
      <c r="L914" s="198">
        <f>COUNTIF(J914:K914,"&lt;&gt;0")*-'Trading Model'!$E$15</f>
        <v>0</v>
      </c>
      <c r="M914" s="198">
        <f t="shared" si="112"/>
        <v>0</v>
      </c>
      <c r="N914" s="75">
        <f t="shared" si="115"/>
        <v>45</v>
      </c>
      <c r="O914" s="202">
        <f t="shared" si="116"/>
        <v>0</v>
      </c>
      <c r="P914" s="199">
        <f t="shared" si="113"/>
        <v>0</v>
      </c>
      <c r="Q914" s="203">
        <f t="shared" si="117"/>
        <v>55.200000000001921</v>
      </c>
      <c r="R914" s="203" t="s">
        <v>55</v>
      </c>
      <c r="S914" s="201">
        <f t="shared" si="118"/>
        <v>9.7425191370912323E-3</v>
      </c>
    </row>
    <row r="915" spans="1:19">
      <c r="A915" s="196">
        <v>41297</v>
      </c>
      <c r="B915" s="122">
        <v>14.46</v>
      </c>
      <c r="C915" s="122">
        <v>14.87</v>
      </c>
      <c r="D915" s="122">
        <v>14.25</v>
      </c>
      <c r="E915" s="122">
        <v>14.75</v>
      </c>
      <c r="F915" s="122">
        <v>11.089293</v>
      </c>
      <c r="G915" s="197">
        <v>843200</v>
      </c>
      <c r="H915" s="198">
        <f>IF(AND(E914&gt;=H914,E915&gt;=E914),E914*(1+'Trading Model'!$E$13),IF(AND(E915&lt;E914,E914&gt;=H914),E915*(1+'Trading Model'!$E$13),H914))</f>
        <v>27.698998950000004</v>
      </c>
      <c r="I915" s="198">
        <f>IF(K915&gt;0,E915*(1-'Trading Model'!E925),IF(E915&lt;I914,I914*(1-'Trading Model'!$E$14),I914))</f>
        <v>8.9840153609188427</v>
      </c>
      <c r="J915" s="198">
        <f t="shared" si="119"/>
        <v>0</v>
      </c>
      <c r="K915" s="198">
        <f t="shared" si="114"/>
        <v>0</v>
      </c>
      <c r="L915" s="198">
        <f>COUNTIF(J915:K915,"&lt;&gt;0")*-'Trading Model'!$E$15</f>
        <v>0</v>
      </c>
      <c r="M915" s="198">
        <f t="shared" si="112"/>
        <v>0</v>
      </c>
      <c r="N915" s="75">
        <f t="shared" si="115"/>
        <v>45</v>
      </c>
      <c r="O915" s="202">
        <f t="shared" si="116"/>
        <v>0</v>
      </c>
      <c r="P915" s="199">
        <f t="shared" si="113"/>
        <v>0</v>
      </c>
      <c r="Q915" s="203">
        <f t="shared" si="117"/>
        <v>55.200000000001921</v>
      </c>
      <c r="R915" s="203" t="s">
        <v>55</v>
      </c>
      <c r="S915" s="201">
        <f t="shared" si="118"/>
        <v>1.6540317022742945E-2</v>
      </c>
    </row>
    <row r="916" spans="1:19">
      <c r="A916" s="196">
        <v>41298</v>
      </c>
      <c r="B916" s="122">
        <v>14.7</v>
      </c>
      <c r="C916" s="122">
        <v>14.7</v>
      </c>
      <c r="D916" s="122">
        <v>14.42</v>
      </c>
      <c r="E916" s="122">
        <v>14.65</v>
      </c>
      <c r="F916" s="122">
        <v>11.014108999999999</v>
      </c>
      <c r="G916" s="197">
        <v>694400</v>
      </c>
      <c r="H916" s="198">
        <f>IF(AND(E915&gt;=H915,E916&gt;=E915),E915*(1+'Trading Model'!$E$13),IF(AND(E916&lt;E915,E915&gt;=H915),E916*(1+'Trading Model'!$E$13),H915))</f>
        <v>27.698998950000004</v>
      </c>
      <c r="I916" s="198">
        <f>IF(K916&gt;0,E916*(1-'Trading Model'!E926),IF(E916&lt;I915,I915*(1-'Trading Model'!$E$14),I915))</f>
        <v>8.9840153609188427</v>
      </c>
      <c r="J916" s="198">
        <f t="shared" si="119"/>
        <v>0</v>
      </c>
      <c r="K916" s="198">
        <f t="shared" si="114"/>
        <v>0</v>
      </c>
      <c r="L916" s="198">
        <f>COUNTIF(J916:K916,"&lt;&gt;0")*-'Trading Model'!$E$15</f>
        <v>0</v>
      </c>
      <c r="M916" s="198">
        <f t="shared" si="112"/>
        <v>0</v>
      </c>
      <c r="N916" s="75">
        <f t="shared" si="115"/>
        <v>45</v>
      </c>
      <c r="O916" s="202">
        <f t="shared" si="116"/>
        <v>0</v>
      </c>
      <c r="P916" s="199">
        <f t="shared" si="113"/>
        <v>0</v>
      </c>
      <c r="Q916" s="203">
        <f t="shared" si="117"/>
        <v>55.10000000000192</v>
      </c>
      <c r="R916" s="203" t="s">
        <v>55</v>
      </c>
      <c r="S916" s="201">
        <f t="shared" si="118"/>
        <v>-6.7796610169491567E-3</v>
      </c>
    </row>
    <row r="917" spans="1:19">
      <c r="A917" s="196">
        <v>41299</v>
      </c>
      <c r="B917" s="122">
        <v>14.72</v>
      </c>
      <c r="C917" s="122">
        <v>15.09</v>
      </c>
      <c r="D917" s="122">
        <v>14.65</v>
      </c>
      <c r="E917" s="122">
        <v>15.09</v>
      </c>
      <c r="F917" s="122">
        <v>11.344908999999999</v>
      </c>
      <c r="G917" s="197">
        <v>767900</v>
      </c>
      <c r="H917" s="198">
        <f>IF(AND(E916&gt;=H916,E917&gt;=E916),E916*(1+'Trading Model'!$E$13),IF(AND(E917&lt;E916,E916&gt;=H916),E917*(1+'Trading Model'!$E$13),H916))</f>
        <v>27.698998950000004</v>
      </c>
      <c r="I917" s="198">
        <f>IF(K917&gt;0,E917*(1-'Trading Model'!E927),IF(E917&lt;I916,I916*(1-'Trading Model'!$E$14),I916))</f>
        <v>8.9840153609188427</v>
      </c>
      <c r="J917" s="198">
        <f t="shared" si="119"/>
        <v>0</v>
      </c>
      <c r="K917" s="198">
        <f t="shared" si="114"/>
        <v>0</v>
      </c>
      <c r="L917" s="198">
        <f>COUNTIF(J917:K917,"&lt;&gt;0")*-'Trading Model'!$E$15</f>
        <v>0</v>
      </c>
      <c r="M917" s="198">
        <f t="shared" si="112"/>
        <v>0</v>
      </c>
      <c r="N917" s="75">
        <f t="shared" si="115"/>
        <v>45</v>
      </c>
      <c r="O917" s="202">
        <f t="shared" si="116"/>
        <v>0</v>
      </c>
      <c r="P917" s="199">
        <f t="shared" si="113"/>
        <v>0</v>
      </c>
      <c r="Q917" s="203">
        <f t="shared" si="117"/>
        <v>55.10000000000192</v>
      </c>
      <c r="R917" s="201">
        <f>E917/B913-1</f>
        <v>7.7857142857142847E-2</v>
      </c>
      <c r="S917" s="201">
        <f t="shared" si="118"/>
        <v>3.0034129692832812E-2</v>
      </c>
    </row>
    <row r="918" spans="1:19">
      <c r="A918" s="196">
        <v>41302</v>
      </c>
      <c r="B918" s="122">
        <v>15.12</v>
      </c>
      <c r="C918" s="122">
        <v>15.34</v>
      </c>
      <c r="D918" s="122">
        <v>15</v>
      </c>
      <c r="E918" s="122">
        <v>15.34</v>
      </c>
      <c r="F918" s="122">
        <v>11.532863000000001</v>
      </c>
      <c r="G918" s="197">
        <v>703600</v>
      </c>
      <c r="H918" s="198">
        <f>IF(AND(E917&gt;=H917,E918&gt;=E917),E917*(1+'Trading Model'!$E$13),IF(AND(E918&lt;E917,E917&gt;=H917),E918*(1+'Trading Model'!$E$13),H917))</f>
        <v>27.698998950000004</v>
      </c>
      <c r="I918" s="198">
        <f>IF(K918&gt;0,E918*(1-'Trading Model'!E928),IF(E918&lt;I917,I917*(1-'Trading Model'!$E$14),I917))</f>
        <v>8.9840153609188427</v>
      </c>
      <c r="J918" s="198">
        <f t="shared" si="119"/>
        <v>0</v>
      </c>
      <c r="K918" s="198">
        <f t="shared" si="114"/>
        <v>0</v>
      </c>
      <c r="L918" s="198">
        <f>COUNTIF(J918:K918,"&lt;&gt;0")*-'Trading Model'!$E$15</f>
        <v>0</v>
      </c>
      <c r="M918" s="198">
        <f t="shared" si="112"/>
        <v>0</v>
      </c>
      <c r="N918" s="75">
        <f t="shared" si="115"/>
        <v>45</v>
      </c>
      <c r="O918" s="202">
        <f t="shared" si="116"/>
        <v>0</v>
      </c>
      <c r="P918" s="199">
        <f t="shared" si="113"/>
        <v>0</v>
      </c>
      <c r="Q918" s="203">
        <f t="shared" si="117"/>
        <v>55.10000000000192</v>
      </c>
      <c r="R918" s="160" t="s">
        <v>55</v>
      </c>
      <c r="S918" s="201">
        <f t="shared" si="118"/>
        <v>1.656726308813794E-2</v>
      </c>
    </row>
    <row r="919" spans="1:19">
      <c r="A919" s="196">
        <v>41303</v>
      </c>
      <c r="B919" s="122">
        <v>15.28</v>
      </c>
      <c r="C919" s="122">
        <v>15.48</v>
      </c>
      <c r="D919" s="122">
        <v>15.02</v>
      </c>
      <c r="E919" s="122">
        <v>15.47</v>
      </c>
      <c r="F919" s="122">
        <v>11.630599999999999</v>
      </c>
      <c r="G919" s="197">
        <v>986500</v>
      </c>
      <c r="H919" s="198">
        <f>IF(AND(E918&gt;=H918,E919&gt;=E918),E918*(1+'Trading Model'!$E$13),IF(AND(E919&lt;E918,E918&gt;=H918),E919*(1+'Trading Model'!$E$13),H918))</f>
        <v>27.698998950000004</v>
      </c>
      <c r="I919" s="198">
        <f>IF(K919&gt;0,E919*(1-'Trading Model'!E929),IF(E919&lt;I918,I918*(1-'Trading Model'!$E$14),I918))</f>
        <v>8.9840153609188427</v>
      </c>
      <c r="J919" s="198">
        <f t="shared" si="119"/>
        <v>0</v>
      </c>
      <c r="K919" s="198">
        <f t="shared" si="114"/>
        <v>0</v>
      </c>
      <c r="L919" s="198">
        <f>COUNTIF(J919:K919,"&lt;&gt;0")*-'Trading Model'!$E$15</f>
        <v>0</v>
      </c>
      <c r="M919" s="198">
        <f t="shared" si="112"/>
        <v>0</v>
      </c>
      <c r="N919" s="75">
        <f t="shared" si="115"/>
        <v>45</v>
      </c>
      <c r="O919" s="202">
        <f t="shared" si="116"/>
        <v>0</v>
      </c>
      <c r="P919" s="199">
        <f t="shared" si="113"/>
        <v>0</v>
      </c>
      <c r="Q919" s="203">
        <f t="shared" si="117"/>
        <v>55.10000000000192</v>
      </c>
      <c r="R919" s="203" t="s">
        <v>55</v>
      </c>
      <c r="S919" s="201">
        <f t="shared" si="118"/>
        <v>8.4745762711864181E-3</v>
      </c>
    </row>
    <row r="920" spans="1:19">
      <c r="A920" s="196">
        <v>41304</v>
      </c>
      <c r="B920" s="122">
        <v>15.45</v>
      </c>
      <c r="C920" s="122">
        <v>15.45</v>
      </c>
      <c r="D920" s="122">
        <v>15</v>
      </c>
      <c r="E920" s="122">
        <v>15.1</v>
      </c>
      <c r="F920" s="122">
        <v>11.352428</v>
      </c>
      <c r="G920" s="197">
        <v>1051300</v>
      </c>
      <c r="H920" s="198">
        <f>IF(AND(E919&gt;=H919,E920&gt;=E919),E919*(1+'Trading Model'!$E$13),IF(AND(E920&lt;E919,E919&gt;=H919),E920*(1+'Trading Model'!$E$13),H919))</f>
        <v>27.698998950000004</v>
      </c>
      <c r="I920" s="198">
        <f>IF(K920&gt;0,E920*(1-'Trading Model'!E930),IF(E920&lt;I919,I919*(1-'Trading Model'!$E$14),I919))</f>
        <v>8.9840153609188427</v>
      </c>
      <c r="J920" s="198">
        <f t="shared" si="119"/>
        <v>0</v>
      </c>
      <c r="K920" s="198">
        <f t="shared" si="114"/>
        <v>0</v>
      </c>
      <c r="L920" s="198">
        <f>COUNTIF(J920:K920,"&lt;&gt;0")*-'Trading Model'!$E$15</f>
        <v>0</v>
      </c>
      <c r="M920" s="198">
        <f t="shared" si="112"/>
        <v>0</v>
      </c>
      <c r="N920" s="75">
        <f t="shared" si="115"/>
        <v>45</v>
      </c>
      <c r="O920" s="202">
        <f t="shared" si="116"/>
        <v>0</v>
      </c>
      <c r="P920" s="199">
        <f t="shared" si="113"/>
        <v>0</v>
      </c>
      <c r="Q920" s="203">
        <f t="shared" si="117"/>
        <v>55.000000000001918</v>
      </c>
      <c r="R920" s="203" t="s">
        <v>55</v>
      </c>
      <c r="S920" s="201">
        <f t="shared" si="118"/>
        <v>-2.3917259211376884E-2</v>
      </c>
    </row>
    <row r="921" spans="1:19">
      <c r="A921" s="196">
        <v>41305</v>
      </c>
      <c r="B921" s="122">
        <v>15.08</v>
      </c>
      <c r="C921" s="122">
        <v>15.87</v>
      </c>
      <c r="D921" s="122">
        <v>15.06</v>
      </c>
      <c r="E921" s="122">
        <v>15.87</v>
      </c>
      <c r="F921" s="122">
        <v>11.931326</v>
      </c>
      <c r="G921" s="197">
        <v>794600</v>
      </c>
      <c r="H921" s="198">
        <f>IF(AND(E920&gt;=H920,E921&gt;=E920),E920*(1+'Trading Model'!$E$13),IF(AND(E921&lt;E920,E920&gt;=H920),E921*(1+'Trading Model'!$E$13),H920))</f>
        <v>27.698998950000004</v>
      </c>
      <c r="I921" s="198">
        <f>IF(K921&gt;0,E921*(1-'Trading Model'!E931),IF(E921&lt;I920,I920*(1-'Trading Model'!$E$14),I920))</f>
        <v>8.9840153609188427</v>
      </c>
      <c r="J921" s="198">
        <f t="shared" si="119"/>
        <v>0</v>
      </c>
      <c r="K921" s="198">
        <f t="shared" si="114"/>
        <v>0</v>
      </c>
      <c r="L921" s="198">
        <f>COUNTIF(J921:K921,"&lt;&gt;0")*-'Trading Model'!$E$15</f>
        <v>0</v>
      </c>
      <c r="M921" s="198">
        <f t="shared" si="112"/>
        <v>0</v>
      </c>
      <c r="N921" s="75">
        <f t="shared" si="115"/>
        <v>45</v>
      </c>
      <c r="O921" s="202">
        <f t="shared" si="116"/>
        <v>0</v>
      </c>
      <c r="P921" s="199">
        <f t="shared" si="113"/>
        <v>0</v>
      </c>
      <c r="Q921" s="203">
        <f t="shared" si="117"/>
        <v>55.000000000001918</v>
      </c>
      <c r="R921" s="203" t="s">
        <v>55</v>
      </c>
      <c r="S921" s="201">
        <f t="shared" si="118"/>
        <v>5.099337748344368E-2</v>
      </c>
    </row>
    <row r="922" spans="1:19">
      <c r="A922" s="196">
        <v>41306</v>
      </c>
      <c r="B922" s="122">
        <v>16</v>
      </c>
      <c r="C922" s="122">
        <v>16.010000000000002</v>
      </c>
      <c r="D922" s="122">
        <v>15.67</v>
      </c>
      <c r="E922" s="122">
        <v>15.92</v>
      </c>
      <c r="F922" s="122">
        <v>11.968916999999999</v>
      </c>
      <c r="G922" s="197">
        <v>441300</v>
      </c>
      <c r="H922" s="198">
        <f>IF(AND(E921&gt;=H921,E922&gt;=E921),E921*(1+'Trading Model'!$E$13),IF(AND(E922&lt;E921,E921&gt;=H921),E922*(1+'Trading Model'!$E$13),H921))</f>
        <v>27.698998950000004</v>
      </c>
      <c r="I922" s="198">
        <f>IF(K922&gt;0,E922*(1-'Trading Model'!E932),IF(E922&lt;I921,I921*(1-'Trading Model'!$E$14),I921))</f>
        <v>8.9840153609188427</v>
      </c>
      <c r="J922" s="198">
        <f t="shared" si="119"/>
        <v>0</v>
      </c>
      <c r="K922" s="198">
        <f t="shared" si="114"/>
        <v>0</v>
      </c>
      <c r="L922" s="198">
        <f>COUNTIF(J922:K922,"&lt;&gt;0")*-'Trading Model'!$E$15</f>
        <v>0</v>
      </c>
      <c r="M922" s="198">
        <f t="shared" si="112"/>
        <v>0</v>
      </c>
      <c r="N922" s="75">
        <f t="shared" si="115"/>
        <v>45</v>
      </c>
      <c r="O922" s="202">
        <f t="shared" si="116"/>
        <v>0</v>
      </c>
      <c r="P922" s="199">
        <f t="shared" si="113"/>
        <v>0</v>
      </c>
      <c r="Q922" s="203">
        <f t="shared" si="117"/>
        <v>55.000000000001918</v>
      </c>
      <c r="R922" s="201">
        <f>E922/B918-1</f>
        <v>5.2910052910053018E-2</v>
      </c>
      <c r="S922" s="201">
        <f t="shared" si="118"/>
        <v>3.150598613736566E-3</v>
      </c>
    </row>
    <row r="923" spans="1:19">
      <c r="A923" s="196">
        <v>41309</v>
      </c>
      <c r="B923" s="122">
        <v>15.8</v>
      </c>
      <c r="C923" s="122">
        <v>15.9</v>
      </c>
      <c r="D923" s="122">
        <v>15.48</v>
      </c>
      <c r="E923" s="122">
        <v>15.74</v>
      </c>
      <c r="F923" s="122">
        <v>11.833589</v>
      </c>
      <c r="G923" s="197">
        <v>649800</v>
      </c>
      <c r="H923" s="198">
        <f>IF(AND(E922&gt;=H922,E923&gt;=E922),E922*(1+'Trading Model'!$E$13),IF(AND(E923&lt;E922,E922&gt;=H922),E923*(1+'Trading Model'!$E$13),H922))</f>
        <v>27.698998950000004</v>
      </c>
      <c r="I923" s="198">
        <f>IF(K923&gt;0,E923*(1-'Trading Model'!E933),IF(E923&lt;I922,I922*(1-'Trading Model'!$E$14),I922))</f>
        <v>8.9840153609188427</v>
      </c>
      <c r="J923" s="198">
        <f t="shared" si="119"/>
        <v>0</v>
      </c>
      <c r="K923" s="198">
        <f t="shared" si="114"/>
        <v>0</v>
      </c>
      <c r="L923" s="198">
        <f>COUNTIF(J923:K923,"&lt;&gt;0")*-'Trading Model'!$E$15</f>
        <v>0</v>
      </c>
      <c r="M923" s="198">
        <f t="shared" si="112"/>
        <v>0</v>
      </c>
      <c r="N923" s="75">
        <f t="shared" si="115"/>
        <v>45</v>
      </c>
      <c r="O923" s="202">
        <f t="shared" si="116"/>
        <v>0</v>
      </c>
      <c r="P923" s="199">
        <f t="shared" si="113"/>
        <v>0</v>
      </c>
      <c r="Q923" s="203">
        <f t="shared" si="117"/>
        <v>54.900000000001917</v>
      </c>
      <c r="R923" s="160" t="s">
        <v>55</v>
      </c>
      <c r="S923" s="201">
        <f t="shared" si="118"/>
        <v>-1.1306532663316604E-2</v>
      </c>
    </row>
    <row r="924" spans="1:19">
      <c r="A924" s="196">
        <v>41310</v>
      </c>
      <c r="B924" s="122">
        <v>15.66</v>
      </c>
      <c r="C924" s="122">
        <v>15.93</v>
      </c>
      <c r="D924" s="122">
        <v>15.56</v>
      </c>
      <c r="E924" s="122">
        <v>15.92</v>
      </c>
      <c r="F924" s="122">
        <v>11.968916999999999</v>
      </c>
      <c r="G924" s="197">
        <v>636000</v>
      </c>
      <c r="H924" s="198">
        <f>IF(AND(E923&gt;=H923,E924&gt;=E923),E923*(1+'Trading Model'!$E$13),IF(AND(E924&lt;E923,E923&gt;=H923),E924*(1+'Trading Model'!$E$13),H923))</f>
        <v>27.698998950000004</v>
      </c>
      <c r="I924" s="198">
        <f>IF(K924&gt;0,E924*(1-'Trading Model'!E934),IF(E924&lt;I923,I923*(1-'Trading Model'!$E$14),I923))</f>
        <v>8.9840153609188427</v>
      </c>
      <c r="J924" s="198">
        <f t="shared" si="119"/>
        <v>0</v>
      </c>
      <c r="K924" s="198">
        <f t="shared" si="114"/>
        <v>0</v>
      </c>
      <c r="L924" s="198">
        <f>COUNTIF(J924:K924,"&lt;&gt;0")*-'Trading Model'!$E$15</f>
        <v>0</v>
      </c>
      <c r="M924" s="198">
        <f t="shared" si="112"/>
        <v>0</v>
      </c>
      <c r="N924" s="75">
        <f t="shared" si="115"/>
        <v>45</v>
      </c>
      <c r="O924" s="202">
        <f t="shared" si="116"/>
        <v>0</v>
      </c>
      <c r="P924" s="199">
        <f t="shared" si="113"/>
        <v>0</v>
      </c>
      <c r="Q924" s="203">
        <f t="shared" si="117"/>
        <v>54.900000000001917</v>
      </c>
      <c r="R924" s="203" t="s">
        <v>55</v>
      </c>
      <c r="S924" s="201">
        <f t="shared" si="118"/>
        <v>1.1435832274459878E-2</v>
      </c>
    </row>
    <row r="925" spans="1:19">
      <c r="A925" s="196">
        <v>41311</v>
      </c>
      <c r="B925" s="122">
        <v>15.67</v>
      </c>
      <c r="C925" s="122">
        <v>15.98</v>
      </c>
      <c r="D925" s="122">
        <v>15.29</v>
      </c>
      <c r="E925" s="122">
        <v>15.62</v>
      </c>
      <c r="F925" s="122">
        <v>11.743370000000001</v>
      </c>
      <c r="G925" s="197">
        <v>699900</v>
      </c>
      <c r="H925" s="198">
        <f>IF(AND(E924&gt;=H924,E925&gt;=E924),E924*(1+'Trading Model'!$E$13),IF(AND(E925&lt;E924,E924&gt;=H924),E925*(1+'Trading Model'!$E$13),H924))</f>
        <v>27.698998950000004</v>
      </c>
      <c r="I925" s="198">
        <f>IF(K925&gt;0,E925*(1-'Trading Model'!E935),IF(E925&lt;I924,I924*(1-'Trading Model'!$E$14),I924))</f>
        <v>8.9840153609188427</v>
      </c>
      <c r="J925" s="198">
        <f t="shared" si="119"/>
        <v>0</v>
      </c>
      <c r="K925" s="198">
        <f t="shared" si="114"/>
        <v>0</v>
      </c>
      <c r="L925" s="198">
        <f>COUNTIF(J925:K925,"&lt;&gt;0")*-'Trading Model'!$E$15</f>
        <v>0</v>
      </c>
      <c r="M925" s="198">
        <f t="shared" si="112"/>
        <v>0</v>
      </c>
      <c r="N925" s="75">
        <f t="shared" si="115"/>
        <v>45</v>
      </c>
      <c r="O925" s="202">
        <f t="shared" si="116"/>
        <v>0</v>
      </c>
      <c r="P925" s="199">
        <f t="shared" si="113"/>
        <v>0</v>
      </c>
      <c r="Q925" s="203">
        <f t="shared" si="117"/>
        <v>54.800000000001916</v>
      </c>
      <c r="R925" s="203" t="s">
        <v>55</v>
      </c>
      <c r="S925" s="201">
        <f t="shared" si="118"/>
        <v>-1.8844221105527637E-2</v>
      </c>
    </row>
    <row r="926" spans="1:19">
      <c r="A926" s="196">
        <v>41312</v>
      </c>
      <c r="B926" s="122">
        <v>15.56</v>
      </c>
      <c r="C926" s="122">
        <v>15.89</v>
      </c>
      <c r="D926" s="122">
        <v>15.41</v>
      </c>
      <c r="E926" s="122">
        <v>15.85</v>
      </c>
      <c r="F926" s="122">
        <v>11.916288</v>
      </c>
      <c r="G926" s="197">
        <v>564000</v>
      </c>
      <c r="H926" s="198">
        <f>IF(AND(E925&gt;=H925,E926&gt;=E925),E925*(1+'Trading Model'!$E$13),IF(AND(E926&lt;E925,E925&gt;=H925),E926*(1+'Trading Model'!$E$13),H925))</f>
        <v>27.698998950000004</v>
      </c>
      <c r="I926" s="198">
        <f>IF(K926&gt;0,E926*(1-'Trading Model'!E936),IF(E926&lt;I925,I925*(1-'Trading Model'!$E$14),I925))</f>
        <v>8.9840153609188427</v>
      </c>
      <c r="J926" s="198">
        <f t="shared" si="119"/>
        <v>0</v>
      </c>
      <c r="K926" s="198">
        <f t="shared" si="114"/>
        <v>0</v>
      </c>
      <c r="L926" s="198">
        <f>COUNTIF(J926:K926,"&lt;&gt;0")*-'Trading Model'!$E$15</f>
        <v>0</v>
      </c>
      <c r="M926" s="198">
        <f t="shared" si="112"/>
        <v>0</v>
      </c>
      <c r="N926" s="75">
        <f t="shared" si="115"/>
        <v>45</v>
      </c>
      <c r="O926" s="202">
        <f t="shared" si="116"/>
        <v>0</v>
      </c>
      <c r="P926" s="199">
        <f t="shared" si="113"/>
        <v>0</v>
      </c>
      <c r="Q926" s="203">
        <f t="shared" si="117"/>
        <v>54.800000000001916</v>
      </c>
      <c r="R926" s="203" t="s">
        <v>55</v>
      </c>
      <c r="S926" s="201">
        <f t="shared" si="118"/>
        <v>1.4724711907810439E-2</v>
      </c>
    </row>
    <row r="927" spans="1:19">
      <c r="A927" s="196">
        <v>41313</v>
      </c>
      <c r="B927" s="122">
        <v>15.87</v>
      </c>
      <c r="C927" s="122">
        <v>15.87</v>
      </c>
      <c r="D927" s="122">
        <v>15.06</v>
      </c>
      <c r="E927" s="122">
        <v>15.14</v>
      </c>
      <c r="F927" s="122">
        <v>11.382498999999999</v>
      </c>
      <c r="G927" s="197">
        <v>414800</v>
      </c>
      <c r="H927" s="198">
        <f>IF(AND(E926&gt;=H926,E927&gt;=E926),E926*(1+'Trading Model'!$E$13),IF(AND(E927&lt;E926,E926&gt;=H926),E927*(1+'Trading Model'!$E$13),H926))</f>
        <v>27.698998950000004</v>
      </c>
      <c r="I927" s="198">
        <f>IF(K927&gt;0,E927*(1-'Trading Model'!E937),IF(E927&lt;I926,I926*(1-'Trading Model'!$E$14),I926))</f>
        <v>8.9840153609188427</v>
      </c>
      <c r="J927" s="198">
        <f t="shared" si="119"/>
        <v>0</v>
      </c>
      <c r="K927" s="198">
        <f t="shared" si="114"/>
        <v>0</v>
      </c>
      <c r="L927" s="198">
        <f>COUNTIF(J927:K927,"&lt;&gt;0")*-'Trading Model'!$E$15</f>
        <v>0</v>
      </c>
      <c r="M927" s="198">
        <f t="shared" si="112"/>
        <v>0</v>
      </c>
      <c r="N927" s="75">
        <f t="shared" si="115"/>
        <v>45</v>
      </c>
      <c r="O927" s="202">
        <f t="shared" si="116"/>
        <v>0</v>
      </c>
      <c r="P927" s="199">
        <f t="shared" si="113"/>
        <v>0</v>
      </c>
      <c r="Q927" s="203">
        <f t="shared" si="117"/>
        <v>54.700000000001914</v>
      </c>
      <c r="R927" s="201">
        <f>E927/B923-1</f>
        <v>-4.1772151898734178E-2</v>
      </c>
      <c r="S927" s="201">
        <f t="shared" si="118"/>
        <v>-4.4794952681388001E-2</v>
      </c>
    </row>
    <row r="928" spans="1:19">
      <c r="A928" s="196">
        <v>41316</v>
      </c>
      <c r="B928" s="122">
        <v>15.12</v>
      </c>
      <c r="C928" s="122">
        <v>15.26</v>
      </c>
      <c r="D928" s="122">
        <v>14.96</v>
      </c>
      <c r="E928" s="122">
        <v>15.17</v>
      </c>
      <c r="F928" s="122">
        <v>11.405055000000001</v>
      </c>
      <c r="G928" s="197">
        <v>310200</v>
      </c>
      <c r="H928" s="198">
        <f>IF(AND(E927&gt;=H927,E928&gt;=E927),E927*(1+'Trading Model'!$E$13),IF(AND(E928&lt;E927,E927&gt;=H927),E928*(1+'Trading Model'!$E$13),H927))</f>
        <v>27.698998950000004</v>
      </c>
      <c r="I928" s="198">
        <f>IF(K928&gt;0,E928*(1-'Trading Model'!E938),IF(E928&lt;I927,I927*(1-'Trading Model'!$E$14),I927))</f>
        <v>8.9840153609188427</v>
      </c>
      <c r="J928" s="198">
        <f t="shared" si="119"/>
        <v>0</v>
      </c>
      <c r="K928" s="198">
        <f t="shared" si="114"/>
        <v>0</v>
      </c>
      <c r="L928" s="198">
        <f>COUNTIF(J928:K928,"&lt;&gt;0")*-'Trading Model'!$E$15</f>
        <v>0</v>
      </c>
      <c r="M928" s="198">
        <f t="shared" si="112"/>
        <v>0</v>
      </c>
      <c r="N928" s="75">
        <f t="shared" si="115"/>
        <v>45</v>
      </c>
      <c r="O928" s="202">
        <f t="shared" si="116"/>
        <v>0</v>
      </c>
      <c r="P928" s="199">
        <f t="shared" si="113"/>
        <v>0</v>
      </c>
      <c r="Q928" s="203">
        <f t="shared" si="117"/>
        <v>54.700000000001914</v>
      </c>
      <c r="R928" s="160" t="s">
        <v>55</v>
      </c>
      <c r="S928" s="201">
        <f t="shared" si="118"/>
        <v>1.9815059445178473E-3</v>
      </c>
    </row>
    <row r="929" spans="1:19">
      <c r="A929" s="196">
        <v>41317</v>
      </c>
      <c r="B929" s="122">
        <v>15.24</v>
      </c>
      <c r="C929" s="122">
        <v>15.24</v>
      </c>
      <c r="D929" s="122">
        <v>14.83</v>
      </c>
      <c r="E929" s="122">
        <v>15.04</v>
      </c>
      <c r="F929" s="122">
        <v>11.307320000000001</v>
      </c>
      <c r="G929" s="197">
        <v>287400</v>
      </c>
      <c r="H929" s="198">
        <f>IF(AND(E928&gt;=H928,E929&gt;=E928),E928*(1+'Trading Model'!$E$13),IF(AND(E929&lt;E928,E928&gt;=H928),E929*(1+'Trading Model'!$E$13),H928))</f>
        <v>27.698998950000004</v>
      </c>
      <c r="I929" s="198">
        <f>IF(K929&gt;0,E929*(1-'Trading Model'!E939),IF(E929&lt;I928,I928*(1-'Trading Model'!$E$14),I928))</f>
        <v>8.9840153609188427</v>
      </c>
      <c r="J929" s="198">
        <f t="shared" si="119"/>
        <v>0</v>
      </c>
      <c r="K929" s="198">
        <f t="shared" si="114"/>
        <v>0</v>
      </c>
      <c r="L929" s="198">
        <f>COUNTIF(J929:K929,"&lt;&gt;0")*-'Trading Model'!$E$15</f>
        <v>0</v>
      </c>
      <c r="M929" s="198">
        <f t="shared" si="112"/>
        <v>0</v>
      </c>
      <c r="N929" s="75">
        <f t="shared" si="115"/>
        <v>45</v>
      </c>
      <c r="O929" s="202">
        <f t="shared" si="116"/>
        <v>0</v>
      </c>
      <c r="P929" s="199">
        <f t="shared" si="113"/>
        <v>0</v>
      </c>
      <c r="Q929" s="203">
        <f t="shared" si="117"/>
        <v>54.600000000001913</v>
      </c>
      <c r="R929" s="203" t="s">
        <v>55</v>
      </c>
      <c r="S929" s="201">
        <f t="shared" si="118"/>
        <v>-8.5695451549110402E-3</v>
      </c>
    </row>
    <row r="930" spans="1:19">
      <c r="A930" s="196">
        <v>41318</v>
      </c>
      <c r="B930" s="122">
        <v>15</v>
      </c>
      <c r="C930" s="122">
        <v>15.18</v>
      </c>
      <c r="D930" s="122">
        <v>14.89</v>
      </c>
      <c r="E930" s="122">
        <v>15.05</v>
      </c>
      <c r="F930" s="122">
        <v>11.314836</v>
      </c>
      <c r="G930" s="197">
        <v>209900</v>
      </c>
      <c r="H930" s="198">
        <f>IF(AND(E929&gt;=H929,E930&gt;=E929),E929*(1+'Trading Model'!$E$13),IF(AND(E930&lt;E929,E929&gt;=H929),E930*(1+'Trading Model'!$E$13),H929))</f>
        <v>27.698998950000004</v>
      </c>
      <c r="I930" s="198">
        <f>IF(K930&gt;0,E930*(1-'Trading Model'!E940),IF(E930&lt;I929,I929*(1-'Trading Model'!$E$14),I929))</f>
        <v>8.9840153609188427</v>
      </c>
      <c r="J930" s="198">
        <f t="shared" si="119"/>
        <v>0</v>
      </c>
      <c r="K930" s="198">
        <f t="shared" si="114"/>
        <v>0</v>
      </c>
      <c r="L930" s="198">
        <f>COUNTIF(J930:K930,"&lt;&gt;0")*-'Trading Model'!$E$15</f>
        <v>0</v>
      </c>
      <c r="M930" s="198">
        <f t="shared" si="112"/>
        <v>0</v>
      </c>
      <c r="N930" s="75">
        <f t="shared" si="115"/>
        <v>45</v>
      </c>
      <c r="O930" s="202">
        <f t="shared" si="116"/>
        <v>0</v>
      </c>
      <c r="P930" s="199">
        <f t="shared" si="113"/>
        <v>0</v>
      </c>
      <c r="Q930" s="203">
        <f t="shared" si="117"/>
        <v>54.600000000001913</v>
      </c>
      <c r="R930" s="203" t="s">
        <v>55</v>
      </c>
      <c r="S930" s="201">
        <f t="shared" si="118"/>
        <v>6.6489361702148919E-4</v>
      </c>
    </row>
    <row r="931" spans="1:19">
      <c r="A931" s="196">
        <v>41319</v>
      </c>
      <c r="B931" s="122">
        <v>14.94</v>
      </c>
      <c r="C931" s="122">
        <v>14.99</v>
      </c>
      <c r="D931" s="122">
        <v>14.57</v>
      </c>
      <c r="E931" s="122">
        <v>14.76</v>
      </c>
      <c r="F931" s="122">
        <v>11.096811000000001</v>
      </c>
      <c r="G931" s="197">
        <v>300800</v>
      </c>
      <c r="H931" s="198">
        <f>IF(AND(E930&gt;=H930,E931&gt;=E930),E930*(1+'Trading Model'!$E$13),IF(AND(E931&lt;E930,E930&gt;=H930),E931*(1+'Trading Model'!$E$13),H930))</f>
        <v>27.698998950000004</v>
      </c>
      <c r="I931" s="198">
        <f>IF(K931&gt;0,E931*(1-'Trading Model'!E941),IF(E931&lt;I930,I930*(1-'Trading Model'!$E$14),I930))</f>
        <v>8.9840153609188427</v>
      </c>
      <c r="J931" s="198">
        <f t="shared" si="119"/>
        <v>0</v>
      </c>
      <c r="K931" s="198">
        <f t="shared" si="114"/>
        <v>0</v>
      </c>
      <c r="L931" s="198">
        <f>COUNTIF(J931:K931,"&lt;&gt;0")*-'Trading Model'!$E$15</f>
        <v>0</v>
      </c>
      <c r="M931" s="198">
        <f t="shared" si="112"/>
        <v>0</v>
      </c>
      <c r="N931" s="75">
        <f t="shared" si="115"/>
        <v>45</v>
      </c>
      <c r="O931" s="202">
        <f t="shared" si="116"/>
        <v>0</v>
      </c>
      <c r="P931" s="199">
        <f t="shared" si="113"/>
        <v>0</v>
      </c>
      <c r="Q931" s="203">
        <f t="shared" si="117"/>
        <v>54.500000000001911</v>
      </c>
      <c r="R931" s="203" t="s">
        <v>55</v>
      </c>
      <c r="S931" s="201">
        <f t="shared" si="118"/>
        <v>-1.926910299003326E-2</v>
      </c>
    </row>
    <row r="932" spans="1:19">
      <c r="A932" s="196">
        <v>41320</v>
      </c>
      <c r="B932" s="122">
        <v>14.71</v>
      </c>
      <c r="C932" s="122">
        <v>14.88</v>
      </c>
      <c r="D932" s="122">
        <v>14.58</v>
      </c>
      <c r="E932" s="122">
        <v>14.82</v>
      </c>
      <c r="F932" s="122">
        <v>11.141918</v>
      </c>
      <c r="G932" s="197">
        <v>256100</v>
      </c>
      <c r="H932" s="198">
        <f>IF(AND(E931&gt;=H931,E932&gt;=E931),E931*(1+'Trading Model'!$E$13),IF(AND(E932&lt;E931,E931&gt;=H931),E932*(1+'Trading Model'!$E$13),H931))</f>
        <v>27.698998950000004</v>
      </c>
      <c r="I932" s="198">
        <f>IF(K932&gt;0,E932*(1-'Trading Model'!E942),IF(E932&lt;I931,I931*(1-'Trading Model'!$E$14),I931))</f>
        <v>8.9840153609188427</v>
      </c>
      <c r="J932" s="198">
        <f t="shared" si="119"/>
        <v>0</v>
      </c>
      <c r="K932" s="198">
        <f t="shared" si="114"/>
        <v>0</v>
      </c>
      <c r="L932" s="198">
        <f>COUNTIF(J932:K932,"&lt;&gt;0")*-'Trading Model'!$E$15</f>
        <v>0</v>
      </c>
      <c r="M932" s="198">
        <f t="shared" si="112"/>
        <v>0</v>
      </c>
      <c r="N932" s="75">
        <f t="shared" si="115"/>
        <v>45</v>
      </c>
      <c r="O932" s="202">
        <f t="shared" si="116"/>
        <v>0</v>
      </c>
      <c r="P932" s="199">
        <f t="shared" si="113"/>
        <v>0</v>
      </c>
      <c r="Q932" s="203">
        <f t="shared" si="117"/>
        <v>54.500000000001911</v>
      </c>
      <c r="R932" s="201">
        <f>E932/B928-1</f>
        <v>-1.9841269841269771E-2</v>
      </c>
      <c r="S932" s="201">
        <f t="shared" si="118"/>
        <v>4.0650406504065817E-3</v>
      </c>
    </row>
    <row r="933" spans="1:19">
      <c r="A933" s="196">
        <v>41324</v>
      </c>
      <c r="B933" s="122">
        <v>14.89</v>
      </c>
      <c r="C933" s="122">
        <v>14.98</v>
      </c>
      <c r="D933" s="122">
        <v>14.6</v>
      </c>
      <c r="E933" s="122">
        <v>14.91</v>
      </c>
      <c r="F933" s="122">
        <v>11.209581999999999</v>
      </c>
      <c r="G933" s="197">
        <v>314700</v>
      </c>
      <c r="H933" s="198">
        <f>IF(AND(E932&gt;=H932,E933&gt;=E932),E932*(1+'Trading Model'!$E$13),IF(AND(E933&lt;E932,E932&gt;=H932),E933*(1+'Trading Model'!$E$13),H932))</f>
        <v>27.698998950000004</v>
      </c>
      <c r="I933" s="198">
        <f>IF(K933&gt;0,E933*(1-'Trading Model'!E943),IF(E933&lt;I932,I932*(1-'Trading Model'!$E$14),I932))</f>
        <v>8.9840153609188427</v>
      </c>
      <c r="J933" s="198">
        <f t="shared" si="119"/>
        <v>0</v>
      </c>
      <c r="K933" s="198">
        <f t="shared" si="114"/>
        <v>0</v>
      </c>
      <c r="L933" s="198">
        <f>COUNTIF(J933:K933,"&lt;&gt;0")*-'Trading Model'!$E$15</f>
        <v>0</v>
      </c>
      <c r="M933" s="198">
        <f t="shared" si="112"/>
        <v>0</v>
      </c>
      <c r="N933" s="75">
        <f t="shared" si="115"/>
        <v>45</v>
      </c>
      <c r="O933" s="202">
        <f t="shared" si="116"/>
        <v>0</v>
      </c>
      <c r="P933" s="199">
        <f t="shared" si="113"/>
        <v>0</v>
      </c>
      <c r="Q933" s="203">
        <f t="shared" si="117"/>
        <v>54.500000000001911</v>
      </c>
      <c r="R933" s="160" t="s">
        <v>55</v>
      </c>
      <c r="S933" s="201">
        <f t="shared" si="118"/>
        <v>6.0728744939271273E-3</v>
      </c>
    </row>
    <row r="934" spans="1:19">
      <c r="A934" s="196">
        <v>41325</v>
      </c>
      <c r="B934" s="122">
        <v>14.81</v>
      </c>
      <c r="C934" s="122">
        <v>15.02</v>
      </c>
      <c r="D934" s="122">
        <v>14.46</v>
      </c>
      <c r="E934" s="122">
        <v>14.52</v>
      </c>
      <c r="F934" s="122">
        <v>10.916372000000001</v>
      </c>
      <c r="G934" s="197">
        <v>353100</v>
      </c>
      <c r="H934" s="198">
        <f>IF(AND(E933&gt;=H933,E934&gt;=E933),E933*(1+'Trading Model'!$E$13),IF(AND(E934&lt;E933,E933&gt;=H933),E934*(1+'Trading Model'!$E$13),H933))</f>
        <v>27.698998950000004</v>
      </c>
      <c r="I934" s="198">
        <f>IF(K934&gt;0,E934*(1-'Trading Model'!E944),IF(E934&lt;I933,I933*(1-'Trading Model'!$E$14),I933))</f>
        <v>8.9840153609188427</v>
      </c>
      <c r="J934" s="198">
        <f t="shared" si="119"/>
        <v>0</v>
      </c>
      <c r="K934" s="198">
        <f t="shared" si="114"/>
        <v>0</v>
      </c>
      <c r="L934" s="198">
        <f>COUNTIF(J934:K934,"&lt;&gt;0")*-'Trading Model'!$E$15</f>
        <v>0</v>
      </c>
      <c r="M934" s="198">
        <f t="shared" si="112"/>
        <v>0</v>
      </c>
      <c r="N934" s="75">
        <f t="shared" si="115"/>
        <v>45</v>
      </c>
      <c r="O934" s="202">
        <f t="shared" si="116"/>
        <v>0</v>
      </c>
      <c r="P934" s="199">
        <f t="shared" si="113"/>
        <v>0</v>
      </c>
      <c r="Q934" s="203">
        <f t="shared" si="117"/>
        <v>54.40000000000191</v>
      </c>
      <c r="R934" s="203" t="s">
        <v>55</v>
      </c>
      <c r="S934" s="201">
        <f t="shared" si="118"/>
        <v>-2.6156941649899457E-2</v>
      </c>
    </row>
    <row r="935" spans="1:19">
      <c r="A935" s="196">
        <v>41326</v>
      </c>
      <c r="B935" s="122">
        <v>14.48</v>
      </c>
      <c r="C935" s="122">
        <v>14.6</v>
      </c>
      <c r="D935" s="122">
        <v>14.09</v>
      </c>
      <c r="E935" s="122">
        <v>14.4</v>
      </c>
      <c r="F935" s="122">
        <v>10.826155999999999</v>
      </c>
      <c r="G935" s="197">
        <v>368600</v>
      </c>
      <c r="H935" s="198">
        <f>IF(AND(E934&gt;=H934,E935&gt;=E934),E934*(1+'Trading Model'!$E$13),IF(AND(E935&lt;E934,E934&gt;=H934),E935*(1+'Trading Model'!$E$13),H934))</f>
        <v>27.698998950000004</v>
      </c>
      <c r="I935" s="198">
        <f>IF(K935&gt;0,E935*(1-'Trading Model'!E945),IF(E935&lt;I934,I934*(1-'Trading Model'!$E$14),I934))</f>
        <v>8.9840153609188427</v>
      </c>
      <c r="J935" s="198">
        <f t="shared" si="119"/>
        <v>0</v>
      </c>
      <c r="K935" s="198">
        <f t="shared" si="114"/>
        <v>0</v>
      </c>
      <c r="L935" s="198">
        <f>COUNTIF(J935:K935,"&lt;&gt;0")*-'Trading Model'!$E$15</f>
        <v>0</v>
      </c>
      <c r="M935" s="198">
        <f t="shared" si="112"/>
        <v>0</v>
      </c>
      <c r="N935" s="75">
        <f t="shared" si="115"/>
        <v>45</v>
      </c>
      <c r="O935" s="202">
        <f t="shared" si="116"/>
        <v>0</v>
      </c>
      <c r="P935" s="199">
        <f t="shared" si="113"/>
        <v>0</v>
      </c>
      <c r="Q935" s="203">
        <f t="shared" si="117"/>
        <v>54.300000000001909</v>
      </c>
      <c r="R935" s="203" t="s">
        <v>55</v>
      </c>
      <c r="S935" s="201">
        <f t="shared" si="118"/>
        <v>-8.2644628099173278E-3</v>
      </c>
    </row>
    <row r="936" spans="1:19">
      <c r="A936" s="196">
        <v>41327</v>
      </c>
      <c r="B936" s="122">
        <v>14.5</v>
      </c>
      <c r="C936" s="122">
        <v>14.63</v>
      </c>
      <c r="D936" s="122">
        <v>14.15</v>
      </c>
      <c r="E936" s="122">
        <v>14.32</v>
      </c>
      <c r="F936" s="122">
        <v>10.766007999999999</v>
      </c>
      <c r="G936" s="197">
        <v>215400</v>
      </c>
      <c r="H936" s="198">
        <f>IF(AND(E935&gt;=H935,E936&gt;=E935),E935*(1+'Trading Model'!$E$13),IF(AND(E936&lt;E935,E935&gt;=H935),E936*(1+'Trading Model'!$E$13),H935))</f>
        <v>27.698998950000004</v>
      </c>
      <c r="I936" s="198">
        <f>IF(K936&gt;0,E936*(1-'Trading Model'!E946),IF(E936&lt;I935,I935*(1-'Trading Model'!$E$14),I935))</f>
        <v>8.9840153609188427</v>
      </c>
      <c r="J936" s="198">
        <f t="shared" si="119"/>
        <v>0</v>
      </c>
      <c r="K936" s="198">
        <f t="shared" si="114"/>
        <v>0</v>
      </c>
      <c r="L936" s="198">
        <f>COUNTIF(J936:K936,"&lt;&gt;0")*-'Trading Model'!$E$15</f>
        <v>0</v>
      </c>
      <c r="M936" s="198">
        <f t="shared" si="112"/>
        <v>0</v>
      </c>
      <c r="N936" s="75">
        <f t="shared" si="115"/>
        <v>45</v>
      </c>
      <c r="O936" s="202">
        <f t="shared" si="116"/>
        <v>0</v>
      </c>
      <c r="P936" s="199">
        <f t="shared" si="113"/>
        <v>0</v>
      </c>
      <c r="Q936" s="203">
        <f t="shared" si="117"/>
        <v>54.200000000001907</v>
      </c>
      <c r="R936" s="203" t="s">
        <v>55</v>
      </c>
      <c r="S936" s="201">
        <f t="shared" si="118"/>
        <v>-5.5555555555555358E-3</v>
      </c>
    </row>
    <row r="937" spans="1:19">
      <c r="A937" s="196">
        <v>41330</v>
      </c>
      <c r="B937" s="122">
        <v>14.45</v>
      </c>
      <c r="C937" s="122">
        <v>14.46</v>
      </c>
      <c r="D937" s="122">
        <v>13.97</v>
      </c>
      <c r="E937" s="122">
        <v>14.01</v>
      </c>
      <c r="F937" s="122">
        <v>10.532947999999999</v>
      </c>
      <c r="G937" s="197">
        <v>278300</v>
      </c>
      <c r="H937" s="198">
        <f>IF(AND(E936&gt;=H936,E937&gt;=E936),E936*(1+'Trading Model'!$E$13),IF(AND(E937&lt;E936,E936&gt;=H936),E937*(1+'Trading Model'!$E$13),H936))</f>
        <v>27.698998950000004</v>
      </c>
      <c r="I937" s="198">
        <f>IF(K937&gt;0,E937*(1-'Trading Model'!E947),IF(E937&lt;I936,I936*(1-'Trading Model'!$E$14),I936))</f>
        <v>8.9840153609188427</v>
      </c>
      <c r="J937" s="198">
        <f t="shared" si="119"/>
        <v>0</v>
      </c>
      <c r="K937" s="198">
        <f t="shared" si="114"/>
        <v>0</v>
      </c>
      <c r="L937" s="198">
        <f>COUNTIF(J937:K937,"&lt;&gt;0")*-'Trading Model'!$E$15</f>
        <v>0</v>
      </c>
      <c r="M937" s="198">
        <f t="shared" si="112"/>
        <v>0</v>
      </c>
      <c r="N937" s="75">
        <f t="shared" si="115"/>
        <v>45</v>
      </c>
      <c r="O937" s="202">
        <f t="shared" si="116"/>
        <v>0</v>
      </c>
      <c r="P937" s="199">
        <f t="shared" si="113"/>
        <v>0</v>
      </c>
      <c r="Q937" s="203">
        <f t="shared" si="117"/>
        <v>54.100000000001906</v>
      </c>
      <c r="R937" s="201">
        <f>E937/B933-1</f>
        <v>-5.9100067159167269E-2</v>
      </c>
      <c r="S937" s="201">
        <f t="shared" si="118"/>
        <v>-2.1648044692737511E-2</v>
      </c>
    </row>
    <row r="938" spans="1:19">
      <c r="A938" s="196">
        <v>41331</v>
      </c>
      <c r="B938" s="122">
        <v>14.14</v>
      </c>
      <c r="C938" s="122">
        <v>14.32</v>
      </c>
      <c r="D938" s="122">
        <v>14.03</v>
      </c>
      <c r="E938" s="122">
        <v>14.26</v>
      </c>
      <c r="F938" s="122">
        <v>10.720901</v>
      </c>
      <c r="G938" s="197">
        <v>193800</v>
      </c>
      <c r="H938" s="198">
        <f>IF(AND(E937&gt;=H937,E938&gt;=E937),E937*(1+'Trading Model'!$E$13),IF(AND(E938&lt;E937,E937&gt;=H937),E938*(1+'Trading Model'!$E$13),H937))</f>
        <v>27.698998950000004</v>
      </c>
      <c r="I938" s="198">
        <f>IF(K938&gt;0,E938*(1-'Trading Model'!E948),IF(E938&lt;I937,I937*(1-'Trading Model'!$E$14),I937))</f>
        <v>8.9840153609188427</v>
      </c>
      <c r="J938" s="198">
        <f t="shared" si="119"/>
        <v>0</v>
      </c>
      <c r="K938" s="198">
        <f t="shared" si="114"/>
        <v>0</v>
      </c>
      <c r="L938" s="198">
        <f>COUNTIF(J938:K938,"&lt;&gt;0")*-'Trading Model'!$E$15</f>
        <v>0</v>
      </c>
      <c r="M938" s="198">
        <f t="shared" si="112"/>
        <v>0</v>
      </c>
      <c r="N938" s="75">
        <f t="shared" si="115"/>
        <v>45</v>
      </c>
      <c r="O938" s="202">
        <f t="shared" si="116"/>
        <v>0</v>
      </c>
      <c r="P938" s="199">
        <f t="shared" si="113"/>
        <v>0</v>
      </c>
      <c r="Q938" s="203">
        <f t="shared" si="117"/>
        <v>54.100000000001906</v>
      </c>
      <c r="R938" s="160" t="s">
        <v>55</v>
      </c>
      <c r="S938" s="201">
        <f t="shared" si="118"/>
        <v>1.7844396859386213E-2</v>
      </c>
    </row>
    <row r="939" spans="1:19">
      <c r="A939" s="196">
        <v>41332</v>
      </c>
      <c r="B939" s="122">
        <v>14.32</v>
      </c>
      <c r="C939" s="122">
        <v>14.56</v>
      </c>
      <c r="D939" s="122">
        <v>14.15</v>
      </c>
      <c r="E939" s="122">
        <v>14.49</v>
      </c>
      <c r="F939" s="122">
        <v>10.893819000000001</v>
      </c>
      <c r="G939" s="197">
        <v>312100</v>
      </c>
      <c r="H939" s="198">
        <f>IF(AND(E938&gt;=H938,E939&gt;=E938),E938*(1+'Trading Model'!$E$13),IF(AND(E939&lt;E938,E938&gt;=H938),E939*(1+'Trading Model'!$E$13),H938))</f>
        <v>27.698998950000004</v>
      </c>
      <c r="I939" s="198">
        <f>IF(K939&gt;0,E939*(1-'Trading Model'!E949),IF(E939&lt;I938,I938*(1-'Trading Model'!$E$14),I938))</f>
        <v>8.9840153609188427</v>
      </c>
      <c r="J939" s="198">
        <f t="shared" si="119"/>
        <v>0</v>
      </c>
      <c r="K939" s="198">
        <f t="shared" si="114"/>
        <v>0</v>
      </c>
      <c r="L939" s="198">
        <f>COUNTIF(J939:K939,"&lt;&gt;0")*-'Trading Model'!$E$15</f>
        <v>0</v>
      </c>
      <c r="M939" s="198">
        <f t="shared" si="112"/>
        <v>0</v>
      </c>
      <c r="N939" s="75">
        <f t="shared" si="115"/>
        <v>45</v>
      </c>
      <c r="O939" s="202">
        <f t="shared" si="116"/>
        <v>0</v>
      </c>
      <c r="P939" s="199">
        <f t="shared" si="113"/>
        <v>0</v>
      </c>
      <c r="Q939" s="203">
        <f t="shared" si="117"/>
        <v>54.100000000001906</v>
      </c>
      <c r="R939" s="203" t="s">
        <v>55</v>
      </c>
      <c r="S939" s="201">
        <f t="shared" si="118"/>
        <v>1.6129032258064502E-2</v>
      </c>
    </row>
    <row r="940" spans="1:19">
      <c r="A940" s="196">
        <v>41333</v>
      </c>
      <c r="B940" s="122">
        <v>14.36</v>
      </c>
      <c r="C940" s="122">
        <v>14.36</v>
      </c>
      <c r="D940" s="122">
        <v>12.17</v>
      </c>
      <c r="E940" s="122">
        <v>12.29</v>
      </c>
      <c r="F940" s="122">
        <v>9.2398229999999995</v>
      </c>
      <c r="G940" s="197">
        <v>988500</v>
      </c>
      <c r="H940" s="198">
        <f>IF(AND(E939&gt;=H939,E940&gt;=E939),E939*(1+'Trading Model'!$E$13),IF(AND(E940&lt;E939,E939&gt;=H939),E940*(1+'Trading Model'!$E$13),H939))</f>
        <v>27.698998950000004</v>
      </c>
      <c r="I940" s="198">
        <f>IF(K940&gt;0,E940*(1-'Trading Model'!E950),IF(E940&lt;I939,I939*(1-'Trading Model'!$E$14),I939))</f>
        <v>8.9840153609188427</v>
      </c>
      <c r="J940" s="198">
        <f t="shared" si="119"/>
        <v>0</v>
      </c>
      <c r="K940" s="198">
        <f t="shared" si="114"/>
        <v>0</v>
      </c>
      <c r="L940" s="198">
        <f>COUNTIF(J940:K940,"&lt;&gt;0")*-'Trading Model'!$E$15</f>
        <v>0</v>
      </c>
      <c r="M940" s="198">
        <f t="shared" si="112"/>
        <v>0</v>
      </c>
      <c r="N940" s="75">
        <f t="shared" si="115"/>
        <v>45</v>
      </c>
      <c r="O940" s="202">
        <f t="shared" si="116"/>
        <v>0</v>
      </c>
      <c r="P940" s="199">
        <f t="shared" si="113"/>
        <v>0</v>
      </c>
      <c r="Q940" s="203">
        <f t="shared" si="117"/>
        <v>54.000000000001904</v>
      </c>
      <c r="R940" s="203" t="s">
        <v>55</v>
      </c>
      <c r="S940" s="201">
        <f t="shared" si="118"/>
        <v>-0.15182884748102143</v>
      </c>
    </row>
    <row r="941" spans="1:19">
      <c r="A941" s="196">
        <v>41334</v>
      </c>
      <c r="B941" s="122">
        <v>12.12</v>
      </c>
      <c r="C941" s="122">
        <v>12.85</v>
      </c>
      <c r="D941" s="122">
        <v>11.9</v>
      </c>
      <c r="E941" s="122">
        <v>12.82</v>
      </c>
      <c r="F941" s="122">
        <v>9.6382840000000005</v>
      </c>
      <c r="G941" s="197">
        <v>651900</v>
      </c>
      <c r="H941" s="198">
        <f>IF(AND(E940&gt;=H940,E941&gt;=E940),E940*(1+'Trading Model'!$E$13),IF(AND(E941&lt;E940,E940&gt;=H940),E941*(1+'Trading Model'!$E$13),H940))</f>
        <v>27.698998950000004</v>
      </c>
      <c r="I941" s="198">
        <f>IF(K941&gt;0,E941*(1-'Trading Model'!E951),IF(E941&lt;I940,I940*(1-'Trading Model'!$E$14),I940))</f>
        <v>8.9840153609188427</v>
      </c>
      <c r="J941" s="198">
        <f t="shared" si="119"/>
        <v>0</v>
      </c>
      <c r="K941" s="198">
        <f t="shared" si="114"/>
        <v>0</v>
      </c>
      <c r="L941" s="198">
        <f>COUNTIF(J941:K941,"&lt;&gt;0")*-'Trading Model'!$E$15</f>
        <v>0</v>
      </c>
      <c r="M941" s="198">
        <f t="shared" si="112"/>
        <v>0</v>
      </c>
      <c r="N941" s="75">
        <f t="shared" si="115"/>
        <v>45</v>
      </c>
      <c r="O941" s="202">
        <f t="shared" si="116"/>
        <v>0</v>
      </c>
      <c r="P941" s="199">
        <f t="shared" si="113"/>
        <v>0</v>
      </c>
      <c r="Q941" s="203">
        <f t="shared" si="117"/>
        <v>54.000000000001904</v>
      </c>
      <c r="R941" s="203" t="s">
        <v>55</v>
      </c>
      <c r="S941" s="201">
        <f t="shared" si="118"/>
        <v>4.3124491456468794E-2</v>
      </c>
    </row>
    <row r="942" spans="1:19">
      <c r="A942" s="196">
        <v>41337</v>
      </c>
      <c r="B942" s="122">
        <v>12.87</v>
      </c>
      <c r="C942" s="122">
        <v>14.18</v>
      </c>
      <c r="D942" s="122">
        <v>12.86</v>
      </c>
      <c r="E942" s="122">
        <v>14.14</v>
      </c>
      <c r="F942" s="122">
        <v>10.630684</v>
      </c>
      <c r="G942" s="197">
        <v>1060500</v>
      </c>
      <c r="H942" s="198">
        <f>IF(AND(E941&gt;=H941,E942&gt;=E941),E941*(1+'Trading Model'!$E$13),IF(AND(E942&lt;E941,E941&gt;=H941),E942*(1+'Trading Model'!$E$13),H941))</f>
        <v>27.698998950000004</v>
      </c>
      <c r="I942" s="198">
        <f>IF(K942&gt;0,E942*(1-'Trading Model'!E952),IF(E942&lt;I941,I941*(1-'Trading Model'!$E$14),I941))</f>
        <v>8.9840153609188427</v>
      </c>
      <c r="J942" s="198">
        <f t="shared" si="119"/>
        <v>0</v>
      </c>
      <c r="K942" s="198">
        <f t="shared" si="114"/>
        <v>0</v>
      </c>
      <c r="L942" s="198">
        <f>COUNTIF(J942:K942,"&lt;&gt;0")*-'Trading Model'!$E$15</f>
        <v>0</v>
      </c>
      <c r="M942" s="198">
        <f t="shared" si="112"/>
        <v>0</v>
      </c>
      <c r="N942" s="75">
        <f t="shared" si="115"/>
        <v>45</v>
      </c>
      <c r="O942" s="202">
        <f t="shared" si="116"/>
        <v>0</v>
      </c>
      <c r="P942" s="199">
        <f t="shared" si="113"/>
        <v>0</v>
      </c>
      <c r="Q942" s="203">
        <f t="shared" si="117"/>
        <v>54.000000000001904</v>
      </c>
      <c r="R942" s="201">
        <f>E942/B938-1</f>
        <v>0</v>
      </c>
      <c r="S942" s="201">
        <f t="shared" si="118"/>
        <v>0.10296411856474252</v>
      </c>
    </row>
    <row r="943" spans="1:19">
      <c r="A943" s="196">
        <v>41338</v>
      </c>
      <c r="B943" s="122">
        <v>14.15</v>
      </c>
      <c r="C943" s="122">
        <v>14.49</v>
      </c>
      <c r="D943" s="122">
        <v>14</v>
      </c>
      <c r="E943" s="122">
        <v>14.31</v>
      </c>
      <c r="F943" s="122">
        <v>10.758492</v>
      </c>
      <c r="G943" s="197">
        <v>673400</v>
      </c>
      <c r="H943" s="198">
        <f>IF(AND(E942&gt;=H942,E943&gt;=E942),E942*(1+'Trading Model'!$E$13),IF(AND(E943&lt;E942,E942&gt;=H942),E943*(1+'Trading Model'!$E$13),H942))</f>
        <v>27.698998950000004</v>
      </c>
      <c r="I943" s="198">
        <f>IF(K943&gt;0,E943*(1-'Trading Model'!E953),IF(E943&lt;I942,I942*(1-'Trading Model'!$E$14),I942))</f>
        <v>8.9840153609188427</v>
      </c>
      <c r="J943" s="198">
        <f t="shared" si="119"/>
        <v>0</v>
      </c>
      <c r="K943" s="198">
        <f t="shared" si="114"/>
        <v>0</v>
      </c>
      <c r="L943" s="198">
        <f>COUNTIF(J943:K943,"&lt;&gt;0")*-'Trading Model'!$E$15</f>
        <v>0</v>
      </c>
      <c r="M943" s="198">
        <f t="shared" si="112"/>
        <v>0</v>
      </c>
      <c r="N943" s="75">
        <f t="shared" si="115"/>
        <v>45</v>
      </c>
      <c r="O943" s="202">
        <f t="shared" si="116"/>
        <v>0</v>
      </c>
      <c r="P943" s="199">
        <f t="shared" si="113"/>
        <v>0</v>
      </c>
      <c r="Q943" s="203">
        <f t="shared" si="117"/>
        <v>54.000000000001904</v>
      </c>
      <c r="R943" s="160" t="s">
        <v>55</v>
      </c>
      <c r="S943" s="201">
        <f t="shared" si="118"/>
        <v>1.2022630834511938E-2</v>
      </c>
    </row>
    <row r="944" spans="1:19">
      <c r="A944" s="196">
        <v>41339</v>
      </c>
      <c r="B944" s="122">
        <v>14.43</v>
      </c>
      <c r="C944" s="122">
        <v>14.43</v>
      </c>
      <c r="D944" s="122">
        <v>13.64</v>
      </c>
      <c r="E944" s="122">
        <v>13.9</v>
      </c>
      <c r="F944" s="122">
        <v>10.450248</v>
      </c>
      <c r="G944" s="197">
        <v>750100</v>
      </c>
      <c r="H944" s="198">
        <f>IF(AND(E943&gt;=H943,E944&gt;=E943),E943*(1+'Trading Model'!$E$13),IF(AND(E944&lt;E943,E943&gt;=H943),E944*(1+'Trading Model'!$E$13),H943))</f>
        <v>27.698998950000004</v>
      </c>
      <c r="I944" s="198">
        <f>IF(K944&gt;0,E944*(1-'Trading Model'!E954),IF(E944&lt;I943,I943*(1-'Trading Model'!$E$14),I943))</f>
        <v>8.9840153609188427</v>
      </c>
      <c r="J944" s="198">
        <f t="shared" si="119"/>
        <v>0</v>
      </c>
      <c r="K944" s="198">
        <f t="shared" si="114"/>
        <v>0</v>
      </c>
      <c r="L944" s="198">
        <f>COUNTIF(J944:K944,"&lt;&gt;0")*-'Trading Model'!$E$15</f>
        <v>0</v>
      </c>
      <c r="M944" s="198">
        <f t="shared" si="112"/>
        <v>0</v>
      </c>
      <c r="N944" s="75">
        <f t="shared" si="115"/>
        <v>45</v>
      </c>
      <c r="O944" s="202">
        <f t="shared" si="116"/>
        <v>0</v>
      </c>
      <c r="P944" s="199">
        <f t="shared" si="113"/>
        <v>0</v>
      </c>
      <c r="Q944" s="203">
        <f t="shared" si="117"/>
        <v>53.900000000001903</v>
      </c>
      <c r="R944" s="203" t="s">
        <v>55</v>
      </c>
      <c r="S944" s="201">
        <f t="shared" si="118"/>
        <v>-2.8651292802236217E-2</v>
      </c>
    </row>
    <row r="945" spans="1:19">
      <c r="A945" s="196">
        <v>41340</v>
      </c>
      <c r="B945" s="122">
        <v>14.3</v>
      </c>
      <c r="C945" s="122">
        <v>14.56</v>
      </c>
      <c r="D945" s="122">
        <v>14.03</v>
      </c>
      <c r="E945" s="122">
        <v>14.51</v>
      </c>
      <c r="F945" s="122">
        <v>10.908855000000001</v>
      </c>
      <c r="G945" s="197">
        <v>486600</v>
      </c>
      <c r="H945" s="198">
        <f>IF(AND(E944&gt;=H944,E945&gt;=E944),E944*(1+'Trading Model'!$E$13),IF(AND(E945&lt;E944,E944&gt;=H944),E945*(1+'Trading Model'!$E$13),H944))</f>
        <v>27.698998950000004</v>
      </c>
      <c r="I945" s="198">
        <f>IF(K945&gt;0,E945*(1-'Trading Model'!E955),IF(E945&lt;I944,I944*(1-'Trading Model'!$E$14),I944))</f>
        <v>8.9840153609188427</v>
      </c>
      <c r="J945" s="198">
        <f t="shared" si="119"/>
        <v>0</v>
      </c>
      <c r="K945" s="198">
        <f t="shared" si="114"/>
        <v>0</v>
      </c>
      <c r="L945" s="198">
        <f>COUNTIF(J945:K945,"&lt;&gt;0")*-'Trading Model'!$E$15</f>
        <v>0</v>
      </c>
      <c r="M945" s="198">
        <f t="shared" si="112"/>
        <v>0</v>
      </c>
      <c r="N945" s="75">
        <f t="shared" si="115"/>
        <v>45</v>
      </c>
      <c r="O945" s="202">
        <f t="shared" si="116"/>
        <v>0</v>
      </c>
      <c r="P945" s="199">
        <f t="shared" si="113"/>
        <v>0</v>
      </c>
      <c r="Q945" s="203">
        <f t="shared" si="117"/>
        <v>53.900000000001903</v>
      </c>
      <c r="R945" s="203" t="s">
        <v>55</v>
      </c>
      <c r="S945" s="201">
        <f t="shared" si="118"/>
        <v>4.388489208633084E-2</v>
      </c>
    </row>
    <row r="946" spans="1:19">
      <c r="A946" s="196">
        <v>41341</v>
      </c>
      <c r="B946" s="122">
        <v>14.65</v>
      </c>
      <c r="C946" s="122">
        <v>14.96</v>
      </c>
      <c r="D946" s="122">
        <v>14.61</v>
      </c>
      <c r="E946" s="122">
        <v>14.95</v>
      </c>
      <c r="F946" s="122">
        <v>11.239654</v>
      </c>
      <c r="G946" s="197">
        <v>507900</v>
      </c>
      <c r="H946" s="198">
        <f>IF(AND(E945&gt;=H945,E946&gt;=E945),E945*(1+'Trading Model'!$E$13),IF(AND(E946&lt;E945,E945&gt;=H945),E946*(1+'Trading Model'!$E$13),H945))</f>
        <v>27.698998950000004</v>
      </c>
      <c r="I946" s="198">
        <f>IF(K946&gt;0,E946*(1-'Trading Model'!E956),IF(E946&lt;I945,I945*(1-'Trading Model'!$E$14),I945))</f>
        <v>8.9840153609188427</v>
      </c>
      <c r="J946" s="198">
        <f t="shared" si="119"/>
        <v>0</v>
      </c>
      <c r="K946" s="198">
        <f t="shared" si="114"/>
        <v>0</v>
      </c>
      <c r="L946" s="198">
        <f>COUNTIF(J946:K946,"&lt;&gt;0")*-'Trading Model'!$E$15</f>
        <v>0</v>
      </c>
      <c r="M946" s="198">
        <f t="shared" si="112"/>
        <v>0</v>
      </c>
      <c r="N946" s="75">
        <f t="shared" si="115"/>
        <v>45</v>
      </c>
      <c r="O946" s="202">
        <f t="shared" si="116"/>
        <v>0</v>
      </c>
      <c r="P946" s="199">
        <f t="shared" si="113"/>
        <v>0</v>
      </c>
      <c r="Q946" s="203">
        <f t="shared" si="117"/>
        <v>53.900000000001903</v>
      </c>
      <c r="R946" s="203" t="s">
        <v>55</v>
      </c>
      <c r="S946" s="201">
        <f t="shared" si="118"/>
        <v>3.0323914541695363E-2</v>
      </c>
    </row>
    <row r="947" spans="1:19">
      <c r="A947" s="196">
        <v>41344</v>
      </c>
      <c r="B947" s="122">
        <v>14.98</v>
      </c>
      <c r="C947" s="122">
        <v>14.99</v>
      </c>
      <c r="D947" s="122">
        <v>14.78</v>
      </c>
      <c r="E947" s="122">
        <v>14.9</v>
      </c>
      <c r="F947" s="122">
        <v>11.202064</v>
      </c>
      <c r="G947" s="197">
        <v>517000</v>
      </c>
      <c r="H947" s="198">
        <f>IF(AND(E946&gt;=H946,E947&gt;=E946),E946*(1+'Trading Model'!$E$13),IF(AND(E947&lt;E946,E946&gt;=H946),E947*(1+'Trading Model'!$E$13),H946))</f>
        <v>27.698998950000004</v>
      </c>
      <c r="I947" s="198">
        <f>IF(K947&gt;0,E947*(1-'Trading Model'!E957),IF(E947&lt;I946,I946*(1-'Trading Model'!$E$14),I946))</f>
        <v>8.9840153609188427</v>
      </c>
      <c r="J947" s="198">
        <f t="shared" si="119"/>
        <v>0</v>
      </c>
      <c r="K947" s="198">
        <f t="shared" si="114"/>
        <v>0</v>
      </c>
      <c r="L947" s="198">
        <f>COUNTIF(J947:K947,"&lt;&gt;0")*-'Trading Model'!$E$15</f>
        <v>0</v>
      </c>
      <c r="M947" s="198">
        <f t="shared" si="112"/>
        <v>0</v>
      </c>
      <c r="N947" s="75">
        <f t="shared" si="115"/>
        <v>45</v>
      </c>
      <c r="O947" s="202">
        <f t="shared" si="116"/>
        <v>0</v>
      </c>
      <c r="P947" s="199">
        <f t="shared" si="113"/>
        <v>0</v>
      </c>
      <c r="Q947" s="203">
        <f t="shared" si="117"/>
        <v>53.800000000001901</v>
      </c>
      <c r="R947" s="201">
        <f>E947/B943-1</f>
        <v>5.3003533568904526E-2</v>
      </c>
      <c r="S947" s="201">
        <f t="shared" si="118"/>
        <v>-3.3444816053510573E-3</v>
      </c>
    </row>
    <row r="948" spans="1:19">
      <c r="A948" s="196">
        <v>41345</v>
      </c>
      <c r="B948" s="122">
        <v>14.99</v>
      </c>
      <c r="C948" s="122">
        <v>15.88</v>
      </c>
      <c r="D948" s="122">
        <v>14.99</v>
      </c>
      <c r="E948" s="122">
        <v>15.72</v>
      </c>
      <c r="F948" s="122">
        <v>11.818553</v>
      </c>
      <c r="G948" s="197">
        <v>1154700</v>
      </c>
      <c r="H948" s="198">
        <f>IF(AND(E947&gt;=H947,E948&gt;=E947),E947*(1+'Trading Model'!$E$13),IF(AND(E948&lt;E947,E947&gt;=H947),E948*(1+'Trading Model'!$E$13),H947))</f>
        <v>27.698998950000004</v>
      </c>
      <c r="I948" s="198">
        <f>IF(K948&gt;0,E948*(1-'Trading Model'!E958),IF(E948&lt;I947,I947*(1-'Trading Model'!$E$14),I947))</f>
        <v>8.9840153609188427</v>
      </c>
      <c r="J948" s="198">
        <f t="shared" si="119"/>
        <v>0</v>
      </c>
      <c r="K948" s="198">
        <f t="shared" si="114"/>
        <v>0</v>
      </c>
      <c r="L948" s="198">
        <f>COUNTIF(J948:K948,"&lt;&gt;0")*-'Trading Model'!$E$15</f>
        <v>0</v>
      </c>
      <c r="M948" s="198">
        <f t="shared" si="112"/>
        <v>0</v>
      </c>
      <c r="N948" s="75">
        <f t="shared" si="115"/>
        <v>45</v>
      </c>
      <c r="O948" s="202">
        <f t="shared" si="116"/>
        <v>0</v>
      </c>
      <c r="P948" s="199">
        <f t="shared" si="113"/>
        <v>0</v>
      </c>
      <c r="Q948" s="203">
        <f t="shared" si="117"/>
        <v>53.800000000001901</v>
      </c>
      <c r="R948" s="160" t="s">
        <v>55</v>
      </c>
      <c r="S948" s="201">
        <f t="shared" si="118"/>
        <v>5.5033557046979986E-2</v>
      </c>
    </row>
    <row r="949" spans="1:19">
      <c r="A949" s="196">
        <v>41346</v>
      </c>
      <c r="B949" s="122">
        <v>15.53</v>
      </c>
      <c r="C949" s="122">
        <v>15.6</v>
      </c>
      <c r="D949" s="122">
        <v>15.25</v>
      </c>
      <c r="E949" s="122">
        <v>15.4</v>
      </c>
      <c r="F949" s="122">
        <v>11.577971</v>
      </c>
      <c r="G949" s="197">
        <v>449100</v>
      </c>
      <c r="H949" s="198">
        <f>IF(AND(E948&gt;=H948,E949&gt;=E948),E948*(1+'Trading Model'!$E$13),IF(AND(E949&lt;E948,E948&gt;=H948),E949*(1+'Trading Model'!$E$13),H948))</f>
        <v>27.698998950000004</v>
      </c>
      <c r="I949" s="198">
        <f>IF(K949&gt;0,E949*(1-'Trading Model'!E959),IF(E949&lt;I948,I948*(1-'Trading Model'!$E$14),I948))</f>
        <v>8.9840153609188427</v>
      </c>
      <c r="J949" s="198">
        <f t="shared" si="119"/>
        <v>0</v>
      </c>
      <c r="K949" s="198">
        <f t="shared" si="114"/>
        <v>0</v>
      </c>
      <c r="L949" s="198">
        <f>COUNTIF(J949:K949,"&lt;&gt;0")*-'Trading Model'!$E$15</f>
        <v>0</v>
      </c>
      <c r="M949" s="198">
        <f t="shared" si="112"/>
        <v>0</v>
      </c>
      <c r="N949" s="75">
        <f t="shared" si="115"/>
        <v>45</v>
      </c>
      <c r="O949" s="202">
        <f t="shared" si="116"/>
        <v>0</v>
      </c>
      <c r="P949" s="199">
        <f t="shared" si="113"/>
        <v>0</v>
      </c>
      <c r="Q949" s="203">
        <f t="shared" si="117"/>
        <v>53.7000000000019</v>
      </c>
      <c r="R949" s="203" t="s">
        <v>55</v>
      </c>
      <c r="S949" s="201">
        <f t="shared" si="118"/>
        <v>-2.0356234096692183E-2</v>
      </c>
    </row>
    <row r="950" spans="1:19">
      <c r="A950" s="196">
        <v>41347</v>
      </c>
      <c r="B950" s="122">
        <v>15.57</v>
      </c>
      <c r="C950" s="122">
        <v>15.84</v>
      </c>
      <c r="D950" s="122">
        <v>15.31</v>
      </c>
      <c r="E950" s="122">
        <v>15.4</v>
      </c>
      <c r="F950" s="122">
        <v>11.577971</v>
      </c>
      <c r="G950" s="197">
        <v>223000</v>
      </c>
      <c r="H950" s="198">
        <f>IF(AND(E949&gt;=H949,E950&gt;=E949),E949*(1+'Trading Model'!$E$13),IF(AND(E950&lt;E949,E949&gt;=H949),E950*(1+'Trading Model'!$E$13),H949))</f>
        <v>27.698998950000004</v>
      </c>
      <c r="I950" s="198">
        <f>IF(K950&gt;0,E950*(1-'Trading Model'!E960),IF(E950&lt;I949,I949*(1-'Trading Model'!$E$14),I949))</f>
        <v>8.9840153609188427</v>
      </c>
      <c r="J950" s="198">
        <f t="shared" si="119"/>
        <v>0</v>
      </c>
      <c r="K950" s="198">
        <f t="shared" si="114"/>
        <v>0</v>
      </c>
      <c r="L950" s="198">
        <f>COUNTIF(J950:K950,"&lt;&gt;0")*-'Trading Model'!$E$15</f>
        <v>0</v>
      </c>
      <c r="M950" s="198">
        <f t="shared" si="112"/>
        <v>0</v>
      </c>
      <c r="N950" s="75">
        <f t="shared" si="115"/>
        <v>45</v>
      </c>
      <c r="O950" s="202">
        <f t="shared" si="116"/>
        <v>0</v>
      </c>
      <c r="P950" s="199">
        <f t="shared" si="113"/>
        <v>0</v>
      </c>
      <c r="Q950" s="203">
        <f t="shared" si="117"/>
        <v>53.7000000000019</v>
      </c>
      <c r="R950" s="203" t="s">
        <v>55</v>
      </c>
      <c r="S950" s="201">
        <f t="shared" si="118"/>
        <v>0</v>
      </c>
    </row>
    <row r="951" spans="1:19">
      <c r="A951" s="196">
        <v>41348</v>
      </c>
      <c r="B951" s="122">
        <v>15.42</v>
      </c>
      <c r="C951" s="122">
        <v>15.42</v>
      </c>
      <c r="D951" s="122">
        <v>15.1</v>
      </c>
      <c r="E951" s="122">
        <v>15.19</v>
      </c>
      <c r="F951" s="122">
        <v>11.420090999999999</v>
      </c>
      <c r="G951" s="197">
        <v>207700</v>
      </c>
      <c r="H951" s="198">
        <f>IF(AND(E950&gt;=H950,E951&gt;=E950),E950*(1+'Trading Model'!$E$13),IF(AND(E951&lt;E950,E950&gt;=H950),E951*(1+'Trading Model'!$E$13),H950))</f>
        <v>27.698998950000004</v>
      </c>
      <c r="I951" s="198">
        <f>IF(K951&gt;0,E951*(1-'Trading Model'!E961),IF(E951&lt;I950,I950*(1-'Trading Model'!$E$14),I950))</f>
        <v>8.9840153609188427</v>
      </c>
      <c r="J951" s="198">
        <f t="shared" si="119"/>
        <v>0</v>
      </c>
      <c r="K951" s="198">
        <f t="shared" si="114"/>
        <v>0</v>
      </c>
      <c r="L951" s="198">
        <f>COUNTIF(J951:K951,"&lt;&gt;0")*-'Trading Model'!$E$15</f>
        <v>0</v>
      </c>
      <c r="M951" s="198">
        <f t="shared" si="112"/>
        <v>0</v>
      </c>
      <c r="N951" s="75">
        <f t="shared" si="115"/>
        <v>45</v>
      </c>
      <c r="O951" s="202">
        <f t="shared" si="116"/>
        <v>0</v>
      </c>
      <c r="P951" s="199">
        <f t="shared" si="113"/>
        <v>0</v>
      </c>
      <c r="Q951" s="203">
        <f t="shared" si="117"/>
        <v>53.600000000001899</v>
      </c>
      <c r="R951" s="203" t="s">
        <v>55</v>
      </c>
      <c r="S951" s="201">
        <f t="shared" si="118"/>
        <v>-1.3636363636363669E-2</v>
      </c>
    </row>
    <row r="952" spans="1:19">
      <c r="A952" s="196">
        <v>41351</v>
      </c>
      <c r="B952" s="122">
        <v>15.65</v>
      </c>
      <c r="C952" s="122">
        <v>15.65</v>
      </c>
      <c r="D952" s="122">
        <v>15</v>
      </c>
      <c r="E952" s="122">
        <v>15.1</v>
      </c>
      <c r="F952" s="122">
        <v>11.352428</v>
      </c>
      <c r="G952" s="197">
        <v>268000</v>
      </c>
      <c r="H952" s="198">
        <f>IF(AND(E951&gt;=H951,E952&gt;=E951),E951*(1+'Trading Model'!$E$13),IF(AND(E952&lt;E951,E951&gt;=H951),E952*(1+'Trading Model'!$E$13),H951))</f>
        <v>27.698998950000004</v>
      </c>
      <c r="I952" s="198">
        <f>IF(K952&gt;0,E952*(1-'Trading Model'!E962),IF(E952&lt;I951,I951*(1-'Trading Model'!$E$14),I951))</f>
        <v>8.9840153609188427</v>
      </c>
      <c r="J952" s="198">
        <f t="shared" si="119"/>
        <v>0</v>
      </c>
      <c r="K952" s="198">
        <f t="shared" si="114"/>
        <v>0</v>
      </c>
      <c r="L952" s="198">
        <f>COUNTIF(J952:K952,"&lt;&gt;0")*-'Trading Model'!$E$15</f>
        <v>0</v>
      </c>
      <c r="M952" s="198">
        <f t="shared" si="112"/>
        <v>0</v>
      </c>
      <c r="N952" s="75">
        <f t="shared" si="115"/>
        <v>45</v>
      </c>
      <c r="O952" s="202">
        <f t="shared" si="116"/>
        <v>0</v>
      </c>
      <c r="P952" s="199">
        <f t="shared" si="113"/>
        <v>0</v>
      </c>
      <c r="Q952" s="203">
        <f t="shared" si="117"/>
        <v>53.500000000001897</v>
      </c>
      <c r="R952" s="201">
        <f>E952/B948-1</f>
        <v>7.3382254836558136E-3</v>
      </c>
      <c r="S952" s="201">
        <f t="shared" si="118"/>
        <v>-5.9249506254114293E-3</v>
      </c>
    </row>
    <row r="953" spans="1:19">
      <c r="A953" s="196">
        <v>41352</v>
      </c>
      <c r="B953" s="122">
        <v>15.23</v>
      </c>
      <c r="C953" s="122">
        <v>15.27</v>
      </c>
      <c r="D953" s="122">
        <v>15.03</v>
      </c>
      <c r="E953" s="122">
        <v>15.2</v>
      </c>
      <c r="F953" s="122">
        <v>11.427607999999999</v>
      </c>
      <c r="G953" s="197">
        <v>185700</v>
      </c>
      <c r="H953" s="198">
        <f>IF(AND(E952&gt;=H952,E953&gt;=E952),E952*(1+'Trading Model'!$E$13),IF(AND(E953&lt;E952,E952&gt;=H952),E953*(1+'Trading Model'!$E$13),H952))</f>
        <v>27.698998950000004</v>
      </c>
      <c r="I953" s="198">
        <f>IF(K953&gt;0,E953*(1-'Trading Model'!E963),IF(E953&lt;I952,I952*(1-'Trading Model'!$E$14),I952))</f>
        <v>8.9840153609188427</v>
      </c>
      <c r="J953" s="198">
        <f t="shared" si="119"/>
        <v>0</v>
      </c>
      <c r="K953" s="198">
        <f t="shared" si="114"/>
        <v>0</v>
      </c>
      <c r="L953" s="198">
        <f>COUNTIF(J953:K953,"&lt;&gt;0")*-'Trading Model'!$E$15</f>
        <v>0</v>
      </c>
      <c r="M953" s="198">
        <f t="shared" si="112"/>
        <v>0</v>
      </c>
      <c r="N953" s="75">
        <f t="shared" si="115"/>
        <v>45</v>
      </c>
      <c r="O953" s="202">
        <f t="shared" si="116"/>
        <v>0</v>
      </c>
      <c r="P953" s="199">
        <f t="shared" si="113"/>
        <v>0</v>
      </c>
      <c r="Q953" s="203">
        <f t="shared" si="117"/>
        <v>53.500000000001897</v>
      </c>
      <c r="R953" s="160" t="s">
        <v>55</v>
      </c>
      <c r="S953" s="201">
        <f t="shared" si="118"/>
        <v>6.6225165562914245E-3</v>
      </c>
    </row>
    <row r="954" spans="1:19">
      <c r="A954" s="196">
        <v>41353</v>
      </c>
      <c r="B954" s="122">
        <v>15.2</v>
      </c>
      <c r="C954" s="122">
        <v>15.32</v>
      </c>
      <c r="D954" s="122">
        <v>14.83</v>
      </c>
      <c r="E954" s="122">
        <v>15.06</v>
      </c>
      <c r="F954" s="122">
        <v>11.322353</v>
      </c>
      <c r="G954" s="197">
        <v>234800</v>
      </c>
      <c r="H954" s="198">
        <f>IF(AND(E953&gt;=H953,E954&gt;=E953),E953*(1+'Trading Model'!$E$13),IF(AND(E954&lt;E953,E953&gt;=H953),E954*(1+'Trading Model'!$E$13),H953))</f>
        <v>27.698998950000004</v>
      </c>
      <c r="I954" s="198">
        <f>IF(K954&gt;0,E954*(1-'Trading Model'!E964),IF(E954&lt;I953,I953*(1-'Trading Model'!$E$14),I953))</f>
        <v>8.9840153609188427</v>
      </c>
      <c r="J954" s="198">
        <f t="shared" si="119"/>
        <v>0</v>
      </c>
      <c r="K954" s="198">
        <f t="shared" si="114"/>
        <v>0</v>
      </c>
      <c r="L954" s="198">
        <f>COUNTIF(J954:K954,"&lt;&gt;0")*-'Trading Model'!$E$15</f>
        <v>0</v>
      </c>
      <c r="M954" s="198">
        <f t="shared" si="112"/>
        <v>0</v>
      </c>
      <c r="N954" s="75">
        <f t="shared" si="115"/>
        <v>45</v>
      </c>
      <c r="O954" s="202">
        <f t="shared" si="116"/>
        <v>0</v>
      </c>
      <c r="P954" s="199">
        <f t="shared" si="113"/>
        <v>0</v>
      </c>
      <c r="Q954" s="203">
        <f t="shared" si="117"/>
        <v>53.400000000001896</v>
      </c>
      <c r="R954" s="203" t="s">
        <v>55</v>
      </c>
      <c r="S954" s="201">
        <f t="shared" si="118"/>
        <v>-9.2105263157894468E-3</v>
      </c>
    </row>
    <row r="955" spans="1:19">
      <c r="A955" s="196">
        <v>41354</v>
      </c>
      <c r="B955" s="122">
        <v>15.03</v>
      </c>
      <c r="C955" s="122">
        <v>15.17</v>
      </c>
      <c r="D955" s="122">
        <v>14.87</v>
      </c>
      <c r="E955" s="122">
        <v>15.02</v>
      </c>
      <c r="F955" s="122">
        <v>11.292282999999999</v>
      </c>
      <c r="G955" s="197">
        <v>143800</v>
      </c>
      <c r="H955" s="198">
        <f>IF(AND(E954&gt;=H954,E955&gt;=E954),E954*(1+'Trading Model'!$E$13),IF(AND(E955&lt;E954,E954&gt;=H954),E955*(1+'Trading Model'!$E$13),H954))</f>
        <v>27.698998950000004</v>
      </c>
      <c r="I955" s="198">
        <f>IF(K955&gt;0,E955*(1-'Trading Model'!E965),IF(E955&lt;I954,I954*(1-'Trading Model'!$E$14),I954))</f>
        <v>8.9840153609188427</v>
      </c>
      <c r="J955" s="198">
        <f t="shared" si="119"/>
        <v>0</v>
      </c>
      <c r="K955" s="198">
        <f t="shared" si="114"/>
        <v>0</v>
      </c>
      <c r="L955" s="198">
        <f>COUNTIF(J955:K955,"&lt;&gt;0")*-'Trading Model'!$E$15</f>
        <v>0</v>
      </c>
      <c r="M955" s="198">
        <f t="shared" si="112"/>
        <v>0</v>
      </c>
      <c r="N955" s="75">
        <f t="shared" si="115"/>
        <v>45</v>
      </c>
      <c r="O955" s="202">
        <f t="shared" si="116"/>
        <v>0</v>
      </c>
      <c r="P955" s="199">
        <f t="shared" si="113"/>
        <v>0</v>
      </c>
      <c r="Q955" s="203">
        <f t="shared" si="117"/>
        <v>53.300000000001894</v>
      </c>
      <c r="R955" s="203" t="s">
        <v>55</v>
      </c>
      <c r="S955" s="201">
        <f t="shared" si="118"/>
        <v>-2.6560424966800555E-3</v>
      </c>
    </row>
    <row r="956" spans="1:19">
      <c r="A956" s="196">
        <v>41355</v>
      </c>
      <c r="B956" s="122">
        <v>15</v>
      </c>
      <c r="C956" s="122">
        <v>15.1</v>
      </c>
      <c r="D956" s="122">
        <v>14.82</v>
      </c>
      <c r="E956" s="122">
        <v>14.89</v>
      </c>
      <c r="F956" s="122">
        <v>11.194546000000001</v>
      </c>
      <c r="G956" s="197">
        <v>96900</v>
      </c>
      <c r="H956" s="198">
        <f>IF(AND(E955&gt;=H955,E956&gt;=E955),E955*(1+'Trading Model'!$E$13),IF(AND(E956&lt;E955,E955&gt;=H955),E956*(1+'Trading Model'!$E$13),H955))</f>
        <v>27.698998950000004</v>
      </c>
      <c r="I956" s="198">
        <f>IF(K956&gt;0,E956*(1-'Trading Model'!E966),IF(E956&lt;I955,I955*(1-'Trading Model'!$E$14),I955))</f>
        <v>8.9840153609188427</v>
      </c>
      <c r="J956" s="198">
        <f t="shared" si="119"/>
        <v>0</v>
      </c>
      <c r="K956" s="198">
        <f t="shared" si="114"/>
        <v>0</v>
      </c>
      <c r="L956" s="198">
        <f>COUNTIF(J956:K956,"&lt;&gt;0")*-'Trading Model'!$E$15</f>
        <v>0</v>
      </c>
      <c r="M956" s="198">
        <f t="shared" si="112"/>
        <v>0</v>
      </c>
      <c r="N956" s="75">
        <f t="shared" si="115"/>
        <v>45</v>
      </c>
      <c r="O956" s="202">
        <f t="shared" si="116"/>
        <v>0</v>
      </c>
      <c r="P956" s="199">
        <f t="shared" si="113"/>
        <v>0</v>
      </c>
      <c r="Q956" s="203">
        <f t="shared" si="117"/>
        <v>53.200000000001893</v>
      </c>
      <c r="R956" s="203" t="s">
        <v>55</v>
      </c>
      <c r="S956" s="201">
        <f t="shared" si="118"/>
        <v>-8.6551264980025966E-3</v>
      </c>
    </row>
    <row r="957" spans="1:19">
      <c r="A957" s="196">
        <v>41358</v>
      </c>
      <c r="B957" s="122">
        <v>14.97</v>
      </c>
      <c r="C957" s="122">
        <v>14.97</v>
      </c>
      <c r="D957" s="122">
        <v>14.53</v>
      </c>
      <c r="E957" s="122">
        <v>14.75</v>
      </c>
      <c r="F957" s="122">
        <v>11.089293</v>
      </c>
      <c r="G957" s="197">
        <v>187800</v>
      </c>
      <c r="H957" s="198">
        <f>IF(AND(E956&gt;=H956,E957&gt;=E956),E956*(1+'Trading Model'!$E$13),IF(AND(E957&lt;E956,E956&gt;=H956),E957*(1+'Trading Model'!$E$13),H956))</f>
        <v>27.698998950000004</v>
      </c>
      <c r="I957" s="198">
        <f>IF(K957&gt;0,E957*(1-'Trading Model'!E967),IF(E957&lt;I956,I956*(1-'Trading Model'!$E$14),I956))</f>
        <v>8.9840153609188427</v>
      </c>
      <c r="J957" s="198">
        <f t="shared" si="119"/>
        <v>0</v>
      </c>
      <c r="K957" s="198">
        <f t="shared" si="114"/>
        <v>0</v>
      </c>
      <c r="L957" s="198">
        <f>COUNTIF(J957:K957,"&lt;&gt;0")*-'Trading Model'!$E$15</f>
        <v>0</v>
      </c>
      <c r="M957" s="198">
        <f t="shared" si="112"/>
        <v>0</v>
      </c>
      <c r="N957" s="75">
        <f t="shared" si="115"/>
        <v>45</v>
      </c>
      <c r="O957" s="202">
        <f t="shared" si="116"/>
        <v>0</v>
      </c>
      <c r="P957" s="199">
        <f t="shared" si="113"/>
        <v>0</v>
      </c>
      <c r="Q957" s="203">
        <f t="shared" si="117"/>
        <v>53.100000000001891</v>
      </c>
      <c r="R957" s="201">
        <f>E957/B953-1</f>
        <v>-3.1516743269862091E-2</v>
      </c>
      <c r="S957" s="201">
        <f t="shared" si="118"/>
        <v>-9.4022834116856968E-3</v>
      </c>
    </row>
    <row r="958" spans="1:19">
      <c r="A958" s="196">
        <v>41359</v>
      </c>
      <c r="B958" s="122">
        <v>14.81</v>
      </c>
      <c r="C958" s="122">
        <v>14.85</v>
      </c>
      <c r="D958" s="122">
        <v>14.53</v>
      </c>
      <c r="E958" s="122">
        <v>14.66</v>
      </c>
      <c r="F958" s="122">
        <v>11.021627000000001</v>
      </c>
      <c r="G958" s="197">
        <v>192100</v>
      </c>
      <c r="H958" s="198">
        <f>IF(AND(E957&gt;=H957,E958&gt;=E957),E957*(1+'Trading Model'!$E$13),IF(AND(E958&lt;E957,E957&gt;=H957),E958*(1+'Trading Model'!$E$13),H957))</f>
        <v>27.698998950000004</v>
      </c>
      <c r="I958" s="198">
        <f>IF(K958&gt;0,E958*(1-'Trading Model'!E968),IF(E958&lt;I957,I957*(1-'Trading Model'!$E$14),I957))</f>
        <v>8.9840153609188427</v>
      </c>
      <c r="J958" s="198">
        <f t="shared" si="119"/>
        <v>0</v>
      </c>
      <c r="K958" s="198">
        <f t="shared" si="114"/>
        <v>0</v>
      </c>
      <c r="L958" s="198">
        <f>COUNTIF(J958:K958,"&lt;&gt;0")*-'Trading Model'!$E$15</f>
        <v>0</v>
      </c>
      <c r="M958" s="198">
        <f t="shared" si="112"/>
        <v>0</v>
      </c>
      <c r="N958" s="75">
        <f t="shared" si="115"/>
        <v>45</v>
      </c>
      <c r="O958" s="202">
        <f t="shared" si="116"/>
        <v>0</v>
      </c>
      <c r="P958" s="199">
        <f t="shared" si="113"/>
        <v>0</v>
      </c>
      <c r="Q958" s="203">
        <f t="shared" si="117"/>
        <v>53.00000000000189</v>
      </c>
      <c r="R958" s="160" t="s">
        <v>55</v>
      </c>
      <c r="S958" s="201">
        <f t="shared" si="118"/>
        <v>-6.1016949152542521E-3</v>
      </c>
    </row>
    <row r="959" spans="1:19">
      <c r="A959" s="196">
        <v>41360</v>
      </c>
      <c r="B959" s="122">
        <v>14.6</v>
      </c>
      <c r="C959" s="122">
        <v>14.82</v>
      </c>
      <c r="D959" s="122">
        <v>14.41</v>
      </c>
      <c r="E959" s="122">
        <v>14.66</v>
      </c>
      <c r="F959" s="122">
        <v>11.021627000000001</v>
      </c>
      <c r="G959" s="197">
        <v>305200</v>
      </c>
      <c r="H959" s="198">
        <f>IF(AND(E958&gt;=H958,E959&gt;=E958),E958*(1+'Trading Model'!$E$13),IF(AND(E959&lt;E958,E958&gt;=H958),E959*(1+'Trading Model'!$E$13),H958))</f>
        <v>27.698998950000004</v>
      </c>
      <c r="I959" s="198">
        <f>IF(K959&gt;0,E959*(1-'Trading Model'!E969),IF(E959&lt;I958,I958*(1-'Trading Model'!$E$14),I958))</f>
        <v>8.9840153609188427</v>
      </c>
      <c r="J959" s="198">
        <f t="shared" si="119"/>
        <v>0</v>
      </c>
      <c r="K959" s="198">
        <f t="shared" si="114"/>
        <v>0</v>
      </c>
      <c r="L959" s="198">
        <f>COUNTIF(J959:K959,"&lt;&gt;0")*-'Trading Model'!$E$15</f>
        <v>0</v>
      </c>
      <c r="M959" s="198">
        <f t="shared" si="112"/>
        <v>0</v>
      </c>
      <c r="N959" s="75">
        <f t="shared" si="115"/>
        <v>45</v>
      </c>
      <c r="O959" s="202">
        <f t="shared" si="116"/>
        <v>0</v>
      </c>
      <c r="P959" s="199">
        <f t="shared" si="113"/>
        <v>0</v>
      </c>
      <c r="Q959" s="203">
        <f t="shared" si="117"/>
        <v>53.00000000000189</v>
      </c>
      <c r="R959" s="203" t="s">
        <v>55</v>
      </c>
      <c r="S959" s="201">
        <f t="shared" si="118"/>
        <v>0</v>
      </c>
    </row>
    <row r="960" spans="1:19">
      <c r="A960" s="196">
        <v>41361</v>
      </c>
      <c r="B960" s="122">
        <v>14.65</v>
      </c>
      <c r="C960" s="122">
        <v>14.76</v>
      </c>
      <c r="D960" s="122">
        <v>14.35</v>
      </c>
      <c r="E960" s="122">
        <v>14.51</v>
      </c>
      <c r="F960" s="122">
        <v>10.908855000000001</v>
      </c>
      <c r="G960" s="197">
        <v>202000</v>
      </c>
      <c r="H960" s="198">
        <f>IF(AND(E959&gt;=H959,E960&gt;=E959),E959*(1+'Trading Model'!$E$13),IF(AND(E960&lt;E959,E959&gt;=H959),E960*(1+'Trading Model'!$E$13),H959))</f>
        <v>27.698998950000004</v>
      </c>
      <c r="I960" s="198">
        <f>IF(K960&gt;0,E960*(1-'Trading Model'!E970),IF(E960&lt;I959,I959*(1-'Trading Model'!$E$14),I959))</f>
        <v>8.9840153609188427</v>
      </c>
      <c r="J960" s="198">
        <f t="shared" si="119"/>
        <v>0</v>
      </c>
      <c r="K960" s="198">
        <f t="shared" si="114"/>
        <v>0</v>
      </c>
      <c r="L960" s="198">
        <f>COUNTIF(J960:K960,"&lt;&gt;0")*-'Trading Model'!$E$15</f>
        <v>0</v>
      </c>
      <c r="M960" s="198">
        <f t="shared" si="112"/>
        <v>0</v>
      </c>
      <c r="N960" s="75">
        <f t="shared" si="115"/>
        <v>45</v>
      </c>
      <c r="O960" s="202">
        <f t="shared" si="116"/>
        <v>0</v>
      </c>
      <c r="P960" s="199">
        <f t="shared" si="113"/>
        <v>0</v>
      </c>
      <c r="Q960" s="203">
        <f t="shared" si="117"/>
        <v>52.900000000001889</v>
      </c>
      <c r="R960" s="203" t="s">
        <v>55</v>
      </c>
      <c r="S960" s="201">
        <f t="shared" si="118"/>
        <v>-1.0231923601637161E-2</v>
      </c>
    </row>
    <row r="961" spans="1:19">
      <c r="A961" s="196">
        <v>41365</v>
      </c>
      <c r="B961" s="122">
        <v>14.55</v>
      </c>
      <c r="C961" s="122">
        <v>14.68</v>
      </c>
      <c r="D961" s="122">
        <v>14.37</v>
      </c>
      <c r="E961" s="122">
        <v>14.54</v>
      </c>
      <c r="F961" s="122">
        <v>10.931409</v>
      </c>
      <c r="G961" s="197">
        <v>134100</v>
      </c>
      <c r="H961" s="198">
        <f>IF(AND(E960&gt;=H960,E961&gt;=E960),E960*(1+'Trading Model'!$E$13),IF(AND(E961&lt;E960,E960&gt;=H960),E961*(1+'Trading Model'!$E$13),H960))</f>
        <v>27.698998950000004</v>
      </c>
      <c r="I961" s="198">
        <f>IF(K961&gt;0,E961*(1-'Trading Model'!E971),IF(E961&lt;I960,I960*(1-'Trading Model'!$E$14),I960))</f>
        <v>8.9840153609188427</v>
      </c>
      <c r="J961" s="198">
        <f t="shared" si="119"/>
        <v>0</v>
      </c>
      <c r="K961" s="198">
        <f t="shared" si="114"/>
        <v>0</v>
      </c>
      <c r="L961" s="198">
        <f>COUNTIF(J961:K961,"&lt;&gt;0")*-'Trading Model'!$E$15</f>
        <v>0</v>
      </c>
      <c r="M961" s="198">
        <f t="shared" si="112"/>
        <v>0</v>
      </c>
      <c r="N961" s="75">
        <f t="shared" si="115"/>
        <v>45</v>
      </c>
      <c r="O961" s="202">
        <f t="shared" si="116"/>
        <v>0</v>
      </c>
      <c r="P961" s="199">
        <f t="shared" si="113"/>
        <v>0</v>
      </c>
      <c r="Q961" s="203">
        <f t="shared" si="117"/>
        <v>52.900000000001889</v>
      </c>
      <c r="R961" s="203" t="s">
        <v>55</v>
      </c>
      <c r="S961" s="201">
        <f t="shared" si="118"/>
        <v>2.0675396278428959E-3</v>
      </c>
    </row>
    <row r="962" spans="1:19">
      <c r="A962" s="196">
        <v>41366</v>
      </c>
      <c r="B962" s="122">
        <v>14.61</v>
      </c>
      <c r="C962" s="122">
        <v>14.72</v>
      </c>
      <c r="D962" s="122">
        <v>14.5</v>
      </c>
      <c r="E962" s="122">
        <v>14.64</v>
      </c>
      <c r="F962" s="122">
        <v>11.006591999999999</v>
      </c>
      <c r="G962" s="197">
        <v>246700</v>
      </c>
      <c r="H962" s="198">
        <f>IF(AND(E961&gt;=H961,E962&gt;=E961),E961*(1+'Trading Model'!$E$13),IF(AND(E962&lt;E961,E961&gt;=H961),E962*(1+'Trading Model'!$E$13),H961))</f>
        <v>27.698998950000004</v>
      </c>
      <c r="I962" s="198">
        <f>IF(K962&gt;0,E962*(1-'Trading Model'!E972),IF(E962&lt;I961,I961*(1-'Trading Model'!$E$14),I961))</f>
        <v>8.9840153609188427</v>
      </c>
      <c r="J962" s="198">
        <f t="shared" si="119"/>
        <v>0</v>
      </c>
      <c r="K962" s="198">
        <f t="shared" si="114"/>
        <v>0</v>
      </c>
      <c r="L962" s="198">
        <f>COUNTIF(J962:K962,"&lt;&gt;0")*-'Trading Model'!$E$15</f>
        <v>0</v>
      </c>
      <c r="M962" s="198">
        <f t="shared" si="112"/>
        <v>0</v>
      </c>
      <c r="N962" s="75">
        <f t="shared" si="115"/>
        <v>45</v>
      </c>
      <c r="O962" s="202">
        <f t="shared" si="116"/>
        <v>0</v>
      </c>
      <c r="P962" s="199">
        <f t="shared" si="113"/>
        <v>0</v>
      </c>
      <c r="Q962" s="203">
        <f t="shared" si="117"/>
        <v>52.900000000001889</v>
      </c>
      <c r="R962" s="201">
        <f>E962/B958-1</f>
        <v>-1.1478730587440866E-2</v>
      </c>
      <c r="S962" s="201">
        <f t="shared" si="118"/>
        <v>6.8775790921595803E-3</v>
      </c>
    </row>
    <row r="963" spans="1:19">
      <c r="A963" s="196">
        <v>41367</v>
      </c>
      <c r="B963" s="122">
        <v>14.58</v>
      </c>
      <c r="C963" s="122">
        <v>14.68</v>
      </c>
      <c r="D963" s="122">
        <v>14.12</v>
      </c>
      <c r="E963" s="122">
        <v>14.42</v>
      </c>
      <c r="F963" s="122">
        <v>10.841193000000001</v>
      </c>
      <c r="G963" s="197">
        <v>207800</v>
      </c>
      <c r="H963" s="198">
        <f>IF(AND(E962&gt;=H962,E963&gt;=E962),E962*(1+'Trading Model'!$E$13),IF(AND(E963&lt;E962,E962&gt;=H962),E963*(1+'Trading Model'!$E$13),H962))</f>
        <v>27.698998950000004</v>
      </c>
      <c r="I963" s="198">
        <f>IF(K963&gt;0,E963*(1-'Trading Model'!E973),IF(E963&lt;I962,I962*(1-'Trading Model'!$E$14),I962))</f>
        <v>8.9840153609188427</v>
      </c>
      <c r="J963" s="198">
        <f t="shared" si="119"/>
        <v>0</v>
      </c>
      <c r="K963" s="198">
        <f t="shared" si="114"/>
        <v>0</v>
      </c>
      <c r="L963" s="198">
        <f>COUNTIF(J963:K963,"&lt;&gt;0")*-'Trading Model'!$E$15</f>
        <v>0</v>
      </c>
      <c r="M963" s="198">
        <f t="shared" ref="M963:M1026" si="120">SUM(J963:L963)</f>
        <v>0</v>
      </c>
      <c r="N963" s="75">
        <f t="shared" si="115"/>
        <v>45</v>
      </c>
      <c r="O963" s="202">
        <f t="shared" si="116"/>
        <v>0</v>
      </c>
      <c r="P963" s="199">
        <f t="shared" ref="P963:P1026" si="121">IFERROR(VLOOKUP(A963,Dividends,2,FALSE),$U$1)</f>
        <v>0</v>
      </c>
      <c r="Q963" s="203">
        <f t="shared" si="117"/>
        <v>52.800000000001887</v>
      </c>
      <c r="R963" s="160" t="s">
        <v>55</v>
      </c>
      <c r="S963" s="201">
        <f t="shared" si="118"/>
        <v>-1.5027322404371657E-2</v>
      </c>
    </row>
    <row r="964" spans="1:19">
      <c r="A964" s="196">
        <v>41368</v>
      </c>
      <c r="B964" s="122">
        <v>14.41</v>
      </c>
      <c r="C964" s="122">
        <v>14.75</v>
      </c>
      <c r="D964" s="122">
        <v>14.41</v>
      </c>
      <c r="E964" s="122">
        <v>14.6</v>
      </c>
      <c r="F964" s="122">
        <v>10.976519</v>
      </c>
      <c r="G964" s="197">
        <v>151300</v>
      </c>
      <c r="H964" s="198">
        <f>IF(AND(E963&gt;=H963,E964&gt;=E963),E963*(1+'Trading Model'!$E$13),IF(AND(E964&lt;E963,E963&gt;=H963),E964*(1+'Trading Model'!$E$13),H963))</f>
        <v>27.698998950000004</v>
      </c>
      <c r="I964" s="198">
        <f>IF(K964&gt;0,E964*(1-'Trading Model'!E974),IF(E964&lt;I963,I963*(1-'Trading Model'!$E$14),I963))</f>
        <v>8.9840153609188427</v>
      </c>
      <c r="J964" s="198">
        <f t="shared" si="119"/>
        <v>0</v>
      </c>
      <c r="K964" s="198">
        <f t="shared" ref="K964:K1027" si="122">IF(E964&gt;=H964,E964,0)</f>
        <v>0</v>
      </c>
      <c r="L964" s="198">
        <f>COUNTIF(J964:K964,"&lt;&gt;0")*-'Trading Model'!$E$15</f>
        <v>0</v>
      </c>
      <c r="M964" s="198">
        <f t="shared" si="120"/>
        <v>0</v>
      </c>
      <c r="N964" s="75">
        <f t="shared" ref="N964:N1027" si="123">IF(AND(J964&lt;0,K964&gt;0),N963,(IF(J964&lt;0,N963+1,IF(K964&gt;0,N963+1,N963))))</f>
        <v>45</v>
      </c>
      <c r="O964" s="202">
        <f t="shared" ref="O964:O1027" si="124">P964</f>
        <v>0</v>
      </c>
      <c r="P964" s="199">
        <f t="shared" si="121"/>
        <v>0</v>
      </c>
      <c r="Q964" s="203">
        <f t="shared" ref="Q964:Q1027" si="125">IF(E964&lt;E963,Q963-0.1,Q963)</f>
        <v>52.800000000001887</v>
      </c>
      <c r="R964" s="203" t="s">
        <v>55</v>
      </c>
      <c r="S964" s="201">
        <f t="shared" ref="S964:S1027" si="126">E964/E963-1</f>
        <v>1.2482662968099856E-2</v>
      </c>
    </row>
    <row r="965" spans="1:19">
      <c r="A965" s="196">
        <v>41369</v>
      </c>
      <c r="B965" s="122">
        <v>14.47</v>
      </c>
      <c r="C965" s="122">
        <v>14.66</v>
      </c>
      <c r="D965" s="122">
        <v>14.24</v>
      </c>
      <c r="E965" s="122">
        <v>14.57</v>
      </c>
      <c r="F965" s="122">
        <v>10.953963999999999</v>
      </c>
      <c r="G965" s="197">
        <v>155800</v>
      </c>
      <c r="H965" s="198">
        <f>IF(AND(E964&gt;=H964,E965&gt;=E964),E964*(1+'Trading Model'!$E$13),IF(AND(E965&lt;E964,E964&gt;=H964),E965*(1+'Trading Model'!$E$13),H964))</f>
        <v>27.698998950000004</v>
      </c>
      <c r="I965" s="198">
        <f>IF(K965&gt;0,E965*(1-'Trading Model'!E975),IF(E965&lt;I964,I964*(1-'Trading Model'!$E$14),I964))</f>
        <v>8.9840153609188427</v>
      </c>
      <c r="J965" s="198">
        <f t="shared" ref="J965:J1028" si="127">IF(E965&gt;=H965,-E965,IF(E965&lt;=I964,-E965,0))</f>
        <v>0</v>
      </c>
      <c r="K965" s="198">
        <f t="shared" si="122"/>
        <v>0</v>
      </c>
      <c r="L965" s="198">
        <f>COUNTIF(J965:K965,"&lt;&gt;0")*-'Trading Model'!$E$15</f>
        <v>0</v>
      </c>
      <c r="M965" s="198">
        <f t="shared" si="120"/>
        <v>0</v>
      </c>
      <c r="N965" s="75">
        <f t="shared" si="123"/>
        <v>45</v>
      </c>
      <c r="O965" s="202">
        <f t="shared" si="124"/>
        <v>0</v>
      </c>
      <c r="P965" s="199">
        <f t="shared" si="121"/>
        <v>0</v>
      </c>
      <c r="Q965" s="203">
        <f t="shared" si="125"/>
        <v>52.700000000001886</v>
      </c>
      <c r="R965" s="203" t="s">
        <v>55</v>
      </c>
      <c r="S965" s="201">
        <f t="shared" si="126"/>
        <v>-2.054794520547909E-3</v>
      </c>
    </row>
    <row r="966" spans="1:19">
      <c r="A966" s="196">
        <v>41372</v>
      </c>
      <c r="B966" s="122">
        <v>14.59</v>
      </c>
      <c r="C966" s="122">
        <v>15.16</v>
      </c>
      <c r="D966" s="122">
        <v>14.59</v>
      </c>
      <c r="E966" s="122">
        <v>15.14</v>
      </c>
      <c r="F966" s="122">
        <v>11.382498999999999</v>
      </c>
      <c r="G966" s="197">
        <v>267500</v>
      </c>
      <c r="H966" s="198">
        <f>IF(AND(E965&gt;=H965,E966&gt;=E965),E965*(1+'Trading Model'!$E$13),IF(AND(E966&lt;E965,E965&gt;=H965),E966*(1+'Trading Model'!$E$13),H965))</f>
        <v>27.698998950000004</v>
      </c>
      <c r="I966" s="198">
        <f>IF(K966&gt;0,E966*(1-'Trading Model'!E976),IF(E966&lt;I965,I965*(1-'Trading Model'!$E$14),I965))</f>
        <v>8.9840153609188427</v>
      </c>
      <c r="J966" s="198">
        <f t="shared" si="127"/>
        <v>0</v>
      </c>
      <c r="K966" s="198">
        <f t="shared" si="122"/>
        <v>0</v>
      </c>
      <c r="L966" s="198">
        <f>COUNTIF(J966:K966,"&lt;&gt;0")*-'Trading Model'!$E$15</f>
        <v>0</v>
      </c>
      <c r="M966" s="198">
        <f t="shared" si="120"/>
        <v>0</v>
      </c>
      <c r="N966" s="75">
        <f t="shared" si="123"/>
        <v>45</v>
      </c>
      <c r="O966" s="202">
        <f t="shared" si="124"/>
        <v>0</v>
      </c>
      <c r="P966" s="199">
        <f t="shared" si="121"/>
        <v>0</v>
      </c>
      <c r="Q966" s="203">
        <f t="shared" si="125"/>
        <v>52.700000000001886</v>
      </c>
      <c r="R966" s="203" t="s">
        <v>55</v>
      </c>
      <c r="S966" s="201">
        <f t="shared" si="126"/>
        <v>3.9121482498284177E-2</v>
      </c>
    </row>
    <row r="967" spans="1:19">
      <c r="A967" s="196">
        <v>41373</v>
      </c>
      <c r="B967" s="122">
        <v>15.22</v>
      </c>
      <c r="C967" s="122">
        <v>15.99</v>
      </c>
      <c r="D967" s="122">
        <v>15.2</v>
      </c>
      <c r="E967" s="122">
        <v>15.7</v>
      </c>
      <c r="F967" s="122">
        <v>11.803516999999999</v>
      </c>
      <c r="G967" s="197">
        <v>338400</v>
      </c>
      <c r="H967" s="198">
        <f>IF(AND(E966&gt;=H966,E967&gt;=E966),E966*(1+'Trading Model'!$E$13),IF(AND(E967&lt;E966,E966&gt;=H966),E967*(1+'Trading Model'!$E$13),H966))</f>
        <v>27.698998950000004</v>
      </c>
      <c r="I967" s="198">
        <f>IF(K967&gt;0,E967*(1-'Trading Model'!E977),IF(E967&lt;I966,I966*(1-'Trading Model'!$E$14),I966))</f>
        <v>8.9840153609188427</v>
      </c>
      <c r="J967" s="198">
        <f t="shared" si="127"/>
        <v>0</v>
      </c>
      <c r="K967" s="198">
        <f t="shared" si="122"/>
        <v>0</v>
      </c>
      <c r="L967" s="198">
        <f>COUNTIF(J967:K967,"&lt;&gt;0")*-'Trading Model'!$E$15</f>
        <v>0</v>
      </c>
      <c r="M967" s="198">
        <f t="shared" si="120"/>
        <v>0</v>
      </c>
      <c r="N967" s="75">
        <f t="shared" si="123"/>
        <v>45</v>
      </c>
      <c r="O967" s="202">
        <f t="shared" si="124"/>
        <v>0</v>
      </c>
      <c r="P967" s="199">
        <f t="shared" si="121"/>
        <v>0</v>
      </c>
      <c r="Q967" s="203">
        <f t="shared" si="125"/>
        <v>52.700000000001886</v>
      </c>
      <c r="R967" s="201">
        <f>E967/B963-1</f>
        <v>7.6817558299039801E-2</v>
      </c>
      <c r="S967" s="201">
        <f t="shared" si="126"/>
        <v>3.6988110964332854E-2</v>
      </c>
    </row>
    <row r="968" spans="1:19">
      <c r="A968" s="196">
        <v>41374</v>
      </c>
      <c r="B968" s="122">
        <v>15.7</v>
      </c>
      <c r="C968" s="122">
        <v>15.8</v>
      </c>
      <c r="D968" s="122">
        <v>15.5</v>
      </c>
      <c r="E968" s="122">
        <v>15.65</v>
      </c>
      <c r="F968" s="122">
        <v>11.765926</v>
      </c>
      <c r="G968" s="197">
        <v>157900</v>
      </c>
      <c r="H968" s="198">
        <f>IF(AND(E967&gt;=H967,E968&gt;=E967),E967*(1+'Trading Model'!$E$13),IF(AND(E968&lt;E967,E967&gt;=H967),E968*(1+'Trading Model'!$E$13),H967))</f>
        <v>27.698998950000004</v>
      </c>
      <c r="I968" s="198">
        <f>IF(K968&gt;0,E968*(1-'Trading Model'!E978),IF(E968&lt;I967,I967*(1-'Trading Model'!$E$14),I967))</f>
        <v>8.9840153609188427</v>
      </c>
      <c r="J968" s="198">
        <f t="shared" si="127"/>
        <v>0</v>
      </c>
      <c r="K968" s="198">
        <f t="shared" si="122"/>
        <v>0</v>
      </c>
      <c r="L968" s="198">
        <f>COUNTIF(J968:K968,"&lt;&gt;0")*-'Trading Model'!$E$15</f>
        <v>0</v>
      </c>
      <c r="M968" s="198">
        <f t="shared" si="120"/>
        <v>0</v>
      </c>
      <c r="N968" s="75">
        <f t="shared" si="123"/>
        <v>45</v>
      </c>
      <c r="O968" s="202">
        <f t="shared" si="124"/>
        <v>0</v>
      </c>
      <c r="P968" s="199">
        <f t="shared" si="121"/>
        <v>0</v>
      </c>
      <c r="Q968" s="203">
        <f t="shared" si="125"/>
        <v>52.600000000001884</v>
      </c>
      <c r="R968" s="160" t="s">
        <v>55</v>
      </c>
      <c r="S968" s="201">
        <f t="shared" si="126"/>
        <v>-3.1847133757960666E-3</v>
      </c>
    </row>
    <row r="969" spans="1:19">
      <c r="A969" s="196">
        <v>41375</v>
      </c>
      <c r="B969" s="122">
        <v>15.66</v>
      </c>
      <c r="C969" s="122">
        <v>15.99</v>
      </c>
      <c r="D969" s="122">
        <v>15.61</v>
      </c>
      <c r="E969" s="122">
        <v>15.93</v>
      </c>
      <c r="F969" s="122">
        <v>11.976435</v>
      </c>
      <c r="G969" s="197">
        <v>200200</v>
      </c>
      <c r="H969" s="198">
        <f>IF(AND(E968&gt;=H968,E969&gt;=E968),E968*(1+'Trading Model'!$E$13),IF(AND(E969&lt;E968,E968&gt;=H968),E969*(1+'Trading Model'!$E$13),H968))</f>
        <v>27.698998950000004</v>
      </c>
      <c r="I969" s="198">
        <f>IF(K969&gt;0,E969*(1-'Trading Model'!E979),IF(E969&lt;I968,I968*(1-'Trading Model'!$E$14),I968))</f>
        <v>8.9840153609188427</v>
      </c>
      <c r="J969" s="198">
        <f t="shared" si="127"/>
        <v>0</v>
      </c>
      <c r="K969" s="198">
        <f t="shared" si="122"/>
        <v>0</v>
      </c>
      <c r="L969" s="198">
        <f>COUNTIF(J969:K969,"&lt;&gt;0")*-'Trading Model'!$E$15</f>
        <v>0</v>
      </c>
      <c r="M969" s="198">
        <f t="shared" si="120"/>
        <v>0</v>
      </c>
      <c r="N969" s="75">
        <f t="shared" si="123"/>
        <v>45</v>
      </c>
      <c r="O969" s="202">
        <f t="shared" si="124"/>
        <v>0</v>
      </c>
      <c r="P969" s="199">
        <f t="shared" si="121"/>
        <v>0</v>
      </c>
      <c r="Q969" s="203">
        <f t="shared" si="125"/>
        <v>52.600000000001884</v>
      </c>
      <c r="R969" s="203" t="s">
        <v>55</v>
      </c>
      <c r="S969" s="201">
        <f t="shared" si="126"/>
        <v>1.7891373801916854E-2</v>
      </c>
    </row>
    <row r="970" spans="1:19">
      <c r="A970" s="196">
        <v>41376</v>
      </c>
      <c r="B970" s="122">
        <v>15.86</v>
      </c>
      <c r="C970" s="122">
        <v>15.99</v>
      </c>
      <c r="D970" s="122">
        <v>15.63</v>
      </c>
      <c r="E970" s="122">
        <v>15.85</v>
      </c>
      <c r="F970" s="122">
        <v>11.916288</v>
      </c>
      <c r="G970" s="197">
        <v>82200</v>
      </c>
      <c r="H970" s="198">
        <f>IF(AND(E969&gt;=H969,E970&gt;=E969),E969*(1+'Trading Model'!$E$13),IF(AND(E970&lt;E969,E969&gt;=H969),E970*(1+'Trading Model'!$E$13),H969))</f>
        <v>27.698998950000004</v>
      </c>
      <c r="I970" s="198">
        <f>IF(K970&gt;0,E970*(1-'Trading Model'!E980),IF(E970&lt;I969,I969*(1-'Trading Model'!$E$14),I969))</f>
        <v>8.9840153609188427</v>
      </c>
      <c r="J970" s="198">
        <f t="shared" si="127"/>
        <v>0</v>
      </c>
      <c r="K970" s="198">
        <f t="shared" si="122"/>
        <v>0</v>
      </c>
      <c r="L970" s="198">
        <f>COUNTIF(J970:K970,"&lt;&gt;0")*-'Trading Model'!$E$15</f>
        <v>0</v>
      </c>
      <c r="M970" s="198">
        <f t="shared" si="120"/>
        <v>0</v>
      </c>
      <c r="N970" s="75">
        <f t="shared" si="123"/>
        <v>45</v>
      </c>
      <c r="O970" s="202">
        <f t="shared" si="124"/>
        <v>0</v>
      </c>
      <c r="P970" s="199">
        <f t="shared" si="121"/>
        <v>0</v>
      </c>
      <c r="Q970" s="203">
        <f t="shared" si="125"/>
        <v>52.500000000001883</v>
      </c>
      <c r="R970" s="203" t="s">
        <v>55</v>
      </c>
      <c r="S970" s="201">
        <f t="shared" si="126"/>
        <v>-5.0219711236660913E-3</v>
      </c>
    </row>
    <row r="971" spans="1:19">
      <c r="A971" s="196">
        <v>41379</v>
      </c>
      <c r="B971" s="122">
        <v>16.850000000000001</v>
      </c>
      <c r="C971" s="122">
        <v>16.850000000000001</v>
      </c>
      <c r="D971" s="122">
        <v>15.3</v>
      </c>
      <c r="E971" s="122">
        <v>15.38</v>
      </c>
      <c r="F971" s="122">
        <v>11.562936000000001</v>
      </c>
      <c r="G971" s="197">
        <v>118500</v>
      </c>
      <c r="H971" s="198">
        <f>IF(AND(E970&gt;=H970,E971&gt;=E970),E970*(1+'Trading Model'!$E$13),IF(AND(E971&lt;E970,E970&gt;=H970),E971*(1+'Trading Model'!$E$13),H970))</f>
        <v>27.698998950000004</v>
      </c>
      <c r="I971" s="198">
        <f>IF(K971&gt;0,E971*(1-'Trading Model'!E981),IF(E971&lt;I970,I970*(1-'Trading Model'!$E$14),I970))</f>
        <v>8.9840153609188427</v>
      </c>
      <c r="J971" s="198">
        <f t="shared" si="127"/>
        <v>0</v>
      </c>
      <c r="K971" s="198">
        <f t="shared" si="122"/>
        <v>0</v>
      </c>
      <c r="L971" s="198">
        <f>COUNTIF(J971:K971,"&lt;&gt;0")*-'Trading Model'!$E$15</f>
        <v>0</v>
      </c>
      <c r="M971" s="198">
        <f t="shared" si="120"/>
        <v>0</v>
      </c>
      <c r="N971" s="75">
        <f t="shared" si="123"/>
        <v>45</v>
      </c>
      <c r="O971" s="202">
        <f t="shared" si="124"/>
        <v>0</v>
      </c>
      <c r="P971" s="199">
        <f t="shared" si="121"/>
        <v>0</v>
      </c>
      <c r="Q971" s="203">
        <f t="shared" si="125"/>
        <v>52.400000000001882</v>
      </c>
      <c r="R971" s="203" t="s">
        <v>55</v>
      </c>
      <c r="S971" s="201">
        <f t="shared" si="126"/>
        <v>-2.9652996845425772E-2</v>
      </c>
    </row>
    <row r="972" spans="1:19">
      <c r="A972" s="196">
        <v>41380</v>
      </c>
      <c r="B972" s="122">
        <v>15.47</v>
      </c>
      <c r="C972" s="122">
        <v>15.56</v>
      </c>
      <c r="D972" s="122">
        <v>15.25</v>
      </c>
      <c r="E972" s="122">
        <v>15.4</v>
      </c>
      <c r="F972" s="122">
        <v>11.577971</v>
      </c>
      <c r="G972" s="197">
        <v>111300</v>
      </c>
      <c r="H972" s="198">
        <f>IF(AND(E971&gt;=H971,E972&gt;=E971),E971*(1+'Trading Model'!$E$13),IF(AND(E972&lt;E971,E971&gt;=H971),E972*(1+'Trading Model'!$E$13),H971))</f>
        <v>27.698998950000004</v>
      </c>
      <c r="I972" s="198">
        <f>IF(K972&gt;0,E972*(1-'Trading Model'!E982),IF(E972&lt;I971,I971*(1-'Trading Model'!$E$14),I971))</f>
        <v>8.9840153609188427</v>
      </c>
      <c r="J972" s="198">
        <f t="shared" si="127"/>
        <v>0</v>
      </c>
      <c r="K972" s="198">
        <f t="shared" si="122"/>
        <v>0</v>
      </c>
      <c r="L972" s="198">
        <f>COUNTIF(J972:K972,"&lt;&gt;0")*-'Trading Model'!$E$15</f>
        <v>0</v>
      </c>
      <c r="M972" s="198">
        <f t="shared" si="120"/>
        <v>0</v>
      </c>
      <c r="N972" s="75">
        <f t="shared" si="123"/>
        <v>45</v>
      </c>
      <c r="O972" s="202">
        <f t="shared" si="124"/>
        <v>0</v>
      </c>
      <c r="P972" s="199">
        <f t="shared" si="121"/>
        <v>0</v>
      </c>
      <c r="Q972" s="203">
        <f t="shared" si="125"/>
        <v>52.400000000001882</v>
      </c>
      <c r="R972" s="201">
        <f>E972/B968-1</f>
        <v>-1.9108280254776955E-2</v>
      </c>
      <c r="S972" s="201">
        <f t="shared" si="126"/>
        <v>1.3003901170349774E-3</v>
      </c>
    </row>
    <row r="973" spans="1:19">
      <c r="A973" s="196">
        <v>41381</v>
      </c>
      <c r="B973" s="122">
        <v>15.25</v>
      </c>
      <c r="C973" s="122">
        <v>15.43</v>
      </c>
      <c r="D973" s="122">
        <v>14.99</v>
      </c>
      <c r="E973" s="122">
        <v>15.11</v>
      </c>
      <c r="F973" s="122">
        <v>11.359944</v>
      </c>
      <c r="G973" s="197">
        <v>120400</v>
      </c>
      <c r="H973" s="198">
        <f>IF(AND(E972&gt;=H972,E973&gt;=E972),E972*(1+'Trading Model'!$E$13),IF(AND(E973&lt;E972,E972&gt;=H972),E973*(1+'Trading Model'!$E$13),H972))</f>
        <v>27.698998950000004</v>
      </c>
      <c r="I973" s="198">
        <f>IF(K973&gt;0,E973*(1-'Trading Model'!E983),IF(E973&lt;I972,I972*(1-'Trading Model'!$E$14),I972))</f>
        <v>8.9840153609188427</v>
      </c>
      <c r="J973" s="198">
        <f t="shared" si="127"/>
        <v>0</v>
      </c>
      <c r="K973" s="198">
        <f t="shared" si="122"/>
        <v>0</v>
      </c>
      <c r="L973" s="198">
        <f>COUNTIF(J973:K973,"&lt;&gt;0")*-'Trading Model'!$E$15</f>
        <v>0</v>
      </c>
      <c r="M973" s="198">
        <f t="shared" si="120"/>
        <v>0</v>
      </c>
      <c r="N973" s="75">
        <f t="shared" si="123"/>
        <v>45</v>
      </c>
      <c r="O973" s="202">
        <f t="shared" si="124"/>
        <v>0</v>
      </c>
      <c r="P973" s="199">
        <f t="shared" si="121"/>
        <v>0</v>
      </c>
      <c r="Q973" s="203">
        <f t="shared" si="125"/>
        <v>52.30000000000188</v>
      </c>
      <c r="R973" s="160" t="s">
        <v>55</v>
      </c>
      <c r="S973" s="201">
        <f t="shared" si="126"/>
        <v>-1.8831168831168865E-2</v>
      </c>
    </row>
    <row r="974" spans="1:19">
      <c r="A974" s="196">
        <v>41382</v>
      </c>
      <c r="B974" s="122">
        <v>15.11</v>
      </c>
      <c r="C974" s="122">
        <v>15.2</v>
      </c>
      <c r="D974" s="122">
        <v>14.84</v>
      </c>
      <c r="E974" s="122">
        <v>15.02</v>
      </c>
      <c r="F974" s="122">
        <v>11.292282999999999</v>
      </c>
      <c r="G974" s="197">
        <v>126800</v>
      </c>
      <c r="H974" s="198">
        <f>IF(AND(E973&gt;=H973,E974&gt;=E973),E973*(1+'Trading Model'!$E$13),IF(AND(E974&lt;E973,E973&gt;=H973),E974*(1+'Trading Model'!$E$13),H973))</f>
        <v>27.698998950000004</v>
      </c>
      <c r="I974" s="198">
        <f>IF(K974&gt;0,E974*(1-'Trading Model'!E984),IF(E974&lt;I973,I973*(1-'Trading Model'!$E$14),I973))</f>
        <v>8.9840153609188427</v>
      </c>
      <c r="J974" s="198">
        <f t="shared" si="127"/>
        <v>0</v>
      </c>
      <c r="K974" s="198">
        <f t="shared" si="122"/>
        <v>0</v>
      </c>
      <c r="L974" s="198">
        <f>COUNTIF(J974:K974,"&lt;&gt;0")*-'Trading Model'!$E$15</f>
        <v>0</v>
      </c>
      <c r="M974" s="198">
        <f t="shared" si="120"/>
        <v>0</v>
      </c>
      <c r="N974" s="75">
        <f t="shared" si="123"/>
        <v>45</v>
      </c>
      <c r="O974" s="202">
        <f t="shared" si="124"/>
        <v>0</v>
      </c>
      <c r="P974" s="199">
        <f t="shared" si="121"/>
        <v>0</v>
      </c>
      <c r="Q974" s="203">
        <f t="shared" si="125"/>
        <v>52.200000000001879</v>
      </c>
      <c r="R974" s="203" t="s">
        <v>55</v>
      </c>
      <c r="S974" s="201">
        <f t="shared" si="126"/>
        <v>-5.9563203176704604E-3</v>
      </c>
    </row>
    <row r="975" spans="1:19">
      <c r="A975" s="196">
        <v>41383</v>
      </c>
      <c r="B975" s="122">
        <v>15.03</v>
      </c>
      <c r="C975" s="122">
        <v>15.49</v>
      </c>
      <c r="D975" s="122">
        <v>15</v>
      </c>
      <c r="E975" s="122">
        <v>15.48</v>
      </c>
      <c r="F975" s="122">
        <v>11.638118</v>
      </c>
      <c r="G975" s="197">
        <v>118400</v>
      </c>
      <c r="H975" s="198">
        <f>IF(AND(E974&gt;=H974,E975&gt;=E974),E974*(1+'Trading Model'!$E$13),IF(AND(E975&lt;E974,E974&gt;=H974),E975*(1+'Trading Model'!$E$13),H974))</f>
        <v>27.698998950000004</v>
      </c>
      <c r="I975" s="198">
        <f>IF(K975&gt;0,E975*(1-'Trading Model'!E985),IF(E975&lt;I974,I974*(1-'Trading Model'!$E$14),I974))</f>
        <v>8.9840153609188427</v>
      </c>
      <c r="J975" s="198">
        <f t="shared" si="127"/>
        <v>0</v>
      </c>
      <c r="K975" s="198">
        <f t="shared" si="122"/>
        <v>0</v>
      </c>
      <c r="L975" s="198">
        <f>COUNTIF(J975:K975,"&lt;&gt;0")*-'Trading Model'!$E$15</f>
        <v>0</v>
      </c>
      <c r="M975" s="198">
        <f t="shared" si="120"/>
        <v>0</v>
      </c>
      <c r="N975" s="75">
        <f t="shared" si="123"/>
        <v>45</v>
      </c>
      <c r="O975" s="202">
        <f t="shared" si="124"/>
        <v>0</v>
      </c>
      <c r="P975" s="199">
        <f t="shared" si="121"/>
        <v>0</v>
      </c>
      <c r="Q975" s="203">
        <f t="shared" si="125"/>
        <v>52.200000000001879</v>
      </c>
      <c r="R975" s="203" t="s">
        <v>55</v>
      </c>
      <c r="S975" s="201">
        <f t="shared" si="126"/>
        <v>3.0625832223701854E-2</v>
      </c>
    </row>
    <row r="976" spans="1:19">
      <c r="A976" s="196">
        <v>41386</v>
      </c>
      <c r="B976" s="122">
        <v>15.46</v>
      </c>
      <c r="C976" s="122">
        <v>16.219999000000001</v>
      </c>
      <c r="D976" s="122">
        <v>15.44</v>
      </c>
      <c r="E976" s="122">
        <v>16.190000999999999</v>
      </c>
      <c r="F976" s="122">
        <v>12.171906999999999</v>
      </c>
      <c r="G976" s="197">
        <v>226100</v>
      </c>
      <c r="H976" s="198">
        <f>IF(AND(E975&gt;=H975,E976&gt;=E975),E975*(1+'Trading Model'!$E$13),IF(AND(E976&lt;E975,E975&gt;=H975),E976*(1+'Trading Model'!$E$13),H975))</f>
        <v>27.698998950000004</v>
      </c>
      <c r="I976" s="198">
        <f>IF(K976&gt;0,E976*(1-'Trading Model'!E986),IF(E976&lt;I975,I975*(1-'Trading Model'!$E$14),I975))</f>
        <v>8.9840153609188427</v>
      </c>
      <c r="J976" s="198">
        <f t="shared" si="127"/>
        <v>0</v>
      </c>
      <c r="K976" s="198">
        <f t="shared" si="122"/>
        <v>0</v>
      </c>
      <c r="L976" s="198">
        <f>COUNTIF(J976:K976,"&lt;&gt;0")*-'Trading Model'!$E$15</f>
        <v>0</v>
      </c>
      <c r="M976" s="198">
        <f t="shared" si="120"/>
        <v>0</v>
      </c>
      <c r="N976" s="75">
        <f t="shared" si="123"/>
        <v>45</v>
      </c>
      <c r="O976" s="202">
        <f t="shared" si="124"/>
        <v>0</v>
      </c>
      <c r="P976" s="199">
        <f t="shared" si="121"/>
        <v>0</v>
      </c>
      <c r="Q976" s="203">
        <f t="shared" si="125"/>
        <v>52.200000000001879</v>
      </c>
      <c r="R976" s="203" t="s">
        <v>55</v>
      </c>
      <c r="S976" s="201">
        <f t="shared" si="126"/>
        <v>4.5865697674418504E-2</v>
      </c>
    </row>
    <row r="977" spans="1:19">
      <c r="A977" s="196">
        <v>41387</v>
      </c>
      <c r="B977" s="122">
        <v>16.190000999999999</v>
      </c>
      <c r="C977" s="122">
        <v>16.799999</v>
      </c>
      <c r="D977" s="122">
        <v>16.010000000000002</v>
      </c>
      <c r="E977" s="122">
        <v>16.290001</v>
      </c>
      <c r="F977" s="122">
        <v>12.24709</v>
      </c>
      <c r="G977" s="197">
        <v>211900</v>
      </c>
      <c r="H977" s="198">
        <f>IF(AND(E976&gt;=H976,E977&gt;=E976),E976*(1+'Trading Model'!$E$13),IF(AND(E977&lt;E976,E976&gt;=H976),E977*(1+'Trading Model'!$E$13),H976))</f>
        <v>27.698998950000004</v>
      </c>
      <c r="I977" s="198">
        <f>IF(K977&gt;0,E977*(1-'Trading Model'!E987),IF(E977&lt;I976,I976*(1-'Trading Model'!$E$14),I976))</f>
        <v>8.9840153609188427</v>
      </c>
      <c r="J977" s="198">
        <f t="shared" si="127"/>
        <v>0</v>
      </c>
      <c r="K977" s="198">
        <f t="shared" si="122"/>
        <v>0</v>
      </c>
      <c r="L977" s="198">
        <f>COUNTIF(J977:K977,"&lt;&gt;0")*-'Trading Model'!$E$15</f>
        <v>0</v>
      </c>
      <c r="M977" s="198">
        <f t="shared" si="120"/>
        <v>0</v>
      </c>
      <c r="N977" s="75">
        <f t="shared" si="123"/>
        <v>45</v>
      </c>
      <c r="O977" s="202">
        <f t="shared" si="124"/>
        <v>0</v>
      </c>
      <c r="P977" s="199">
        <f t="shared" si="121"/>
        <v>0</v>
      </c>
      <c r="Q977" s="203">
        <f t="shared" si="125"/>
        <v>52.200000000001879</v>
      </c>
      <c r="R977" s="201">
        <f>E977/B973-1</f>
        <v>6.8196786885245997E-2</v>
      </c>
      <c r="S977" s="201">
        <f t="shared" si="126"/>
        <v>6.1766518729677866E-3</v>
      </c>
    </row>
    <row r="978" spans="1:19">
      <c r="A978" s="196">
        <v>41388</v>
      </c>
      <c r="B978" s="122">
        <v>16.32</v>
      </c>
      <c r="C978" s="122">
        <v>16.32</v>
      </c>
      <c r="D978" s="122">
        <v>16</v>
      </c>
      <c r="E978" s="122">
        <v>16.16</v>
      </c>
      <c r="F978" s="122">
        <v>12.149353</v>
      </c>
      <c r="G978" s="197">
        <v>154500</v>
      </c>
      <c r="H978" s="198">
        <f>IF(AND(E977&gt;=H977,E978&gt;=E977),E977*(1+'Trading Model'!$E$13),IF(AND(E978&lt;E977,E977&gt;=H977),E978*(1+'Trading Model'!$E$13),H977))</f>
        <v>27.698998950000004</v>
      </c>
      <c r="I978" s="198">
        <f>IF(K978&gt;0,E978*(1-'Trading Model'!E988),IF(E978&lt;I977,I977*(1-'Trading Model'!$E$14),I977))</f>
        <v>8.9840153609188427</v>
      </c>
      <c r="J978" s="198">
        <f t="shared" si="127"/>
        <v>0</v>
      </c>
      <c r="K978" s="198">
        <f t="shared" si="122"/>
        <v>0</v>
      </c>
      <c r="L978" s="198">
        <f>COUNTIF(J978:K978,"&lt;&gt;0")*-'Trading Model'!$E$15</f>
        <v>0</v>
      </c>
      <c r="M978" s="198">
        <f t="shared" si="120"/>
        <v>0</v>
      </c>
      <c r="N978" s="75">
        <f t="shared" si="123"/>
        <v>45</v>
      </c>
      <c r="O978" s="202">
        <f t="shared" si="124"/>
        <v>0</v>
      </c>
      <c r="P978" s="199">
        <f t="shared" si="121"/>
        <v>0</v>
      </c>
      <c r="Q978" s="203">
        <f t="shared" si="125"/>
        <v>52.100000000001877</v>
      </c>
      <c r="R978" s="160" t="s">
        <v>55</v>
      </c>
      <c r="S978" s="201">
        <f t="shared" si="126"/>
        <v>-7.98041694411189E-3</v>
      </c>
    </row>
    <row r="979" spans="1:19">
      <c r="A979" s="196">
        <v>41389</v>
      </c>
      <c r="B979" s="122">
        <v>16.27</v>
      </c>
      <c r="C979" s="122">
        <v>16.77</v>
      </c>
      <c r="D979" s="122">
        <v>16.23</v>
      </c>
      <c r="E979" s="122">
        <v>16.420000000000002</v>
      </c>
      <c r="F979" s="122">
        <v>12.344827</v>
      </c>
      <c r="G979" s="197">
        <v>156800</v>
      </c>
      <c r="H979" s="198">
        <f>IF(AND(E978&gt;=H978,E979&gt;=E978),E978*(1+'Trading Model'!$E$13),IF(AND(E979&lt;E978,E978&gt;=H978),E979*(1+'Trading Model'!$E$13),H978))</f>
        <v>27.698998950000004</v>
      </c>
      <c r="I979" s="198">
        <f>IF(K979&gt;0,E979*(1-'Trading Model'!E989),IF(E979&lt;I978,I978*(1-'Trading Model'!$E$14),I978))</f>
        <v>8.9840153609188427</v>
      </c>
      <c r="J979" s="198">
        <f t="shared" si="127"/>
        <v>0</v>
      </c>
      <c r="K979" s="198">
        <f t="shared" si="122"/>
        <v>0</v>
      </c>
      <c r="L979" s="198">
        <f>COUNTIF(J979:K979,"&lt;&gt;0")*-'Trading Model'!$E$15</f>
        <v>0</v>
      </c>
      <c r="M979" s="198">
        <f t="shared" si="120"/>
        <v>0</v>
      </c>
      <c r="N979" s="75">
        <f t="shared" si="123"/>
        <v>45</v>
      </c>
      <c r="O979" s="202">
        <f t="shared" si="124"/>
        <v>0</v>
      </c>
      <c r="P979" s="199">
        <f t="shared" si="121"/>
        <v>0</v>
      </c>
      <c r="Q979" s="203">
        <f t="shared" si="125"/>
        <v>52.100000000001877</v>
      </c>
      <c r="R979" s="203" t="s">
        <v>55</v>
      </c>
      <c r="S979" s="201">
        <f t="shared" si="126"/>
        <v>1.6089108910891214E-2</v>
      </c>
    </row>
    <row r="980" spans="1:19">
      <c r="A980" s="196">
        <v>41390</v>
      </c>
      <c r="B980" s="122">
        <v>16.41</v>
      </c>
      <c r="C980" s="122">
        <v>16.48</v>
      </c>
      <c r="D980" s="122">
        <v>15.99</v>
      </c>
      <c r="E980" s="122">
        <v>16.09</v>
      </c>
      <c r="F980" s="122">
        <v>12.096724999999999</v>
      </c>
      <c r="G980" s="197">
        <v>180200</v>
      </c>
      <c r="H980" s="198">
        <f>IF(AND(E979&gt;=H979,E980&gt;=E979),E979*(1+'Trading Model'!$E$13),IF(AND(E980&lt;E979,E979&gt;=H979),E980*(1+'Trading Model'!$E$13),H979))</f>
        <v>27.698998950000004</v>
      </c>
      <c r="I980" s="198">
        <f>IF(K980&gt;0,E980*(1-'Trading Model'!E990),IF(E980&lt;I979,I979*(1-'Trading Model'!$E$14),I979))</f>
        <v>8.9840153609188427</v>
      </c>
      <c r="J980" s="198">
        <f t="shared" si="127"/>
        <v>0</v>
      </c>
      <c r="K980" s="198">
        <f t="shared" si="122"/>
        <v>0</v>
      </c>
      <c r="L980" s="198">
        <f>COUNTIF(J980:K980,"&lt;&gt;0")*-'Trading Model'!$E$15</f>
        <v>0</v>
      </c>
      <c r="M980" s="198">
        <f t="shared" si="120"/>
        <v>0</v>
      </c>
      <c r="N980" s="75">
        <f t="shared" si="123"/>
        <v>45</v>
      </c>
      <c r="O980" s="202">
        <f t="shared" si="124"/>
        <v>0</v>
      </c>
      <c r="P980" s="199">
        <f t="shared" si="121"/>
        <v>0</v>
      </c>
      <c r="Q980" s="203">
        <f t="shared" si="125"/>
        <v>52.000000000001876</v>
      </c>
      <c r="R980" s="203" t="s">
        <v>55</v>
      </c>
      <c r="S980" s="201">
        <f t="shared" si="126"/>
        <v>-2.0097442143727218E-2</v>
      </c>
    </row>
    <row r="981" spans="1:19">
      <c r="A981" s="196">
        <v>41393</v>
      </c>
      <c r="B981" s="122">
        <v>16.09</v>
      </c>
      <c r="C981" s="122">
        <v>16.719999000000001</v>
      </c>
      <c r="D981" s="122">
        <v>16</v>
      </c>
      <c r="E981" s="122">
        <v>16.5</v>
      </c>
      <c r="F981" s="122">
        <v>12.404968999999999</v>
      </c>
      <c r="G981" s="197">
        <v>219700</v>
      </c>
      <c r="H981" s="198">
        <f>IF(AND(E980&gt;=H980,E981&gt;=E980),E980*(1+'Trading Model'!$E$13),IF(AND(E981&lt;E980,E980&gt;=H980),E981*(1+'Trading Model'!$E$13),H980))</f>
        <v>27.698998950000004</v>
      </c>
      <c r="I981" s="198">
        <f>IF(K981&gt;0,E981*(1-'Trading Model'!E991),IF(E981&lt;I980,I980*(1-'Trading Model'!$E$14),I980))</f>
        <v>8.9840153609188427</v>
      </c>
      <c r="J981" s="198">
        <f t="shared" si="127"/>
        <v>0</v>
      </c>
      <c r="K981" s="198">
        <f t="shared" si="122"/>
        <v>0</v>
      </c>
      <c r="L981" s="198">
        <f>COUNTIF(J981:K981,"&lt;&gt;0")*-'Trading Model'!$E$15</f>
        <v>0</v>
      </c>
      <c r="M981" s="198">
        <f t="shared" si="120"/>
        <v>0</v>
      </c>
      <c r="N981" s="75">
        <f t="shared" si="123"/>
        <v>45</v>
      </c>
      <c r="O981" s="202">
        <f t="shared" si="124"/>
        <v>0</v>
      </c>
      <c r="P981" s="199">
        <f t="shared" si="121"/>
        <v>0</v>
      </c>
      <c r="Q981" s="203">
        <f t="shared" si="125"/>
        <v>52.000000000001876</v>
      </c>
      <c r="R981" s="203" t="s">
        <v>55</v>
      </c>
      <c r="S981" s="201">
        <f t="shared" si="126"/>
        <v>2.5481665630826544E-2</v>
      </c>
    </row>
    <row r="982" spans="1:19">
      <c r="A982" s="196">
        <v>41394</v>
      </c>
      <c r="B982" s="122">
        <v>16.52</v>
      </c>
      <c r="C982" s="122">
        <v>16.68</v>
      </c>
      <c r="D982" s="122">
        <v>16.239999999999998</v>
      </c>
      <c r="E982" s="122">
        <v>16.489999999999998</v>
      </c>
      <c r="F982" s="122">
        <v>12.397451999999999</v>
      </c>
      <c r="G982" s="197">
        <v>153300</v>
      </c>
      <c r="H982" s="198">
        <f>IF(AND(E981&gt;=H981,E982&gt;=E981),E981*(1+'Trading Model'!$E$13),IF(AND(E982&lt;E981,E981&gt;=H981),E982*(1+'Trading Model'!$E$13),H981))</f>
        <v>27.698998950000004</v>
      </c>
      <c r="I982" s="198">
        <f>IF(K982&gt;0,E982*(1-'Trading Model'!E992),IF(E982&lt;I981,I981*(1-'Trading Model'!$E$14),I981))</f>
        <v>8.9840153609188427</v>
      </c>
      <c r="J982" s="198">
        <f t="shared" si="127"/>
        <v>0</v>
      </c>
      <c r="K982" s="198">
        <f t="shared" si="122"/>
        <v>0</v>
      </c>
      <c r="L982" s="198">
        <f>COUNTIF(J982:K982,"&lt;&gt;0")*-'Trading Model'!$E$15</f>
        <v>0</v>
      </c>
      <c r="M982" s="198">
        <f t="shared" si="120"/>
        <v>0</v>
      </c>
      <c r="N982" s="75">
        <f t="shared" si="123"/>
        <v>45</v>
      </c>
      <c r="O982" s="202">
        <f t="shared" si="124"/>
        <v>0</v>
      </c>
      <c r="P982" s="199">
        <f t="shared" si="121"/>
        <v>0</v>
      </c>
      <c r="Q982" s="203">
        <f t="shared" si="125"/>
        <v>51.900000000001874</v>
      </c>
      <c r="R982" s="201">
        <f>E982/B978-1</f>
        <v>1.0416666666666519E-2</v>
      </c>
      <c r="S982" s="201">
        <f t="shared" si="126"/>
        <v>-6.0606060606072099E-4</v>
      </c>
    </row>
    <row r="983" spans="1:19">
      <c r="A983" s="196">
        <v>41395</v>
      </c>
      <c r="B983" s="122">
        <v>16.450001</v>
      </c>
      <c r="C983" s="122">
        <v>16.75</v>
      </c>
      <c r="D983" s="122">
        <v>16.399999999999999</v>
      </c>
      <c r="E983" s="122">
        <v>16.73</v>
      </c>
      <c r="F983" s="122">
        <v>12.577888</v>
      </c>
      <c r="G983" s="197">
        <v>162200</v>
      </c>
      <c r="H983" s="198">
        <f>IF(AND(E982&gt;=H982,E983&gt;=E982),E982*(1+'Trading Model'!$E$13),IF(AND(E983&lt;E982,E982&gt;=H982),E983*(1+'Trading Model'!$E$13),H982))</f>
        <v>27.698998950000004</v>
      </c>
      <c r="I983" s="198">
        <f>IF(K983&gt;0,E983*(1-'Trading Model'!E993),IF(E983&lt;I982,I982*(1-'Trading Model'!$E$14),I982))</f>
        <v>8.9840153609188427</v>
      </c>
      <c r="J983" s="198">
        <f t="shared" si="127"/>
        <v>0</v>
      </c>
      <c r="K983" s="198">
        <f t="shared" si="122"/>
        <v>0</v>
      </c>
      <c r="L983" s="198">
        <f>COUNTIF(J983:K983,"&lt;&gt;0")*-'Trading Model'!$E$15</f>
        <v>0</v>
      </c>
      <c r="M983" s="198">
        <f t="shared" si="120"/>
        <v>0</v>
      </c>
      <c r="N983" s="75">
        <f t="shared" si="123"/>
        <v>45</v>
      </c>
      <c r="O983" s="202">
        <f t="shared" si="124"/>
        <v>0</v>
      </c>
      <c r="P983" s="199">
        <f t="shared" si="121"/>
        <v>0</v>
      </c>
      <c r="Q983" s="203">
        <f t="shared" si="125"/>
        <v>51.900000000001874</v>
      </c>
      <c r="R983" s="160" t="s">
        <v>55</v>
      </c>
      <c r="S983" s="201">
        <f t="shared" si="126"/>
        <v>1.4554275318374943E-2</v>
      </c>
    </row>
    <row r="984" spans="1:19">
      <c r="A984" s="196">
        <v>41396</v>
      </c>
      <c r="B984" s="122">
        <v>16.73</v>
      </c>
      <c r="C984" s="122">
        <v>16.950001</v>
      </c>
      <c r="D984" s="122">
        <v>16.280000999999999</v>
      </c>
      <c r="E984" s="122">
        <v>16.59</v>
      </c>
      <c r="F984" s="122">
        <v>12.472633999999999</v>
      </c>
      <c r="G984" s="197">
        <v>359900</v>
      </c>
      <c r="H984" s="198">
        <f>IF(AND(E983&gt;=H983,E984&gt;=E983),E983*(1+'Trading Model'!$E$13),IF(AND(E984&lt;E983,E983&gt;=H983),E984*(1+'Trading Model'!$E$13),H983))</f>
        <v>27.698998950000004</v>
      </c>
      <c r="I984" s="198">
        <f>IF(K984&gt;0,E984*(1-'Trading Model'!E994),IF(E984&lt;I983,I983*(1-'Trading Model'!$E$14),I983))</f>
        <v>8.9840153609188427</v>
      </c>
      <c r="J984" s="198">
        <f t="shared" si="127"/>
        <v>0</v>
      </c>
      <c r="K984" s="198">
        <f t="shared" si="122"/>
        <v>0</v>
      </c>
      <c r="L984" s="198">
        <f>COUNTIF(J984:K984,"&lt;&gt;0")*-'Trading Model'!$E$15</f>
        <v>0</v>
      </c>
      <c r="M984" s="198">
        <f t="shared" si="120"/>
        <v>0</v>
      </c>
      <c r="N984" s="75">
        <f t="shared" si="123"/>
        <v>45</v>
      </c>
      <c r="O984" s="202">
        <f t="shared" si="124"/>
        <v>0</v>
      </c>
      <c r="P984" s="199">
        <f t="shared" si="121"/>
        <v>0</v>
      </c>
      <c r="Q984" s="203">
        <f t="shared" si="125"/>
        <v>51.800000000001873</v>
      </c>
      <c r="R984" s="203" t="s">
        <v>55</v>
      </c>
      <c r="S984" s="201">
        <f t="shared" si="126"/>
        <v>-8.3682008368201055E-3</v>
      </c>
    </row>
    <row r="985" spans="1:19">
      <c r="A985" s="196">
        <v>41397</v>
      </c>
      <c r="B985" s="122">
        <v>16.530000999999999</v>
      </c>
      <c r="C985" s="122">
        <v>16.709999</v>
      </c>
      <c r="D985" s="122">
        <v>16.010000000000002</v>
      </c>
      <c r="E985" s="122">
        <v>16.16</v>
      </c>
      <c r="F985" s="122">
        <v>12.149353</v>
      </c>
      <c r="G985" s="197">
        <v>121900</v>
      </c>
      <c r="H985" s="198">
        <f>IF(AND(E984&gt;=H984,E985&gt;=E984),E984*(1+'Trading Model'!$E$13),IF(AND(E985&lt;E984,E984&gt;=H984),E985*(1+'Trading Model'!$E$13),H984))</f>
        <v>27.698998950000004</v>
      </c>
      <c r="I985" s="198">
        <f>IF(K985&gt;0,E985*(1-'Trading Model'!E995),IF(E985&lt;I984,I984*(1-'Trading Model'!$E$14),I984))</f>
        <v>8.9840153609188427</v>
      </c>
      <c r="J985" s="198">
        <f t="shared" si="127"/>
        <v>0</v>
      </c>
      <c r="K985" s="198">
        <f t="shared" si="122"/>
        <v>0</v>
      </c>
      <c r="L985" s="198">
        <f>COUNTIF(J985:K985,"&lt;&gt;0")*-'Trading Model'!$E$15</f>
        <v>0</v>
      </c>
      <c r="M985" s="198">
        <f t="shared" si="120"/>
        <v>0</v>
      </c>
      <c r="N985" s="75">
        <f t="shared" si="123"/>
        <v>45</v>
      </c>
      <c r="O985" s="202">
        <f t="shared" si="124"/>
        <v>0</v>
      </c>
      <c r="P985" s="199">
        <f t="shared" si="121"/>
        <v>0</v>
      </c>
      <c r="Q985" s="203">
        <f t="shared" si="125"/>
        <v>51.700000000001872</v>
      </c>
      <c r="R985" s="203" t="s">
        <v>55</v>
      </c>
      <c r="S985" s="201">
        <f t="shared" si="126"/>
        <v>-2.5919228450874021E-2</v>
      </c>
    </row>
    <row r="986" spans="1:19">
      <c r="A986" s="196">
        <v>41400</v>
      </c>
      <c r="B986" s="122">
        <v>16.16</v>
      </c>
      <c r="C986" s="122">
        <v>16.690000999999999</v>
      </c>
      <c r="D986" s="122">
        <v>16.16</v>
      </c>
      <c r="E986" s="122">
        <v>16.450001</v>
      </c>
      <c r="F986" s="122">
        <v>12.367379</v>
      </c>
      <c r="G986" s="197">
        <v>198700</v>
      </c>
      <c r="H986" s="198">
        <f>IF(AND(E985&gt;=H985,E986&gt;=E985),E985*(1+'Trading Model'!$E$13),IF(AND(E986&lt;E985,E985&gt;=H985),E986*(1+'Trading Model'!$E$13),H985))</f>
        <v>27.698998950000004</v>
      </c>
      <c r="I986" s="198">
        <f>IF(K986&gt;0,E986*(1-'Trading Model'!E996),IF(E986&lt;I985,I985*(1-'Trading Model'!$E$14),I985))</f>
        <v>8.9840153609188427</v>
      </c>
      <c r="J986" s="198">
        <f t="shared" si="127"/>
        <v>0</v>
      </c>
      <c r="K986" s="198">
        <f t="shared" si="122"/>
        <v>0</v>
      </c>
      <c r="L986" s="198">
        <f>COUNTIF(J986:K986,"&lt;&gt;0")*-'Trading Model'!$E$15</f>
        <v>0</v>
      </c>
      <c r="M986" s="198">
        <f t="shared" si="120"/>
        <v>0</v>
      </c>
      <c r="N986" s="75">
        <f t="shared" si="123"/>
        <v>45</v>
      </c>
      <c r="O986" s="202">
        <f t="shared" si="124"/>
        <v>0</v>
      </c>
      <c r="P986" s="199">
        <f t="shared" si="121"/>
        <v>0</v>
      </c>
      <c r="Q986" s="203">
        <f t="shared" si="125"/>
        <v>51.700000000001872</v>
      </c>
      <c r="R986" s="203" t="s">
        <v>55</v>
      </c>
      <c r="S986" s="201">
        <f t="shared" si="126"/>
        <v>1.794560643564358E-2</v>
      </c>
    </row>
    <row r="987" spans="1:19">
      <c r="A987" s="196">
        <v>41401</v>
      </c>
      <c r="B987" s="122">
        <v>16.510000000000002</v>
      </c>
      <c r="C987" s="122">
        <v>16.799999</v>
      </c>
      <c r="D987" s="122">
        <v>16.260000000000002</v>
      </c>
      <c r="E987" s="122">
        <v>16.360001</v>
      </c>
      <c r="F987" s="122">
        <v>12.299716999999999</v>
      </c>
      <c r="G987" s="197">
        <v>120500</v>
      </c>
      <c r="H987" s="198">
        <f>IF(AND(E986&gt;=H986,E987&gt;=E986),E986*(1+'Trading Model'!$E$13),IF(AND(E987&lt;E986,E986&gt;=H986),E987*(1+'Trading Model'!$E$13),H986))</f>
        <v>27.698998950000004</v>
      </c>
      <c r="I987" s="198">
        <f>IF(K987&gt;0,E987*(1-'Trading Model'!E997),IF(E987&lt;I986,I986*(1-'Trading Model'!$E$14),I986))</f>
        <v>8.9840153609188427</v>
      </c>
      <c r="J987" s="198">
        <f t="shared" si="127"/>
        <v>0</v>
      </c>
      <c r="K987" s="198">
        <f t="shared" si="122"/>
        <v>0</v>
      </c>
      <c r="L987" s="198">
        <f>COUNTIF(J987:K987,"&lt;&gt;0")*-'Trading Model'!$E$15</f>
        <v>0</v>
      </c>
      <c r="M987" s="198">
        <f t="shared" si="120"/>
        <v>0</v>
      </c>
      <c r="N987" s="75">
        <f t="shared" si="123"/>
        <v>45</v>
      </c>
      <c r="O987" s="202">
        <f t="shared" si="124"/>
        <v>0</v>
      </c>
      <c r="P987" s="199">
        <f t="shared" si="121"/>
        <v>0</v>
      </c>
      <c r="Q987" s="203">
        <f t="shared" si="125"/>
        <v>51.60000000000187</v>
      </c>
      <c r="R987" s="201">
        <f>E987/B983-1</f>
        <v>-5.4711242874696531E-3</v>
      </c>
      <c r="S987" s="201">
        <f t="shared" si="126"/>
        <v>-5.4711242874696531E-3</v>
      </c>
    </row>
    <row r="988" spans="1:19">
      <c r="A988" s="196">
        <v>41402</v>
      </c>
      <c r="B988" s="122">
        <v>16.440000999999999</v>
      </c>
      <c r="C988" s="122">
        <v>16.579999999999998</v>
      </c>
      <c r="D988" s="122">
        <v>16.110001</v>
      </c>
      <c r="E988" s="122">
        <v>16.34</v>
      </c>
      <c r="F988" s="122">
        <v>12.284679000000001</v>
      </c>
      <c r="G988" s="197">
        <v>130100</v>
      </c>
      <c r="H988" s="198">
        <f>IF(AND(E987&gt;=H987,E988&gt;=E987),E987*(1+'Trading Model'!$E$13),IF(AND(E988&lt;E987,E987&gt;=H987),E988*(1+'Trading Model'!$E$13),H987))</f>
        <v>27.698998950000004</v>
      </c>
      <c r="I988" s="198">
        <f>IF(K988&gt;0,E988*(1-'Trading Model'!E998),IF(E988&lt;I987,I987*(1-'Trading Model'!$E$14),I987))</f>
        <v>8.9840153609188427</v>
      </c>
      <c r="J988" s="198">
        <f t="shared" si="127"/>
        <v>0</v>
      </c>
      <c r="K988" s="198">
        <f t="shared" si="122"/>
        <v>0</v>
      </c>
      <c r="L988" s="198">
        <f>COUNTIF(J988:K988,"&lt;&gt;0")*-'Trading Model'!$E$15</f>
        <v>0</v>
      </c>
      <c r="M988" s="198">
        <f t="shared" si="120"/>
        <v>0</v>
      </c>
      <c r="N988" s="75">
        <f t="shared" si="123"/>
        <v>45</v>
      </c>
      <c r="O988" s="202">
        <f t="shared" si="124"/>
        <v>0</v>
      </c>
      <c r="P988" s="199">
        <f t="shared" si="121"/>
        <v>0</v>
      </c>
      <c r="Q988" s="203">
        <f t="shared" si="125"/>
        <v>51.500000000001869</v>
      </c>
      <c r="R988" s="160" t="s">
        <v>55</v>
      </c>
      <c r="S988" s="201">
        <f t="shared" si="126"/>
        <v>-1.2225549374966782E-3</v>
      </c>
    </row>
    <row r="989" spans="1:19">
      <c r="A989" s="196">
        <v>41403</v>
      </c>
      <c r="B989" s="122">
        <v>16.32</v>
      </c>
      <c r="C989" s="122">
        <v>16.43</v>
      </c>
      <c r="D989" s="122">
        <v>16.139999</v>
      </c>
      <c r="E989" s="122">
        <v>16.239999999999998</v>
      </c>
      <c r="F989" s="122">
        <v>12.209498</v>
      </c>
      <c r="G989" s="197">
        <v>153200</v>
      </c>
      <c r="H989" s="198">
        <f>IF(AND(E988&gt;=H988,E989&gt;=E988),E988*(1+'Trading Model'!$E$13),IF(AND(E989&lt;E988,E988&gt;=H988),E989*(1+'Trading Model'!$E$13),H988))</f>
        <v>27.698998950000004</v>
      </c>
      <c r="I989" s="198">
        <f>IF(K989&gt;0,E989*(1-'Trading Model'!E999),IF(E989&lt;I988,I988*(1-'Trading Model'!$E$14),I988))</f>
        <v>8.9840153609188427</v>
      </c>
      <c r="J989" s="198">
        <f t="shared" si="127"/>
        <v>0</v>
      </c>
      <c r="K989" s="198">
        <f t="shared" si="122"/>
        <v>0</v>
      </c>
      <c r="L989" s="198">
        <f>COUNTIF(J989:K989,"&lt;&gt;0")*-'Trading Model'!$E$15</f>
        <v>0</v>
      </c>
      <c r="M989" s="198">
        <f t="shared" si="120"/>
        <v>0</v>
      </c>
      <c r="N989" s="75">
        <f t="shared" si="123"/>
        <v>45</v>
      </c>
      <c r="O989" s="202">
        <f t="shared" si="124"/>
        <v>0</v>
      </c>
      <c r="P989" s="199">
        <f t="shared" si="121"/>
        <v>0</v>
      </c>
      <c r="Q989" s="203">
        <f t="shared" si="125"/>
        <v>51.400000000001867</v>
      </c>
      <c r="R989" s="203" t="s">
        <v>55</v>
      </c>
      <c r="S989" s="201">
        <f t="shared" si="126"/>
        <v>-6.1199510403917579E-3</v>
      </c>
    </row>
    <row r="990" spans="1:19">
      <c r="A990" s="196">
        <v>41404</v>
      </c>
      <c r="B990" s="122">
        <v>16.190000999999999</v>
      </c>
      <c r="C990" s="122">
        <v>16.280000999999999</v>
      </c>
      <c r="D990" s="122">
        <v>15.45</v>
      </c>
      <c r="E990" s="122">
        <v>15.94</v>
      </c>
      <c r="F990" s="122">
        <v>11.983953</v>
      </c>
      <c r="G990" s="197">
        <v>287800</v>
      </c>
      <c r="H990" s="198">
        <f>IF(AND(E989&gt;=H989,E990&gt;=E989),E989*(1+'Trading Model'!$E$13),IF(AND(E990&lt;E989,E989&gt;=H989),E990*(1+'Trading Model'!$E$13),H989))</f>
        <v>27.698998950000004</v>
      </c>
      <c r="I990" s="198">
        <f>IF(K990&gt;0,E990*(1-'Trading Model'!E1000),IF(E990&lt;I989,I989*(1-'Trading Model'!$E$14),I989))</f>
        <v>8.9840153609188427</v>
      </c>
      <c r="J990" s="198">
        <f t="shared" si="127"/>
        <v>0</v>
      </c>
      <c r="K990" s="198">
        <f t="shared" si="122"/>
        <v>0</v>
      </c>
      <c r="L990" s="198">
        <f>COUNTIF(J990:K990,"&lt;&gt;0")*-'Trading Model'!$E$15</f>
        <v>0</v>
      </c>
      <c r="M990" s="198">
        <f t="shared" si="120"/>
        <v>0</v>
      </c>
      <c r="N990" s="75">
        <f t="shared" si="123"/>
        <v>45</v>
      </c>
      <c r="O990" s="202">
        <f t="shared" si="124"/>
        <v>0</v>
      </c>
      <c r="P990" s="199">
        <f t="shared" si="121"/>
        <v>0</v>
      </c>
      <c r="Q990" s="203">
        <f t="shared" si="125"/>
        <v>51.300000000001866</v>
      </c>
      <c r="R990" s="203" t="s">
        <v>55</v>
      </c>
      <c r="S990" s="201">
        <f t="shared" si="126"/>
        <v>-1.8472906403940836E-2</v>
      </c>
    </row>
    <row r="991" spans="1:19">
      <c r="A991" s="196">
        <v>41407</v>
      </c>
      <c r="B991" s="122">
        <v>15.79</v>
      </c>
      <c r="C991" s="122">
        <v>15.99</v>
      </c>
      <c r="D991" s="122">
        <v>15.72</v>
      </c>
      <c r="E991" s="122">
        <v>15.9</v>
      </c>
      <c r="F991" s="122">
        <v>11.953879000000001</v>
      </c>
      <c r="G991" s="197">
        <v>152000</v>
      </c>
      <c r="H991" s="198">
        <f>IF(AND(E990&gt;=H990,E991&gt;=E990),E990*(1+'Trading Model'!$E$13),IF(AND(E991&lt;E990,E990&gt;=H990),E991*(1+'Trading Model'!$E$13),H990))</f>
        <v>27.698998950000004</v>
      </c>
      <c r="I991" s="198">
        <f>IF(K991&gt;0,E991*(1-'Trading Model'!E1001),IF(E991&lt;I990,I990*(1-'Trading Model'!$E$14),I990))</f>
        <v>8.9840153609188427</v>
      </c>
      <c r="J991" s="198">
        <f t="shared" si="127"/>
        <v>0</v>
      </c>
      <c r="K991" s="198">
        <f t="shared" si="122"/>
        <v>0</v>
      </c>
      <c r="L991" s="198">
        <f>COUNTIF(J991:K991,"&lt;&gt;0")*-'Trading Model'!$E$15</f>
        <v>0</v>
      </c>
      <c r="M991" s="198">
        <f t="shared" si="120"/>
        <v>0</v>
      </c>
      <c r="N991" s="75">
        <f t="shared" si="123"/>
        <v>45</v>
      </c>
      <c r="O991" s="202">
        <f t="shared" si="124"/>
        <v>0</v>
      </c>
      <c r="P991" s="199">
        <f t="shared" si="121"/>
        <v>0</v>
      </c>
      <c r="Q991" s="203">
        <f t="shared" si="125"/>
        <v>51.200000000001864</v>
      </c>
      <c r="R991" s="203" t="s">
        <v>55</v>
      </c>
      <c r="S991" s="201">
        <f t="shared" si="126"/>
        <v>-2.5094102885820924E-3</v>
      </c>
    </row>
    <row r="992" spans="1:19">
      <c r="A992" s="196">
        <v>41408</v>
      </c>
      <c r="B992" s="122">
        <v>15.92</v>
      </c>
      <c r="C992" s="122">
        <v>16.139999</v>
      </c>
      <c r="D992" s="122">
        <v>15.72</v>
      </c>
      <c r="E992" s="122">
        <v>15.77</v>
      </c>
      <c r="F992" s="122">
        <v>11.856142</v>
      </c>
      <c r="G992" s="197">
        <v>329300</v>
      </c>
      <c r="H992" s="198">
        <f>IF(AND(E991&gt;=H991,E992&gt;=E991),E991*(1+'Trading Model'!$E$13),IF(AND(E992&lt;E991,E991&gt;=H991),E992*(1+'Trading Model'!$E$13),H991))</f>
        <v>27.698998950000004</v>
      </c>
      <c r="I992" s="198">
        <f>IF(K992&gt;0,E992*(1-'Trading Model'!E1002),IF(E992&lt;I991,I991*(1-'Trading Model'!$E$14),I991))</f>
        <v>8.9840153609188427</v>
      </c>
      <c r="J992" s="198">
        <f t="shared" si="127"/>
        <v>0</v>
      </c>
      <c r="K992" s="198">
        <f t="shared" si="122"/>
        <v>0</v>
      </c>
      <c r="L992" s="198">
        <f>COUNTIF(J992:K992,"&lt;&gt;0")*-'Trading Model'!$E$15</f>
        <v>0</v>
      </c>
      <c r="M992" s="198">
        <f t="shared" si="120"/>
        <v>0</v>
      </c>
      <c r="N992" s="75">
        <f t="shared" si="123"/>
        <v>45</v>
      </c>
      <c r="O992" s="202">
        <f t="shared" si="124"/>
        <v>0</v>
      </c>
      <c r="P992" s="199">
        <f t="shared" si="121"/>
        <v>0</v>
      </c>
      <c r="Q992" s="203">
        <f t="shared" si="125"/>
        <v>51.100000000001863</v>
      </c>
      <c r="R992" s="201">
        <f>E992/B988-1</f>
        <v>-4.0754316255820155E-2</v>
      </c>
      <c r="S992" s="201">
        <f t="shared" si="126"/>
        <v>-8.1761006289308158E-3</v>
      </c>
    </row>
    <row r="993" spans="1:19">
      <c r="A993" s="196">
        <v>41409</v>
      </c>
      <c r="B993" s="122">
        <v>15.7</v>
      </c>
      <c r="C993" s="122">
        <v>15.99</v>
      </c>
      <c r="D993" s="122">
        <v>15.61</v>
      </c>
      <c r="E993" s="122">
        <v>15.99</v>
      </c>
      <c r="F993" s="122">
        <v>12.021542999999999</v>
      </c>
      <c r="G993" s="197">
        <v>313400</v>
      </c>
      <c r="H993" s="198">
        <f>IF(AND(E992&gt;=H992,E993&gt;=E992),E992*(1+'Trading Model'!$E$13),IF(AND(E993&lt;E992,E992&gt;=H992),E993*(1+'Trading Model'!$E$13),H992))</f>
        <v>27.698998950000004</v>
      </c>
      <c r="I993" s="198">
        <f>IF(K993&gt;0,E993*(1-'Trading Model'!E1003),IF(E993&lt;I992,I992*(1-'Trading Model'!$E$14),I992))</f>
        <v>8.9840153609188427</v>
      </c>
      <c r="J993" s="198">
        <f t="shared" si="127"/>
        <v>0</v>
      </c>
      <c r="K993" s="198">
        <f t="shared" si="122"/>
        <v>0</v>
      </c>
      <c r="L993" s="198">
        <f>COUNTIF(J993:K993,"&lt;&gt;0")*-'Trading Model'!$E$15</f>
        <v>0</v>
      </c>
      <c r="M993" s="198">
        <f t="shared" si="120"/>
        <v>0</v>
      </c>
      <c r="N993" s="75">
        <f t="shared" si="123"/>
        <v>45</v>
      </c>
      <c r="O993" s="202">
        <f t="shared" si="124"/>
        <v>0</v>
      </c>
      <c r="P993" s="199">
        <f t="shared" si="121"/>
        <v>0</v>
      </c>
      <c r="Q993" s="203">
        <f t="shared" si="125"/>
        <v>51.100000000001863</v>
      </c>
      <c r="R993" s="160" t="s">
        <v>55</v>
      </c>
      <c r="S993" s="201">
        <f t="shared" si="126"/>
        <v>1.3950538998097617E-2</v>
      </c>
    </row>
    <row r="994" spans="1:19">
      <c r="A994" s="196">
        <v>41410</v>
      </c>
      <c r="B994" s="122">
        <v>15.97</v>
      </c>
      <c r="C994" s="122">
        <v>16.16</v>
      </c>
      <c r="D994" s="122">
        <v>15.88</v>
      </c>
      <c r="E994" s="122">
        <v>15.95</v>
      </c>
      <c r="F994" s="122">
        <v>11.99147</v>
      </c>
      <c r="G994" s="197">
        <v>139500</v>
      </c>
      <c r="H994" s="198">
        <f>IF(AND(E993&gt;=H993,E994&gt;=E993),E993*(1+'Trading Model'!$E$13),IF(AND(E994&lt;E993,E993&gt;=H993),E994*(1+'Trading Model'!$E$13),H993))</f>
        <v>27.698998950000004</v>
      </c>
      <c r="I994" s="198">
        <f>IF(K994&gt;0,E994*(1-'Trading Model'!E1004),IF(E994&lt;I993,I993*(1-'Trading Model'!$E$14),I993))</f>
        <v>8.9840153609188427</v>
      </c>
      <c r="J994" s="198">
        <f t="shared" si="127"/>
        <v>0</v>
      </c>
      <c r="K994" s="198">
        <f t="shared" si="122"/>
        <v>0</v>
      </c>
      <c r="L994" s="198">
        <f>COUNTIF(J994:K994,"&lt;&gt;0")*-'Trading Model'!$E$15</f>
        <v>0</v>
      </c>
      <c r="M994" s="198">
        <f t="shared" si="120"/>
        <v>0</v>
      </c>
      <c r="N994" s="75">
        <f t="shared" si="123"/>
        <v>45</v>
      </c>
      <c r="O994" s="202">
        <f t="shared" si="124"/>
        <v>0</v>
      </c>
      <c r="P994" s="199">
        <f t="shared" si="121"/>
        <v>0</v>
      </c>
      <c r="Q994" s="203">
        <f t="shared" si="125"/>
        <v>51.000000000001862</v>
      </c>
      <c r="R994" s="203" t="s">
        <v>55</v>
      </c>
      <c r="S994" s="201">
        <f t="shared" si="126"/>
        <v>-2.5015634771733408E-3</v>
      </c>
    </row>
    <row r="995" spans="1:19">
      <c r="A995" s="196">
        <v>41411</v>
      </c>
      <c r="B995" s="122">
        <v>16</v>
      </c>
      <c r="C995" s="122">
        <v>16</v>
      </c>
      <c r="D995" s="122">
        <v>15.82</v>
      </c>
      <c r="E995" s="122">
        <v>15.96</v>
      </c>
      <c r="F995" s="122">
        <v>11.998988000000001</v>
      </c>
      <c r="G995" s="197">
        <v>149200</v>
      </c>
      <c r="H995" s="198">
        <f>IF(AND(E994&gt;=H994,E995&gt;=E994),E994*(1+'Trading Model'!$E$13),IF(AND(E995&lt;E994,E994&gt;=H994),E995*(1+'Trading Model'!$E$13),H994))</f>
        <v>27.698998950000004</v>
      </c>
      <c r="I995" s="198">
        <f>IF(K995&gt;0,E995*(1-'Trading Model'!E1005),IF(E995&lt;I994,I994*(1-'Trading Model'!$E$14),I994))</f>
        <v>8.9840153609188427</v>
      </c>
      <c r="J995" s="198">
        <f t="shared" si="127"/>
        <v>0</v>
      </c>
      <c r="K995" s="198">
        <f t="shared" si="122"/>
        <v>0</v>
      </c>
      <c r="L995" s="198">
        <f>COUNTIF(J995:K995,"&lt;&gt;0")*-'Trading Model'!$E$15</f>
        <v>0</v>
      </c>
      <c r="M995" s="198">
        <f t="shared" si="120"/>
        <v>0</v>
      </c>
      <c r="N995" s="75">
        <f t="shared" si="123"/>
        <v>45</v>
      </c>
      <c r="O995" s="202">
        <f t="shared" si="124"/>
        <v>0</v>
      </c>
      <c r="P995" s="199">
        <f t="shared" si="121"/>
        <v>0</v>
      </c>
      <c r="Q995" s="203">
        <f t="shared" si="125"/>
        <v>51.000000000001862</v>
      </c>
      <c r="R995" s="203" t="s">
        <v>55</v>
      </c>
      <c r="S995" s="201">
        <f t="shared" si="126"/>
        <v>6.2695924764910593E-4</v>
      </c>
    </row>
    <row r="996" spans="1:19">
      <c r="A996" s="196">
        <v>41414</v>
      </c>
      <c r="B996" s="122">
        <v>15.71</v>
      </c>
      <c r="C996" s="122">
        <v>16.200001</v>
      </c>
      <c r="D996" s="122">
        <v>15.71</v>
      </c>
      <c r="E996" s="122">
        <v>16.120000999999998</v>
      </c>
      <c r="F996" s="122">
        <v>12.11928</v>
      </c>
      <c r="G996" s="197">
        <v>154800</v>
      </c>
      <c r="H996" s="198">
        <f>IF(AND(E995&gt;=H995,E996&gt;=E995),E995*(1+'Trading Model'!$E$13),IF(AND(E996&lt;E995,E995&gt;=H995),E996*(1+'Trading Model'!$E$13),H995))</f>
        <v>27.698998950000004</v>
      </c>
      <c r="I996" s="198">
        <f>IF(K996&gt;0,E996*(1-'Trading Model'!E1006),IF(E996&lt;I995,I995*(1-'Trading Model'!$E$14),I995))</f>
        <v>8.9840153609188427</v>
      </c>
      <c r="J996" s="198">
        <f t="shared" si="127"/>
        <v>0</v>
      </c>
      <c r="K996" s="198">
        <f t="shared" si="122"/>
        <v>0</v>
      </c>
      <c r="L996" s="198">
        <f>COUNTIF(J996:K996,"&lt;&gt;0")*-'Trading Model'!$E$15</f>
        <v>0</v>
      </c>
      <c r="M996" s="198">
        <f t="shared" si="120"/>
        <v>0</v>
      </c>
      <c r="N996" s="75">
        <f t="shared" si="123"/>
        <v>45</v>
      </c>
      <c r="O996" s="202">
        <f t="shared" si="124"/>
        <v>0</v>
      </c>
      <c r="P996" s="199">
        <f t="shared" si="121"/>
        <v>0</v>
      </c>
      <c r="Q996" s="203">
        <f t="shared" si="125"/>
        <v>51.000000000001862</v>
      </c>
      <c r="R996" s="203" t="s">
        <v>55</v>
      </c>
      <c r="S996" s="201">
        <f t="shared" si="126"/>
        <v>1.0025125313283034E-2</v>
      </c>
    </row>
    <row r="997" spans="1:19">
      <c r="A997" s="196">
        <v>41415</v>
      </c>
      <c r="B997" s="122">
        <v>16.16</v>
      </c>
      <c r="C997" s="122">
        <v>16.239999999999998</v>
      </c>
      <c r="D997" s="122">
        <v>15.95</v>
      </c>
      <c r="E997" s="122">
        <v>16.09</v>
      </c>
      <c r="F997" s="122">
        <v>12.096724999999999</v>
      </c>
      <c r="G997" s="197">
        <v>132000</v>
      </c>
      <c r="H997" s="198">
        <f>IF(AND(E996&gt;=H996,E997&gt;=E996),E996*(1+'Trading Model'!$E$13),IF(AND(E997&lt;E996,E996&gt;=H996),E997*(1+'Trading Model'!$E$13),H996))</f>
        <v>27.698998950000004</v>
      </c>
      <c r="I997" s="198">
        <f>IF(K997&gt;0,E997*(1-'Trading Model'!E1007),IF(E997&lt;I996,I996*(1-'Trading Model'!$E$14),I996))</f>
        <v>8.9840153609188427</v>
      </c>
      <c r="J997" s="198">
        <f t="shared" si="127"/>
        <v>0</v>
      </c>
      <c r="K997" s="198">
        <f t="shared" si="122"/>
        <v>0</v>
      </c>
      <c r="L997" s="198">
        <f>COUNTIF(J997:K997,"&lt;&gt;0")*-'Trading Model'!$E$15</f>
        <v>0</v>
      </c>
      <c r="M997" s="198">
        <f t="shared" si="120"/>
        <v>0</v>
      </c>
      <c r="N997" s="75">
        <f t="shared" si="123"/>
        <v>45</v>
      </c>
      <c r="O997" s="202">
        <f t="shared" si="124"/>
        <v>0</v>
      </c>
      <c r="P997" s="199">
        <f t="shared" si="121"/>
        <v>0</v>
      </c>
      <c r="Q997" s="203">
        <f t="shared" si="125"/>
        <v>50.90000000000186</v>
      </c>
      <c r="R997" s="201">
        <f>E997/B993-1</f>
        <v>2.4840764331210297E-2</v>
      </c>
      <c r="S997" s="201">
        <f t="shared" si="126"/>
        <v>-1.8611041029090725E-3</v>
      </c>
    </row>
    <row r="998" spans="1:19">
      <c r="A998" s="196">
        <v>41416</v>
      </c>
      <c r="B998" s="122">
        <v>16.040001</v>
      </c>
      <c r="C998" s="122">
        <v>16.239999999999998</v>
      </c>
      <c r="D998" s="122">
        <v>15.74</v>
      </c>
      <c r="E998" s="122">
        <v>15.92</v>
      </c>
      <c r="F998" s="122">
        <v>11.968916999999999</v>
      </c>
      <c r="G998" s="197">
        <v>226300</v>
      </c>
      <c r="H998" s="198">
        <f>IF(AND(E997&gt;=H997,E998&gt;=E997),E997*(1+'Trading Model'!$E$13),IF(AND(E998&lt;E997,E997&gt;=H997),E998*(1+'Trading Model'!$E$13),H997))</f>
        <v>27.698998950000004</v>
      </c>
      <c r="I998" s="198">
        <f>IF(K998&gt;0,E998*(1-'Trading Model'!E1008),IF(E998&lt;I997,I997*(1-'Trading Model'!$E$14),I997))</f>
        <v>8.9840153609188427</v>
      </c>
      <c r="J998" s="198">
        <f t="shared" si="127"/>
        <v>0</v>
      </c>
      <c r="K998" s="198">
        <f t="shared" si="122"/>
        <v>0</v>
      </c>
      <c r="L998" s="198">
        <f>COUNTIF(J998:K998,"&lt;&gt;0")*-'Trading Model'!$E$15</f>
        <v>0</v>
      </c>
      <c r="M998" s="198">
        <f t="shared" si="120"/>
        <v>0</v>
      </c>
      <c r="N998" s="75">
        <f t="shared" si="123"/>
        <v>45</v>
      </c>
      <c r="O998" s="202">
        <f t="shared" si="124"/>
        <v>0</v>
      </c>
      <c r="P998" s="199">
        <f t="shared" si="121"/>
        <v>0</v>
      </c>
      <c r="Q998" s="203">
        <f t="shared" si="125"/>
        <v>50.800000000001859</v>
      </c>
      <c r="R998" s="160" t="s">
        <v>55</v>
      </c>
      <c r="S998" s="201">
        <f t="shared" si="126"/>
        <v>-1.0565568676196402E-2</v>
      </c>
    </row>
    <row r="999" spans="1:19">
      <c r="A999" s="196">
        <v>41417</v>
      </c>
      <c r="B999" s="122">
        <v>15.83</v>
      </c>
      <c r="C999" s="122">
        <v>15.91</v>
      </c>
      <c r="D999" s="122">
        <v>15.65</v>
      </c>
      <c r="E999" s="122">
        <v>15.8</v>
      </c>
      <c r="F999" s="122">
        <v>11.878698999999999</v>
      </c>
      <c r="G999" s="197">
        <v>124100</v>
      </c>
      <c r="H999" s="198">
        <f>IF(AND(E998&gt;=H998,E999&gt;=E998),E998*(1+'Trading Model'!$E$13),IF(AND(E999&lt;E998,E998&gt;=H998),E999*(1+'Trading Model'!$E$13),H998))</f>
        <v>27.698998950000004</v>
      </c>
      <c r="I999" s="198">
        <f>IF(K999&gt;0,E999*(1-'Trading Model'!E1009),IF(E999&lt;I998,I998*(1-'Trading Model'!$E$14),I998))</f>
        <v>8.9840153609188427</v>
      </c>
      <c r="J999" s="198">
        <f t="shared" si="127"/>
        <v>0</v>
      </c>
      <c r="K999" s="198">
        <f t="shared" si="122"/>
        <v>0</v>
      </c>
      <c r="L999" s="198">
        <f>COUNTIF(J999:K999,"&lt;&gt;0")*-'Trading Model'!$E$15</f>
        <v>0</v>
      </c>
      <c r="M999" s="198">
        <f t="shared" si="120"/>
        <v>0</v>
      </c>
      <c r="N999" s="75">
        <f t="shared" si="123"/>
        <v>45</v>
      </c>
      <c r="O999" s="202">
        <f t="shared" si="124"/>
        <v>0</v>
      </c>
      <c r="P999" s="199">
        <f t="shared" si="121"/>
        <v>0</v>
      </c>
      <c r="Q999" s="203">
        <f t="shared" si="125"/>
        <v>50.700000000001857</v>
      </c>
      <c r="R999" s="203" t="s">
        <v>55</v>
      </c>
      <c r="S999" s="201">
        <f t="shared" si="126"/>
        <v>-7.5376884422110324E-3</v>
      </c>
    </row>
    <row r="1000" spans="1:19">
      <c r="A1000" s="196">
        <v>41418</v>
      </c>
      <c r="B1000" s="122">
        <v>15.84</v>
      </c>
      <c r="C1000" s="122">
        <v>15.88</v>
      </c>
      <c r="D1000" s="122">
        <v>15.46</v>
      </c>
      <c r="E1000" s="122">
        <v>15.69</v>
      </c>
      <c r="F1000" s="122">
        <v>11.795999</v>
      </c>
      <c r="G1000" s="197">
        <v>71100</v>
      </c>
      <c r="H1000" s="198">
        <f>IF(AND(E999&gt;=H999,E1000&gt;=E999),E999*(1+'Trading Model'!$E$13),IF(AND(E1000&lt;E999,E999&gt;=H999),E1000*(1+'Trading Model'!$E$13),H999))</f>
        <v>27.698998950000004</v>
      </c>
      <c r="I1000" s="198">
        <f>IF(K1000&gt;0,E1000*(1-'Trading Model'!E1010),IF(E1000&lt;I999,I999*(1-'Trading Model'!$E$14),I999))</f>
        <v>8.9840153609188427</v>
      </c>
      <c r="J1000" s="198">
        <f t="shared" si="127"/>
        <v>0</v>
      </c>
      <c r="K1000" s="198">
        <f t="shared" si="122"/>
        <v>0</v>
      </c>
      <c r="L1000" s="198">
        <f>COUNTIF(J1000:K1000,"&lt;&gt;0")*-'Trading Model'!$E$15</f>
        <v>0</v>
      </c>
      <c r="M1000" s="198">
        <f t="shared" si="120"/>
        <v>0</v>
      </c>
      <c r="N1000" s="75">
        <f t="shared" si="123"/>
        <v>45</v>
      </c>
      <c r="O1000" s="202">
        <f t="shared" si="124"/>
        <v>0</v>
      </c>
      <c r="P1000" s="199">
        <f t="shared" si="121"/>
        <v>0</v>
      </c>
      <c r="Q1000" s="203">
        <f t="shared" si="125"/>
        <v>50.600000000001856</v>
      </c>
      <c r="R1000" s="203" t="s">
        <v>55</v>
      </c>
      <c r="S1000" s="201">
        <f t="shared" si="126"/>
        <v>-6.9620253164557333E-3</v>
      </c>
    </row>
    <row r="1001" spans="1:19">
      <c r="A1001" s="196">
        <v>41422</v>
      </c>
      <c r="B1001" s="122">
        <v>15.7</v>
      </c>
      <c r="C1001" s="122">
        <v>15.91</v>
      </c>
      <c r="D1001" s="122">
        <v>15.53</v>
      </c>
      <c r="E1001" s="122">
        <v>15.54</v>
      </c>
      <c r="F1001" s="122">
        <v>11.683227</v>
      </c>
      <c r="G1001" s="197">
        <v>130000</v>
      </c>
      <c r="H1001" s="198">
        <f>IF(AND(E1000&gt;=H1000,E1001&gt;=E1000),E1000*(1+'Trading Model'!$E$13),IF(AND(E1001&lt;E1000,E1000&gt;=H1000),E1001*(1+'Trading Model'!$E$13),H1000))</f>
        <v>27.698998950000004</v>
      </c>
      <c r="I1001" s="198">
        <f>IF(K1001&gt;0,E1001*(1-'Trading Model'!E1011),IF(E1001&lt;I1000,I1000*(1-'Trading Model'!$E$14),I1000))</f>
        <v>8.9840153609188427</v>
      </c>
      <c r="J1001" s="198">
        <f t="shared" si="127"/>
        <v>0</v>
      </c>
      <c r="K1001" s="198">
        <f t="shared" si="122"/>
        <v>0</v>
      </c>
      <c r="L1001" s="198">
        <f>COUNTIF(J1001:K1001,"&lt;&gt;0")*-'Trading Model'!$E$15</f>
        <v>0</v>
      </c>
      <c r="M1001" s="198">
        <f t="shared" si="120"/>
        <v>0</v>
      </c>
      <c r="N1001" s="75">
        <f t="shared" si="123"/>
        <v>45</v>
      </c>
      <c r="O1001" s="202">
        <f t="shared" si="124"/>
        <v>0</v>
      </c>
      <c r="P1001" s="199">
        <f t="shared" si="121"/>
        <v>0</v>
      </c>
      <c r="Q1001" s="203">
        <f t="shared" si="125"/>
        <v>50.500000000001855</v>
      </c>
      <c r="R1001" s="203" t="s">
        <v>55</v>
      </c>
      <c r="S1001" s="201">
        <f t="shared" si="126"/>
        <v>-9.5602294455067183E-3</v>
      </c>
    </row>
    <row r="1002" spans="1:19">
      <c r="A1002" s="196">
        <v>41423</v>
      </c>
      <c r="B1002" s="122">
        <v>15.35</v>
      </c>
      <c r="C1002" s="122">
        <v>15.99</v>
      </c>
      <c r="D1002" s="122">
        <v>15.35</v>
      </c>
      <c r="E1002" s="122">
        <v>15.66</v>
      </c>
      <c r="F1002" s="122">
        <v>11.773444</v>
      </c>
      <c r="G1002" s="197">
        <v>100500</v>
      </c>
      <c r="H1002" s="198">
        <f>IF(AND(E1001&gt;=H1001,E1002&gt;=E1001),E1001*(1+'Trading Model'!$E$13),IF(AND(E1002&lt;E1001,E1001&gt;=H1001),E1002*(1+'Trading Model'!$E$13),H1001))</f>
        <v>27.698998950000004</v>
      </c>
      <c r="I1002" s="198">
        <f>IF(K1002&gt;0,E1002*(1-'Trading Model'!E1012),IF(E1002&lt;I1001,I1001*(1-'Trading Model'!$E$14),I1001))</f>
        <v>8.9840153609188427</v>
      </c>
      <c r="J1002" s="198">
        <f t="shared" si="127"/>
        <v>0</v>
      </c>
      <c r="K1002" s="198">
        <f t="shared" si="122"/>
        <v>0</v>
      </c>
      <c r="L1002" s="198">
        <f>COUNTIF(J1002:K1002,"&lt;&gt;0")*-'Trading Model'!$E$15</f>
        <v>0</v>
      </c>
      <c r="M1002" s="198">
        <f t="shared" si="120"/>
        <v>0</v>
      </c>
      <c r="N1002" s="75">
        <f t="shared" si="123"/>
        <v>45</v>
      </c>
      <c r="O1002" s="202">
        <f t="shared" si="124"/>
        <v>0</v>
      </c>
      <c r="P1002" s="199">
        <f t="shared" si="121"/>
        <v>0</v>
      </c>
      <c r="Q1002" s="203">
        <f t="shared" si="125"/>
        <v>50.500000000001855</v>
      </c>
      <c r="R1002" s="201">
        <f>E1002/B998-1</f>
        <v>-2.3690833934486677E-2</v>
      </c>
      <c r="S1002" s="201">
        <f t="shared" si="126"/>
        <v>7.7220077220077066E-3</v>
      </c>
    </row>
    <row r="1003" spans="1:19">
      <c r="A1003" s="196">
        <v>41424</v>
      </c>
      <c r="B1003" s="122">
        <v>15.7</v>
      </c>
      <c r="C1003" s="122">
        <v>15.86</v>
      </c>
      <c r="D1003" s="122">
        <v>15.49</v>
      </c>
      <c r="E1003" s="122">
        <v>15.49</v>
      </c>
      <c r="F1003" s="122">
        <v>11.645635</v>
      </c>
      <c r="G1003" s="197">
        <v>129700</v>
      </c>
      <c r="H1003" s="198">
        <f>IF(AND(E1002&gt;=H1002,E1003&gt;=E1002),E1002*(1+'Trading Model'!$E$13),IF(AND(E1003&lt;E1002,E1002&gt;=H1002),E1003*(1+'Trading Model'!$E$13),H1002))</f>
        <v>27.698998950000004</v>
      </c>
      <c r="I1003" s="198">
        <f>IF(K1003&gt;0,E1003*(1-'Trading Model'!E1013),IF(E1003&lt;I1002,I1002*(1-'Trading Model'!$E$14),I1002))</f>
        <v>8.9840153609188427</v>
      </c>
      <c r="J1003" s="198">
        <f t="shared" si="127"/>
        <v>0</v>
      </c>
      <c r="K1003" s="198">
        <f t="shared" si="122"/>
        <v>0</v>
      </c>
      <c r="L1003" s="198">
        <f>COUNTIF(J1003:K1003,"&lt;&gt;0")*-'Trading Model'!$E$15</f>
        <v>0</v>
      </c>
      <c r="M1003" s="198">
        <f t="shared" si="120"/>
        <v>0</v>
      </c>
      <c r="N1003" s="75">
        <f t="shared" si="123"/>
        <v>45</v>
      </c>
      <c r="O1003" s="202">
        <f t="shared" si="124"/>
        <v>0</v>
      </c>
      <c r="P1003" s="199">
        <f t="shared" si="121"/>
        <v>0</v>
      </c>
      <c r="Q1003" s="203">
        <f t="shared" si="125"/>
        <v>50.400000000001853</v>
      </c>
      <c r="R1003" s="160" t="s">
        <v>55</v>
      </c>
      <c r="S1003" s="201">
        <f t="shared" si="126"/>
        <v>-1.0855683269476391E-2</v>
      </c>
    </row>
    <row r="1004" spans="1:19">
      <c r="A1004" s="196">
        <v>41425</v>
      </c>
      <c r="B1004" s="122">
        <v>15.06</v>
      </c>
      <c r="C1004" s="122">
        <v>15.36</v>
      </c>
      <c r="D1004" s="122">
        <v>14.82</v>
      </c>
      <c r="E1004" s="122">
        <v>15.16</v>
      </c>
      <c r="F1004" s="122">
        <v>11.397535</v>
      </c>
      <c r="G1004" s="197">
        <v>313200</v>
      </c>
      <c r="H1004" s="198">
        <f>IF(AND(E1003&gt;=H1003,E1004&gt;=E1003),E1003*(1+'Trading Model'!$E$13),IF(AND(E1004&lt;E1003,E1003&gt;=H1003),E1004*(1+'Trading Model'!$E$13),H1003))</f>
        <v>27.698998950000004</v>
      </c>
      <c r="I1004" s="198">
        <f>IF(K1004&gt;0,E1004*(1-'Trading Model'!E1014),IF(E1004&lt;I1003,I1003*(1-'Trading Model'!$E$14),I1003))</f>
        <v>8.9840153609188427</v>
      </c>
      <c r="J1004" s="198">
        <f t="shared" si="127"/>
        <v>0</v>
      </c>
      <c r="K1004" s="198">
        <f t="shared" si="122"/>
        <v>0</v>
      </c>
      <c r="L1004" s="198">
        <f>COUNTIF(J1004:K1004,"&lt;&gt;0")*-'Trading Model'!$E$15</f>
        <v>0</v>
      </c>
      <c r="M1004" s="198">
        <f t="shared" si="120"/>
        <v>0</v>
      </c>
      <c r="N1004" s="75">
        <f t="shared" si="123"/>
        <v>45</v>
      </c>
      <c r="O1004" s="202">
        <f t="shared" si="124"/>
        <v>0</v>
      </c>
      <c r="P1004" s="199">
        <f t="shared" si="121"/>
        <v>0</v>
      </c>
      <c r="Q1004" s="203">
        <f t="shared" si="125"/>
        <v>50.300000000001852</v>
      </c>
      <c r="R1004" s="203" t="s">
        <v>55</v>
      </c>
      <c r="S1004" s="201">
        <f t="shared" si="126"/>
        <v>-2.1304067140090366E-2</v>
      </c>
    </row>
    <row r="1005" spans="1:19">
      <c r="A1005" s="196">
        <v>41428</v>
      </c>
      <c r="B1005" s="122">
        <v>15.19</v>
      </c>
      <c r="C1005" s="122">
        <v>15.53</v>
      </c>
      <c r="D1005" s="122">
        <v>15.02</v>
      </c>
      <c r="E1005" s="122">
        <v>15.44</v>
      </c>
      <c r="F1005" s="122">
        <v>11.608044</v>
      </c>
      <c r="G1005" s="197">
        <v>86400</v>
      </c>
      <c r="H1005" s="198">
        <f>IF(AND(E1004&gt;=H1004,E1005&gt;=E1004),E1004*(1+'Trading Model'!$E$13),IF(AND(E1005&lt;E1004,E1004&gt;=H1004),E1005*(1+'Trading Model'!$E$13),H1004))</f>
        <v>27.698998950000004</v>
      </c>
      <c r="I1005" s="198">
        <f>IF(K1005&gt;0,E1005*(1-'Trading Model'!E1015),IF(E1005&lt;I1004,I1004*(1-'Trading Model'!$E$14),I1004))</f>
        <v>8.9840153609188427</v>
      </c>
      <c r="J1005" s="198">
        <f t="shared" si="127"/>
        <v>0</v>
      </c>
      <c r="K1005" s="198">
        <f t="shared" si="122"/>
        <v>0</v>
      </c>
      <c r="L1005" s="198">
        <f>COUNTIF(J1005:K1005,"&lt;&gt;0")*-'Trading Model'!$E$15</f>
        <v>0</v>
      </c>
      <c r="M1005" s="198">
        <f t="shared" si="120"/>
        <v>0</v>
      </c>
      <c r="N1005" s="75">
        <f t="shared" si="123"/>
        <v>45</v>
      </c>
      <c r="O1005" s="202">
        <f t="shared" si="124"/>
        <v>0</v>
      </c>
      <c r="P1005" s="199">
        <f t="shared" si="121"/>
        <v>0</v>
      </c>
      <c r="Q1005" s="203">
        <f t="shared" si="125"/>
        <v>50.300000000001852</v>
      </c>
      <c r="R1005" s="203" t="s">
        <v>55</v>
      </c>
      <c r="S1005" s="201">
        <f t="shared" si="126"/>
        <v>1.846965699208436E-2</v>
      </c>
    </row>
    <row r="1006" spans="1:19">
      <c r="A1006" s="196">
        <v>41429</v>
      </c>
      <c r="B1006" s="122">
        <v>15.39</v>
      </c>
      <c r="C1006" s="122">
        <v>15.79</v>
      </c>
      <c r="D1006" s="122">
        <v>15.22</v>
      </c>
      <c r="E1006" s="122">
        <v>15.75</v>
      </c>
      <c r="F1006" s="122">
        <v>11.841106999999999</v>
      </c>
      <c r="G1006" s="197">
        <v>222300</v>
      </c>
      <c r="H1006" s="198">
        <f>IF(AND(E1005&gt;=H1005,E1006&gt;=E1005),E1005*(1+'Trading Model'!$E$13),IF(AND(E1006&lt;E1005,E1005&gt;=H1005),E1006*(1+'Trading Model'!$E$13),H1005))</f>
        <v>27.698998950000004</v>
      </c>
      <c r="I1006" s="198">
        <f>IF(K1006&gt;0,E1006*(1-'Trading Model'!E1016),IF(E1006&lt;I1005,I1005*(1-'Trading Model'!$E$14),I1005))</f>
        <v>8.9840153609188427</v>
      </c>
      <c r="J1006" s="198">
        <f t="shared" si="127"/>
        <v>0</v>
      </c>
      <c r="K1006" s="198">
        <f t="shared" si="122"/>
        <v>0</v>
      </c>
      <c r="L1006" s="198">
        <f>COUNTIF(J1006:K1006,"&lt;&gt;0")*-'Trading Model'!$E$15</f>
        <v>0</v>
      </c>
      <c r="M1006" s="198">
        <f t="shared" si="120"/>
        <v>0</v>
      </c>
      <c r="N1006" s="75">
        <f t="shared" si="123"/>
        <v>45</v>
      </c>
      <c r="O1006" s="202">
        <f t="shared" si="124"/>
        <v>0</v>
      </c>
      <c r="P1006" s="199">
        <f t="shared" si="121"/>
        <v>0</v>
      </c>
      <c r="Q1006" s="203">
        <f t="shared" si="125"/>
        <v>50.300000000001852</v>
      </c>
      <c r="R1006" s="203" t="s">
        <v>55</v>
      </c>
      <c r="S1006" s="201">
        <f t="shared" si="126"/>
        <v>2.0077720207253957E-2</v>
      </c>
    </row>
    <row r="1007" spans="1:19">
      <c r="A1007" s="196">
        <v>41430</v>
      </c>
      <c r="B1007" s="122">
        <v>15.8</v>
      </c>
      <c r="C1007" s="122">
        <v>15.8</v>
      </c>
      <c r="D1007" s="122">
        <v>15.43</v>
      </c>
      <c r="E1007" s="122">
        <v>15.67</v>
      </c>
      <c r="F1007" s="122">
        <v>11.780963</v>
      </c>
      <c r="G1007" s="197">
        <v>151900</v>
      </c>
      <c r="H1007" s="198">
        <f>IF(AND(E1006&gt;=H1006,E1007&gt;=E1006),E1006*(1+'Trading Model'!$E$13),IF(AND(E1007&lt;E1006,E1006&gt;=H1006),E1007*(1+'Trading Model'!$E$13),H1006))</f>
        <v>27.698998950000004</v>
      </c>
      <c r="I1007" s="198">
        <f>IF(K1007&gt;0,E1007*(1-'Trading Model'!E1017),IF(E1007&lt;I1006,I1006*(1-'Trading Model'!$E$14),I1006))</f>
        <v>8.9840153609188427</v>
      </c>
      <c r="J1007" s="198">
        <f t="shared" si="127"/>
        <v>0</v>
      </c>
      <c r="K1007" s="198">
        <f t="shared" si="122"/>
        <v>0</v>
      </c>
      <c r="L1007" s="198">
        <f>COUNTIF(J1007:K1007,"&lt;&gt;0")*-'Trading Model'!$E$15</f>
        <v>0</v>
      </c>
      <c r="M1007" s="198">
        <f t="shared" si="120"/>
        <v>0</v>
      </c>
      <c r="N1007" s="75">
        <f t="shared" si="123"/>
        <v>45</v>
      </c>
      <c r="O1007" s="202">
        <f t="shared" si="124"/>
        <v>0</v>
      </c>
      <c r="P1007" s="199">
        <f t="shared" si="121"/>
        <v>0</v>
      </c>
      <c r="Q1007" s="203">
        <f t="shared" si="125"/>
        <v>50.20000000000185</v>
      </c>
      <c r="R1007" s="201">
        <f>E1007/B1003-1</f>
        <v>-1.9108280254777066E-3</v>
      </c>
      <c r="S1007" s="201">
        <f t="shared" si="126"/>
        <v>-5.0793650793651279E-3</v>
      </c>
    </row>
    <row r="1008" spans="1:19">
      <c r="A1008" s="196">
        <v>41431</v>
      </c>
      <c r="B1008" s="122">
        <v>15.61</v>
      </c>
      <c r="C1008" s="122">
        <v>15.61</v>
      </c>
      <c r="D1008" s="122">
        <v>15.13</v>
      </c>
      <c r="E1008" s="122">
        <v>15.38</v>
      </c>
      <c r="F1008" s="122">
        <v>11.562936000000001</v>
      </c>
      <c r="G1008" s="197">
        <v>114300</v>
      </c>
      <c r="H1008" s="198">
        <f>IF(AND(E1007&gt;=H1007,E1008&gt;=E1007),E1007*(1+'Trading Model'!$E$13),IF(AND(E1008&lt;E1007,E1007&gt;=H1007),E1008*(1+'Trading Model'!$E$13),H1007))</f>
        <v>27.698998950000004</v>
      </c>
      <c r="I1008" s="198">
        <f>IF(K1008&gt;0,E1008*(1-'Trading Model'!E1018),IF(E1008&lt;I1007,I1007*(1-'Trading Model'!$E$14),I1007))</f>
        <v>8.9840153609188427</v>
      </c>
      <c r="J1008" s="198">
        <f t="shared" si="127"/>
        <v>0</v>
      </c>
      <c r="K1008" s="198">
        <f t="shared" si="122"/>
        <v>0</v>
      </c>
      <c r="L1008" s="198">
        <f>COUNTIF(J1008:K1008,"&lt;&gt;0")*-'Trading Model'!$E$15</f>
        <v>0</v>
      </c>
      <c r="M1008" s="198">
        <f t="shared" si="120"/>
        <v>0</v>
      </c>
      <c r="N1008" s="75">
        <f t="shared" si="123"/>
        <v>45</v>
      </c>
      <c r="O1008" s="202">
        <f t="shared" si="124"/>
        <v>0</v>
      </c>
      <c r="P1008" s="199">
        <f t="shared" si="121"/>
        <v>0</v>
      </c>
      <c r="Q1008" s="203">
        <f t="shared" si="125"/>
        <v>50.100000000001849</v>
      </c>
      <c r="R1008" s="160" t="s">
        <v>55</v>
      </c>
      <c r="S1008" s="201">
        <f t="shared" si="126"/>
        <v>-1.850670070197824E-2</v>
      </c>
    </row>
    <row r="1009" spans="1:19">
      <c r="A1009" s="196">
        <v>41432</v>
      </c>
      <c r="B1009" s="122">
        <v>15.33</v>
      </c>
      <c r="C1009" s="122">
        <v>15.96</v>
      </c>
      <c r="D1009" s="122">
        <v>15.18</v>
      </c>
      <c r="E1009" s="122">
        <v>15.89</v>
      </c>
      <c r="F1009" s="122">
        <v>11.946363</v>
      </c>
      <c r="G1009" s="197">
        <v>121700</v>
      </c>
      <c r="H1009" s="198">
        <f>IF(AND(E1008&gt;=H1008,E1009&gt;=E1008),E1008*(1+'Trading Model'!$E$13),IF(AND(E1009&lt;E1008,E1008&gt;=H1008),E1009*(1+'Trading Model'!$E$13),H1008))</f>
        <v>27.698998950000004</v>
      </c>
      <c r="I1009" s="198">
        <f>IF(K1009&gt;0,E1009*(1-'Trading Model'!E1019),IF(E1009&lt;I1008,I1008*(1-'Trading Model'!$E$14),I1008))</f>
        <v>8.9840153609188427</v>
      </c>
      <c r="J1009" s="198">
        <f t="shared" si="127"/>
        <v>0</v>
      </c>
      <c r="K1009" s="198">
        <f t="shared" si="122"/>
        <v>0</v>
      </c>
      <c r="L1009" s="198">
        <f>COUNTIF(J1009:K1009,"&lt;&gt;0")*-'Trading Model'!$E$15</f>
        <v>0</v>
      </c>
      <c r="M1009" s="198">
        <f t="shared" si="120"/>
        <v>0</v>
      </c>
      <c r="N1009" s="75">
        <f t="shared" si="123"/>
        <v>45</v>
      </c>
      <c r="O1009" s="202">
        <f t="shared" si="124"/>
        <v>0</v>
      </c>
      <c r="P1009" s="199">
        <f t="shared" si="121"/>
        <v>0</v>
      </c>
      <c r="Q1009" s="203">
        <f t="shared" si="125"/>
        <v>50.100000000001849</v>
      </c>
      <c r="R1009" s="203" t="s">
        <v>55</v>
      </c>
      <c r="S1009" s="201">
        <f t="shared" si="126"/>
        <v>3.3159947984395366E-2</v>
      </c>
    </row>
    <row r="1010" spans="1:19">
      <c r="A1010" s="196">
        <v>41435</v>
      </c>
      <c r="B1010" s="122">
        <v>15.95</v>
      </c>
      <c r="C1010" s="122">
        <v>16.079999999999998</v>
      </c>
      <c r="D1010" s="122">
        <v>15.55</v>
      </c>
      <c r="E1010" s="122">
        <v>16.079999999999998</v>
      </c>
      <c r="F1010" s="122">
        <v>12.089209</v>
      </c>
      <c r="G1010" s="197">
        <v>125000</v>
      </c>
      <c r="H1010" s="198">
        <f>IF(AND(E1009&gt;=H1009,E1010&gt;=E1009),E1009*(1+'Trading Model'!$E$13),IF(AND(E1010&lt;E1009,E1009&gt;=H1009),E1010*(1+'Trading Model'!$E$13),H1009))</f>
        <v>27.698998950000004</v>
      </c>
      <c r="I1010" s="198">
        <f>IF(K1010&gt;0,E1010*(1-'Trading Model'!E1020),IF(E1010&lt;I1009,I1009*(1-'Trading Model'!$E$14),I1009))</f>
        <v>8.9840153609188427</v>
      </c>
      <c r="J1010" s="198">
        <f t="shared" si="127"/>
        <v>0</v>
      </c>
      <c r="K1010" s="198">
        <f t="shared" si="122"/>
        <v>0</v>
      </c>
      <c r="L1010" s="198">
        <f>COUNTIF(J1010:K1010,"&lt;&gt;0")*-'Trading Model'!$E$15</f>
        <v>0</v>
      </c>
      <c r="M1010" s="198">
        <f t="shared" si="120"/>
        <v>0</v>
      </c>
      <c r="N1010" s="75">
        <f t="shared" si="123"/>
        <v>45</v>
      </c>
      <c r="O1010" s="202">
        <f t="shared" si="124"/>
        <v>0</v>
      </c>
      <c r="P1010" s="199">
        <f t="shared" si="121"/>
        <v>0</v>
      </c>
      <c r="Q1010" s="203">
        <f t="shared" si="125"/>
        <v>50.100000000001849</v>
      </c>
      <c r="R1010" s="203" t="s">
        <v>55</v>
      </c>
      <c r="S1010" s="201">
        <f t="shared" si="126"/>
        <v>1.1957205789804748E-2</v>
      </c>
    </row>
    <row r="1011" spans="1:19">
      <c r="A1011" s="196">
        <v>41436</v>
      </c>
      <c r="B1011" s="122">
        <v>15.85</v>
      </c>
      <c r="C1011" s="122">
        <v>15.98</v>
      </c>
      <c r="D1011" s="122">
        <v>15.62</v>
      </c>
      <c r="E1011" s="122">
        <v>15.73</v>
      </c>
      <c r="F1011" s="122">
        <v>11.826072999999999</v>
      </c>
      <c r="G1011" s="197">
        <v>117400</v>
      </c>
      <c r="H1011" s="198">
        <f>IF(AND(E1010&gt;=H1010,E1011&gt;=E1010),E1010*(1+'Trading Model'!$E$13),IF(AND(E1011&lt;E1010,E1010&gt;=H1010),E1011*(1+'Trading Model'!$E$13),H1010))</f>
        <v>27.698998950000004</v>
      </c>
      <c r="I1011" s="198">
        <f>IF(K1011&gt;0,E1011*(1-'Trading Model'!E1021),IF(E1011&lt;I1010,I1010*(1-'Trading Model'!$E$14),I1010))</f>
        <v>8.9840153609188427</v>
      </c>
      <c r="J1011" s="198">
        <f t="shared" si="127"/>
        <v>0</v>
      </c>
      <c r="K1011" s="198">
        <f t="shared" si="122"/>
        <v>0</v>
      </c>
      <c r="L1011" s="198">
        <f>COUNTIF(J1011:K1011,"&lt;&gt;0")*-'Trading Model'!$E$15</f>
        <v>0</v>
      </c>
      <c r="M1011" s="198">
        <f t="shared" si="120"/>
        <v>0</v>
      </c>
      <c r="N1011" s="75">
        <f t="shared" si="123"/>
        <v>45</v>
      </c>
      <c r="O1011" s="202">
        <f t="shared" si="124"/>
        <v>0</v>
      </c>
      <c r="P1011" s="199">
        <f t="shared" si="121"/>
        <v>0</v>
      </c>
      <c r="Q1011" s="203">
        <f t="shared" si="125"/>
        <v>50.000000000001847</v>
      </c>
      <c r="R1011" s="203" t="s">
        <v>55</v>
      </c>
      <c r="S1011" s="201">
        <f t="shared" si="126"/>
        <v>-2.1766169154228687E-2</v>
      </c>
    </row>
    <row r="1012" spans="1:19">
      <c r="A1012" s="196">
        <v>41437</v>
      </c>
      <c r="B1012" s="122">
        <v>15.8</v>
      </c>
      <c r="C1012" s="122">
        <v>15.86</v>
      </c>
      <c r="D1012" s="122">
        <v>15.3</v>
      </c>
      <c r="E1012" s="122">
        <v>15.42</v>
      </c>
      <c r="F1012" s="122">
        <v>11.593007999999999</v>
      </c>
      <c r="G1012" s="197">
        <v>106500</v>
      </c>
      <c r="H1012" s="198">
        <f>IF(AND(E1011&gt;=H1011,E1012&gt;=E1011),E1011*(1+'Trading Model'!$E$13),IF(AND(E1012&lt;E1011,E1011&gt;=H1011),E1012*(1+'Trading Model'!$E$13),H1011))</f>
        <v>27.698998950000004</v>
      </c>
      <c r="I1012" s="198">
        <f>IF(K1012&gt;0,E1012*(1-'Trading Model'!E1022),IF(E1012&lt;I1011,I1011*(1-'Trading Model'!$E$14),I1011))</f>
        <v>8.9840153609188427</v>
      </c>
      <c r="J1012" s="198">
        <f t="shared" si="127"/>
        <v>0</v>
      </c>
      <c r="K1012" s="198">
        <f t="shared" si="122"/>
        <v>0</v>
      </c>
      <c r="L1012" s="198">
        <f>COUNTIF(J1012:K1012,"&lt;&gt;0")*-'Trading Model'!$E$15</f>
        <v>0</v>
      </c>
      <c r="M1012" s="198">
        <f t="shared" si="120"/>
        <v>0</v>
      </c>
      <c r="N1012" s="75">
        <f t="shared" si="123"/>
        <v>45</v>
      </c>
      <c r="O1012" s="202">
        <f t="shared" si="124"/>
        <v>0</v>
      </c>
      <c r="P1012" s="199">
        <f t="shared" si="121"/>
        <v>0</v>
      </c>
      <c r="Q1012" s="203">
        <f t="shared" si="125"/>
        <v>49.900000000001846</v>
      </c>
      <c r="R1012" s="201">
        <f>E1012/B1008-1</f>
        <v>-1.2171684817424699E-2</v>
      </c>
      <c r="S1012" s="201">
        <f t="shared" si="126"/>
        <v>-1.9707565162110696E-2</v>
      </c>
    </row>
    <row r="1013" spans="1:19">
      <c r="A1013" s="196">
        <v>41438</v>
      </c>
      <c r="B1013" s="122">
        <v>15.41</v>
      </c>
      <c r="C1013" s="122">
        <v>15.79</v>
      </c>
      <c r="D1013" s="122">
        <v>15.11</v>
      </c>
      <c r="E1013" s="122">
        <v>15.42</v>
      </c>
      <c r="F1013" s="122">
        <v>11.593007999999999</v>
      </c>
      <c r="G1013" s="197">
        <v>287800</v>
      </c>
      <c r="H1013" s="198">
        <f>IF(AND(E1012&gt;=H1012,E1013&gt;=E1012),E1012*(1+'Trading Model'!$E$13),IF(AND(E1013&lt;E1012,E1012&gt;=H1012),E1013*(1+'Trading Model'!$E$13),H1012))</f>
        <v>27.698998950000004</v>
      </c>
      <c r="I1013" s="198">
        <f>IF(K1013&gt;0,E1013*(1-'Trading Model'!E1023),IF(E1013&lt;I1012,I1012*(1-'Trading Model'!$E$14),I1012))</f>
        <v>8.9840153609188427</v>
      </c>
      <c r="J1013" s="198">
        <f t="shared" si="127"/>
        <v>0</v>
      </c>
      <c r="K1013" s="198">
        <f t="shared" si="122"/>
        <v>0</v>
      </c>
      <c r="L1013" s="198">
        <f>COUNTIF(J1013:K1013,"&lt;&gt;0")*-'Trading Model'!$E$15</f>
        <v>0</v>
      </c>
      <c r="M1013" s="198">
        <f t="shared" si="120"/>
        <v>0</v>
      </c>
      <c r="N1013" s="75">
        <f t="shared" si="123"/>
        <v>45</v>
      </c>
      <c r="O1013" s="202">
        <f t="shared" si="124"/>
        <v>0</v>
      </c>
      <c r="P1013" s="199">
        <f t="shared" si="121"/>
        <v>0</v>
      </c>
      <c r="Q1013" s="203">
        <f t="shared" si="125"/>
        <v>49.900000000001846</v>
      </c>
      <c r="R1013" s="160" t="s">
        <v>55</v>
      </c>
      <c r="S1013" s="201">
        <f t="shared" si="126"/>
        <v>0</v>
      </c>
    </row>
    <row r="1014" spans="1:19">
      <c r="A1014" s="196">
        <v>41439</v>
      </c>
      <c r="B1014" s="122">
        <v>15.34</v>
      </c>
      <c r="C1014" s="122">
        <v>15.5</v>
      </c>
      <c r="D1014" s="122">
        <v>14.7</v>
      </c>
      <c r="E1014" s="122">
        <v>14.8</v>
      </c>
      <c r="F1014" s="122">
        <v>11.126882</v>
      </c>
      <c r="G1014" s="197">
        <v>254300</v>
      </c>
      <c r="H1014" s="198">
        <f>IF(AND(E1013&gt;=H1013,E1014&gt;=E1013),E1013*(1+'Trading Model'!$E$13),IF(AND(E1014&lt;E1013,E1013&gt;=H1013),E1014*(1+'Trading Model'!$E$13),H1013))</f>
        <v>27.698998950000004</v>
      </c>
      <c r="I1014" s="198">
        <f>IF(K1014&gt;0,E1014*(1-'Trading Model'!E1024),IF(E1014&lt;I1013,I1013*(1-'Trading Model'!$E$14),I1013))</f>
        <v>8.9840153609188427</v>
      </c>
      <c r="J1014" s="198">
        <f t="shared" si="127"/>
        <v>0</v>
      </c>
      <c r="K1014" s="198">
        <f t="shared" si="122"/>
        <v>0</v>
      </c>
      <c r="L1014" s="198">
        <f>COUNTIF(J1014:K1014,"&lt;&gt;0")*-'Trading Model'!$E$15</f>
        <v>0</v>
      </c>
      <c r="M1014" s="198">
        <f t="shared" si="120"/>
        <v>0</v>
      </c>
      <c r="N1014" s="75">
        <f t="shared" si="123"/>
        <v>45</v>
      </c>
      <c r="O1014" s="202">
        <f t="shared" si="124"/>
        <v>0</v>
      </c>
      <c r="P1014" s="199">
        <f t="shared" si="121"/>
        <v>0</v>
      </c>
      <c r="Q1014" s="203">
        <f t="shared" si="125"/>
        <v>49.800000000001845</v>
      </c>
      <c r="R1014" s="203" t="s">
        <v>55</v>
      </c>
      <c r="S1014" s="201">
        <f t="shared" si="126"/>
        <v>-4.020752269779504E-2</v>
      </c>
    </row>
    <row r="1015" spans="1:19">
      <c r="A1015" s="196">
        <v>41442</v>
      </c>
      <c r="B1015" s="122">
        <v>14.8</v>
      </c>
      <c r="C1015" s="122">
        <v>14.96</v>
      </c>
      <c r="D1015" s="122">
        <v>14.56</v>
      </c>
      <c r="E1015" s="122">
        <v>14.61</v>
      </c>
      <c r="F1015" s="122">
        <v>10.984038</v>
      </c>
      <c r="G1015" s="197">
        <v>218100</v>
      </c>
      <c r="H1015" s="198">
        <f>IF(AND(E1014&gt;=H1014,E1015&gt;=E1014),E1014*(1+'Trading Model'!$E$13),IF(AND(E1015&lt;E1014,E1014&gt;=H1014),E1015*(1+'Trading Model'!$E$13),H1014))</f>
        <v>27.698998950000004</v>
      </c>
      <c r="I1015" s="198">
        <f>IF(K1015&gt;0,E1015*(1-'Trading Model'!E1025),IF(E1015&lt;I1014,I1014*(1-'Trading Model'!$E$14),I1014))</f>
        <v>8.9840153609188427</v>
      </c>
      <c r="J1015" s="198">
        <f t="shared" si="127"/>
        <v>0</v>
      </c>
      <c r="K1015" s="198">
        <f t="shared" si="122"/>
        <v>0</v>
      </c>
      <c r="L1015" s="198">
        <f>COUNTIF(J1015:K1015,"&lt;&gt;0")*-'Trading Model'!$E$15</f>
        <v>0</v>
      </c>
      <c r="M1015" s="198">
        <f t="shared" si="120"/>
        <v>0</v>
      </c>
      <c r="N1015" s="75">
        <f t="shared" si="123"/>
        <v>45</v>
      </c>
      <c r="O1015" s="202">
        <f t="shared" si="124"/>
        <v>0</v>
      </c>
      <c r="P1015" s="199">
        <f t="shared" si="121"/>
        <v>0</v>
      </c>
      <c r="Q1015" s="203">
        <f t="shared" si="125"/>
        <v>49.700000000001843</v>
      </c>
      <c r="R1015" s="203" t="s">
        <v>55</v>
      </c>
      <c r="S1015" s="201">
        <f t="shared" si="126"/>
        <v>-1.2837837837837873E-2</v>
      </c>
    </row>
    <row r="1016" spans="1:19">
      <c r="A1016" s="196">
        <v>41443</v>
      </c>
      <c r="B1016" s="122">
        <v>14.57</v>
      </c>
      <c r="C1016" s="122">
        <v>14.72</v>
      </c>
      <c r="D1016" s="122">
        <v>14.32</v>
      </c>
      <c r="E1016" s="122">
        <v>14.45</v>
      </c>
      <c r="F1016" s="122">
        <v>10.863746000000001</v>
      </c>
      <c r="G1016" s="197">
        <v>230600</v>
      </c>
      <c r="H1016" s="198">
        <f>IF(AND(E1015&gt;=H1015,E1016&gt;=E1015),E1015*(1+'Trading Model'!$E$13),IF(AND(E1016&lt;E1015,E1015&gt;=H1015),E1016*(1+'Trading Model'!$E$13),H1015))</f>
        <v>27.698998950000004</v>
      </c>
      <c r="I1016" s="198">
        <f>IF(K1016&gt;0,E1016*(1-'Trading Model'!E1026),IF(E1016&lt;I1015,I1015*(1-'Trading Model'!$E$14),I1015))</f>
        <v>8.9840153609188427</v>
      </c>
      <c r="J1016" s="198">
        <f t="shared" si="127"/>
        <v>0</v>
      </c>
      <c r="K1016" s="198">
        <f t="shared" si="122"/>
        <v>0</v>
      </c>
      <c r="L1016" s="198">
        <f>COUNTIF(J1016:K1016,"&lt;&gt;0")*-'Trading Model'!$E$15</f>
        <v>0</v>
      </c>
      <c r="M1016" s="198">
        <f t="shared" si="120"/>
        <v>0</v>
      </c>
      <c r="N1016" s="75">
        <f t="shared" si="123"/>
        <v>45</v>
      </c>
      <c r="O1016" s="202">
        <f t="shared" si="124"/>
        <v>0</v>
      </c>
      <c r="P1016" s="199">
        <f t="shared" si="121"/>
        <v>0</v>
      </c>
      <c r="Q1016" s="203">
        <f t="shared" si="125"/>
        <v>49.600000000001842</v>
      </c>
      <c r="R1016" s="203" t="s">
        <v>55</v>
      </c>
      <c r="S1016" s="201">
        <f t="shared" si="126"/>
        <v>-1.0951403148528382E-2</v>
      </c>
    </row>
    <row r="1017" spans="1:19">
      <c r="A1017" s="196">
        <v>41444</v>
      </c>
      <c r="B1017" s="122">
        <v>14.45</v>
      </c>
      <c r="C1017" s="122">
        <v>14.57</v>
      </c>
      <c r="D1017" s="122">
        <v>14.16</v>
      </c>
      <c r="E1017" s="122">
        <v>14.26</v>
      </c>
      <c r="F1017" s="122">
        <v>10.720901</v>
      </c>
      <c r="G1017" s="197">
        <v>284300</v>
      </c>
      <c r="H1017" s="198">
        <f>IF(AND(E1016&gt;=H1016,E1017&gt;=E1016),E1016*(1+'Trading Model'!$E$13),IF(AND(E1017&lt;E1016,E1016&gt;=H1016),E1017*(1+'Trading Model'!$E$13),H1016))</f>
        <v>27.698998950000004</v>
      </c>
      <c r="I1017" s="198">
        <f>IF(K1017&gt;0,E1017*(1-'Trading Model'!E1027),IF(E1017&lt;I1016,I1016*(1-'Trading Model'!$E$14),I1016))</f>
        <v>8.9840153609188427</v>
      </c>
      <c r="J1017" s="198">
        <f t="shared" si="127"/>
        <v>0</v>
      </c>
      <c r="K1017" s="198">
        <f t="shared" si="122"/>
        <v>0</v>
      </c>
      <c r="L1017" s="198">
        <f>COUNTIF(J1017:K1017,"&lt;&gt;0")*-'Trading Model'!$E$15</f>
        <v>0</v>
      </c>
      <c r="M1017" s="198">
        <f t="shared" si="120"/>
        <v>0</v>
      </c>
      <c r="N1017" s="75">
        <f t="shared" si="123"/>
        <v>45</v>
      </c>
      <c r="O1017" s="202">
        <f t="shared" si="124"/>
        <v>0</v>
      </c>
      <c r="P1017" s="199">
        <f t="shared" si="121"/>
        <v>0</v>
      </c>
      <c r="Q1017" s="203">
        <f t="shared" si="125"/>
        <v>49.50000000000184</v>
      </c>
      <c r="R1017" s="201">
        <f>E1017/B1013-1</f>
        <v>-7.4626865671641784E-2</v>
      </c>
      <c r="S1017" s="201">
        <f t="shared" si="126"/>
        <v>-1.314878892733562E-2</v>
      </c>
    </row>
    <row r="1018" spans="1:19">
      <c r="A1018" s="196">
        <v>41445</v>
      </c>
      <c r="B1018" s="122">
        <v>15.64</v>
      </c>
      <c r="C1018" s="122">
        <v>15.74</v>
      </c>
      <c r="D1018" s="122">
        <v>13.28</v>
      </c>
      <c r="E1018" s="122">
        <v>13.4</v>
      </c>
      <c r="F1018" s="122">
        <v>10.074337999999999</v>
      </c>
      <c r="G1018" s="197">
        <v>372500</v>
      </c>
      <c r="H1018" s="198">
        <f>IF(AND(E1017&gt;=H1017,E1018&gt;=E1017),E1017*(1+'Trading Model'!$E$13),IF(AND(E1018&lt;E1017,E1017&gt;=H1017),E1018*(1+'Trading Model'!$E$13),H1017))</f>
        <v>27.698998950000004</v>
      </c>
      <c r="I1018" s="198">
        <f>IF(K1018&gt;0,E1018*(1-'Trading Model'!E1028),IF(E1018&lt;I1017,I1017*(1-'Trading Model'!$E$14),I1017))</f>
        <v>8.9840153609188427</v>
      </c>
      <c r="J1018" s="198">
        <f t="shared" si="127"/>
        <v>0</v>
      </c>
      <c r="K1018" s="198">
        <f t="shared" si="122"/>
        <v>0</v>
      </c>
      <c r="L1018" s="198">
        <f>COUNTIF(J1018:K1018,"&lt;&gt;0")*-'Trading Model'!$E$15</f>
        <v>0</v>
      </c>
      <c r="M1018" s="198">
        <f t="shared" si="120"/>
        <v>0</v>
      </c>
      <c r="N1018" s="75">
        <f t="shared" si="123"/>
        <v>45</v>
      </c>
      <c r="O1018" s="202">
        <f t="shared" si="124"/>
        <v>0</v>
      </c>
      <c r="P1018" s="199">
        <f t="shared" si="121"/>
        <v>0</v>
      </c>
      <c r="Q1018" s="203">
        <f t="shared" si="125"/>
        <v>49.400000000001839</v>
      </c>
      <c r="R1018" s="160" t="s">
        <v>55</v>
      </c>
      <c r="S1018" s="201">
        <f t="shared" si="126"/>
        <v>-6.0308555399719466E-2</v>
      </c>
    </row>
    <row r="1019" spans="1:19">
      <c r="A1019" s="196">
        <v>41446</v>
      </c>
      <c r="B1019" s="122">
        <v>13.51</v>
      </c>
      <c r="C1019" s="122">
        <v>14.57</v>
      </c>
      <c r="D1019" s="122">
        <v>13.17</v>
      </c>
      <c r="E1019" s="122">
        <v>13.62</v>
      </c>
      <c r="F1019" s="122">
        <v>10.239739</v>
      </c>
      <c r="G1019" s="197">
        <v>1566500</v>
      </c>
      <c r="H1019" s="198">
        <f>IF(AND(E1018&gt;=H1018,E1019&gt;=E1018),E1018*(1+'Trading Model'!$E$13),IF(AND(E1019&lt;E1018,E1018&gt;=H1018),E1019*(1+'Trading Model'!$E$13),H1018))</f>
        <v>27.698998950000004</v>
      </c>
      <c r="I1019" s="198">
        <f>IF(K1019&gt;0,E1019*(1-'Trading Model'!E1029),IF(E1019&lt;I1018,I1018*(1-'Trading Model'!$E$14),I1018))</f>
        <v>8.9840153609188427</v>
      </c>
      <c r="J1019" s="198">
        <f t="shared" si="127"/>
        <v>0</v>
      </c>
      <c r="K1019" s="198">
        <f t="shared" si="122"/>
        <v>0</v>
      </c>
      <c r="L1019" s="198">
        <f>COUNTIF(J1019:K1019,"&lt;&gt;0")*-'Trading Model'!$E$15</f>
        <v>0</v>
      </c>
      <c r="M1019" s="198">
        <f t="shared" si="120"/>
        <v>0</v>
      </c>
      <c r="N1019" s="75">
        <f t="shared" si="123"/>
        <v>45</v>
      </c>
      <c r="O1019" s="202">
        <f t="shared" si="124"/>
        <v>0</v>
      </c>
      <c r="P1019" s="199">
        <f t="shared" si="121"/>
        <v>0</v>
      </c>
      <c r="Q1019" s="203">
        <f t="shared" si="125"/>
        <v>49.400000000001839</v>
      </c>
      <c r="R1019" s="203" t="s">
        <v>55</v>
      </c>
      <c r="S1019" s="201">
        <f t="shared" si="126"/>
        <v>1.6417910447761086E-2</v>
      </c>
    </row>
    <row r="1020" spans="1:19">
      <c r="A1020" s="196">
        <v>41449</v>
      </c>
      <c r="B1020" s="122">
        <v>13.35</v>
      </c>
      <c r="C1020" s="122">
        <v>14.09</v>
      </c>
      <c r="D1020" s="122">
        <v>13.11</v>
      </c>
      <c r="E1020" s="122">
        <v>13.81</v>
      </c>
      <c r="F1020" s="122">
        <v>10.382585000000001</v>
      </c>
      <c r="G1020" s="197">
        <v>669800</v>
      </c>
      <c r="H1020" s="198">
        <f>IF(AND(E1019&gt;=H1019,E1020&gt;=E1019),E1019*(1+'Trading Model'!$E$13),IF(AND(E1020&lt;E1019,E1019&gt;=H1019),E1020*(1+'Trading Model'!$E$13),H1019))</f>
        <v>27.698998950000004</v>
      </c>
      <c r="I1020" s="198">
        <f>IF(K1020&gt;0,E1020*(1-'Trading Model'!E1030),IF(E1020&lt;I1019,I1019*(1-'Trading Model'!$E$14),I1019))</f>
        <v>8.9840153609188427</v>
      </c>
      <c r="J1020" s="198">
        <f t="shared" si="127"/>
        <v>0</v>
      </c>
      <c r="K1020" s="198">
        <f t="shared" si="122"/>
        <v>0</v>
      </c>
      <c r="L1020" s="198">
        <f>COUNTIF(J1020:K1020,"&lt;&gt;0")*-'Trading Model'!$E$15</f>
        <v>0</v>
      </c>
      <c r="M1020" s="198">
        <f t="shared" si="120"/>
        <v>0</v>
      </c>
      <c r="N1020" s="75">
        <f t="shared" si="123"/>
        <v>45</v>
      </c>
      <c r="O1020" s="202">
        <f t="shared" si="124"/>
        <v>0</v>
      </c>
      <c r="P1020" s="199">
        <f t="shared" si="121"/>
        <v>0</v>
      </c>
      <c r="Q1020" s="203">
        <f t="shared" si="125"/>
        <v>49.400000000001839</v>
      </c>
      <c r="R1020" s="203" t="s">
        <v>55</v>
      </c>
      <c r="S1020" s="201">
        <f t="shared" si="126"/>
        <v>1.3950073421439058E-2</v>
      </c>
    </row>
    <row r="1021" spans="1:19">
      <c r="A1021" s="196">
        <v>41450</v>
      </c>
      <c r="B1021" s="122">
        <v>13.84</v>
      </c>
      <c r="C1021" s="122">
        <v>14.39</v>
      </c>
      <c r="D1021" s="122">
        <v>13.58</v>
      </c>
      <c r="E1021" s="122">
        <v>14.36</v>
      </c>
      <c r="F1021" s="122">
        <v>10.796082</v>
      </c>
      <c r="G1021" s="197">
        <v>266200</v>
      </c>
      <c r="H1021" s="198">
        <f>IF(AND(E1020&gt;=H1020,E1021&gt;=E1020),E1020*(1+'Trading Model'!$E$13),IF(AND(E1021&lt;E1020,E1020&gt;=H1020),E1021*(1+'Trading Model'!$E$13),H1020))</f>
        <v>27.698998950000004</v>
      </c>
      <c r="I1021" s="198">
        <f>IF(K1021&gt;0,E1021*(1-'Trading Model'!E1031),IF(E1021&lt;I1020,I1020*(1-'Trading Model'!$E$14),I1020))</f>
        <v>8.9840153609188427</v>
      </c>
      <c r="J1021" s="198">
        <f t="shared" si="127"/>
        <v>0</v>
      </c>
      <c r="K1021" s="198">
        <f t="shared" si="122"/>
        <v>0</v>
      </c>
      <c r="L1021" s="198">
        <f>COUNTIF(J1021:K1021,"&lt;&gt;0")*-'Trading Model'!$E$15</f>
        <v>0</v>
      </c>
      <c r="M1021" s="198">
        <f t="shared" si="120"/>
        <v>0</v>
      </c>
      <c r="N1021" s="75">
        <f t="shared" si="123"/>
        <v>45</v>
      </c>
      <c r="O1021" s="202">
        <f t="shared" si="124"/>
        <v>0</v>
      </c>
      <c r="P1021" s="199">
        <f t="shared" si="121"/>
        <v>0</v>
      </c>
      <c r="Q1021" s="203">
        <f t="shared" si="125"/>
        <v>49.400000000001839</v>
      </c>
      <c r="R1021" s="203" t="s">
        <v>55</v>
      </c>
      <c r="S1021" s="201">
        <f t="shared" si="126"/>
        <v>3.9826212889210622E-2</v>
      </c>
    </row>
    <row r="1022" spans="1:19">
      <c r="A1022" s="196">
        <v>41451</v>
      </c>
      <c r="B1022" s="122">
        <v>14.43</v>
      </c>
      <c r="C1022" s="122">
        <v>14.72</v>
      </c>
      <c r="D1022" s="122">
        <v>14.23</v>
      </c>
      <c r="E1022" s="122">
        <v>14.66</v>
      </c>
      <c r="F1022" s="122">
        <v>11.021627000000001</v>
      </c>
      <c r="G1022" s="197">
        <v>181000</v>
      </c>
      <c r="H1022" s="198">
        <f>IF(AND(E1021&gt;=H1021,E1022&gt;=E1021),E1021*(1+'Trading Model'!$E$13),IF(AND(E1022&lt;E1021,E1021&gt;=H1021),E1022*(1+'Trading Model'!$E$13),H1021))</f>
        <v>27.698998950000004</v>
      </c>
      <c r="I1022" s="198">
        <f>IF(K1022&gt;0,E1022*(1-'Trading Model'!E1032),IF(E1022&lt;I1021,I1021*(1-'Trading Model'!$E$14),I1021))</f>
        <v>8.9840153609188427</v>
      </c>
      <c r="J1022" s="198">
        <f t="shared" si="127"/>
        <v>0</v>
      </c>
      <c r="K1022" s="198">
        <f t="shared" si="122"/>
        <v>0</v>
      </c>
      <c r="L1022" s="198">
        <f>COUNTIF(J1022:K1022,"&lt;&gt;0")*-'Trading Model'!$E$15</f>
        <v>0</v>
      </c>
      <c r="M1022" s="198">
        <f t="shared" si="120"/>
        <v>0</v>
      </c>
      <c r="N1022" s="75">
        <f t="shared" si="123"/>
        <v>45</v>
      </c>
      <c r="O1022" s="202">
        <f t="shared" si="124"/>
        <v>0</v>
      </c>
      <c r="P1022" s="199">
        <f t="shared" si="121"/>
        <v>0</v>
      </c>
      <c r="Q1022" s="203">
        <f t="shared" si="125"/>
        <v>49.400000000001839</v>
      </c>
      <c r="R1022" s="201">
        <f>E1022/B1018-1</f>
        <v>-6.2659846547314602E-2</v>
      </c>
      <c r="S1022" s="201">
        <f t="shared" si="126"/>
        <v>2.0891364902507092E-2</v>
      </c>
    </row>
    <row r="1023" spans="1:19">
      <c r="A1023" s="196">
        <v>41452</v>
      </c>
      <c r="B1023" s="122">
        <v>14.72</v>
      </c>
      <c r="C1023" s="122">
        <v>15.37</v>
      </c>
      <c r="D1023" s="122">
        <v>14.63</v>
      </c>
      <c r="E1023" s="122">
        <v>15.31</v>
      </c>
      <c r="F1023" s="122">
        <v>11.510308</v>
      </c>
      <c r="G1023" s="197">
        <v>203900</v>
      </c>
      <c r="H1023" s="198">
        <f>IF(AND(E1022&gt;=H1022,E1023&gt;=E1022),E1022*(1+'Trading Model'!$E$13),IF(AND(E1023&lt;E1022,E1022&gt;=H1022),E1023*(1+'Trading Model'!$E$13),H1022))</f>
        <v>27.698998950000004</v>
      </c>
      <c r="I1023" s="198">
        <f>IF(K1023&gt;0,E1023*(1-'Trading Model'!E1033),IF(E1023&lt;I1022,I1022*(1-'Trading Model'!$E$14),I1022))</f>
        <v>8.9840153609188427</v>
      </c>
      <c r="J1023" s="198">
        <f t="shared" si="127"/>
        <v>0</v>
      </c>
      <c r="K1023" s="198">
        <f t="shared" si="122"/>
        <v>0</v>
      </c>
      <c r="L1023" s="198">
        <f>COUNTIF(J1023:K1023,"&lt;&gt;0")*-'Trading Model'!$E$15</f>
        <v>0</v>
      </c>
      <c r="M1023" s="198">
        <f t="shared" si="120"/>
        <v>0</v>
      </c>
      <c r="N1023" s="75">
        <f t="shared" si="123"/>
        <v>45</v>
      </c>
      <c r="O1023" s="202">
        <f t="shared" si="124"/>
        <v>0</v>
      </c>
      <c r="P1023" s="199">
        <f t="shared" si="121"/>
        <v>0</v>
      </c>
      <c r="Q1023" s="203">
        <f t="shared" si="125"/>
        <v>49.400000000001839</v>
      </c>
      <c r="R1023" s="160" t="s">
        <v>55</v>
      </c>
      <c r="S1023" s="201">
        <f t="shared" si="126"/>
        <v>4.4338335607094104E-2</v>
      </c>
    </row>
    <row r="1024" spans="1:19">
      <c r="A1024" s="196">
        <v>41453</v>
      </c>
      <c r="B1024" s="122">
        <v>15.17</v>
      </c>
      <c r="C1024" s="122">
        <v>15.19</v>
      </c>
      <c r="D1024" s="122">
        <v>14.83</v>
      </c>
      <c r="E1024" s="122">
        <v>14.88</v>
      </c>
      <c r="F1024" s="122">
        <v>11.187025999999999</v>
      </c>
      <c r="G1024" s="197">
        <v>207500</v>
      </c>
      <c r="H1024" s="198">
        <f>IF(AND(E1023&gt;=H1023,E1024&gt;=E1023),E1023*(1+'Trading Model'!$E$13),IF(AND(E1024&lt;E1023,E1023&gt;=H1023),E1024*(1+'Trading Model'!$E$13),H1023))</f>
        <v>27.698998950000004</v>
      </c>
      <c r="I1024" s="198">
        <f>IF(K1024&gt;0,E1024*(1-'Trading Model'!E1034),IF(E1024&lt;I1023,I1023*(1-'Trading Model'!$E$14),I1023))</f>
        <v>8.9840153609188427</v>
      </c>
      <c r="J1024" s="198">
        <f t="shared" si="127"/>
        <v>0</v>
      </c>
      <c r="K1024" s="198">
        <f t="shared" si="122"/>
        <v>0</v>
      </c>
      <c r="L1024" s="198">
        <f>COUNTIF(J1024:K1024,"&lt;&gt;0")*-'Trading Model'!$E$15</f>
        <v>0</v>
      </c>
      <c r="M1024" s="198">
        <f t="shared" si="120"/>
        <v>0</v>
      </c>
      <c r="N1024" s="75">
        <f t="shared" si="123"/>
        <v>45</v>
      </c>
      <c r="O1024" s="202">
        <f t="shared" si="124"/>
        <v>0</v>
      </c>
      <c r="P1024" s="199">
        <f t="shared" si="121"/>
        <v>0</v>
      </c>
      <c r="Q1024" s="203">
        <f t="shared" si="125"/>
        <v>49.300000000001837</v>
      </c>
      <c r="R1024" s="203" t="s">
        <v>55</v>
      </c>
      <c r="S1024" s="201">
        <f t="shared" si="126"/>
        <v>-2.8086218158066556E-2</v>
      </c>
    </row>
    <row r="1025" spans="1:19">
      <c r="A1025" s="196">
        <v>41456</v>
      </c>
      <c r="B1025" s="122">
        <v>14.88</v>
      </c>
      <c r="C1025" s="122">
        <v>15.33</v>
      </c>
      <c r="D1025" s="122">
        <v>14.65</v>
      </c>
      <c r="E1025" s="122">
        <v>15.27</v>
      </c>
      <c r="F1025" s="122">
        <v>11.480237000000001</v>
      </c>
      <c r="G1025" s="197">
        <v>244500</v>
      </c>
      <c r="H1025" s="198">
        <f>IF(AND(E1024&gt;=H1024,E1025&gt;=E1024),E1024*(1+'Trading Model'!$E$13),IF(AND(E1025&lt;E1024,E1024&gt;=H1024),E1025*(1+'Trading Model'!$E$13),H1024))</f>
        <v>27.698998950000004</v>
      </c>
      <c r="I1025" s="198">
        <f>IF(K1025&gt;0,E1025*(1-'Trading Model'!E1035),IF(E1025&lt;I1024,I1024*(1-'Trading Model'!$E$14),I1024))</f>
        <v>8.9840153609188427</v>
      </c>
      <c r="J1025" s="198">
        <f t="shared" si="127"/>
        <v>0</v>
      </c>
      <c r="K1025" s="198">
        <f t="shared" si="122"/>
        <v>0</v>
      </c>
      <c r="L1025" s="198">
        <f>COUNTIF(J1025:K1025,"&lt;&gt;0")*-'Trading Model'!$E$15</f>
        <v>0</v>
      </c>
      <c r="M1025" s="198">
        <f t="shared" si="120"/>
        <v>0</v>
      </c>
      <c r="N1025" s="75">
        <f t="shared" si="123"/>
        <v>45</v>
      </c>
      <c r="O1025" s="202">
        <f t="shared" si="124"/>
        <v>0</v>
      </c>
      <c r="P1025" s="199">
        <f t="shared" si="121"/>
        <v>0</v>
      </c>
      <c r="Q1025" s="203">
        <f t="shared" si="125"/>
        <v>49.300000000001837</v>
      </c>
      <c r="R1025" s="203" t="s">
        <v>55</v>
      </c>
      <c r="S1025" s="201">
        <f t="shared" si="126"/>
        <v>2.620967741935476E-2</v>
      </c>
    </row>
    <row r="1026" spans="1:19">
      <c r="A1026" s="196">
        <v>41457</v>
      </c>
      <c r="B1026" s="122">
        <v>15.28</v>
      </c>
      <c r="C1026" s="122">
        <v>15.34</v>
      </c>
      <c r="D1026" s="122">
        <v>14.83</v>
      </c>
      <c r="E1026" s="122">
        <v>14.9</v>
      </c>
      <c r="F1026" s="122">
        <v>11.202064</v>
      </c>
      <c r="G1026" s="197">
        <v>242900</v>
      </c>
      <c r="H1026" s="198">
        <f>IF(AND(E1025&gt;=H1025,E1026&gt;=E1025),E1025*(1+'Trading Model'!$E$13),IF(AND(E1026&lt;E1025,E1025&gt;=H1025),E1026*(1+'Trading Model'!$E$13),H1025))</f>
        <v>27.698998950000004</v>
      </c>
      <c r="I1026" s="198">
        <f>IF(K1026&gt;0,E1026*(1-'Trading Model'!E1036),IF(E1026&lt;I1025,I1025*(1-'Trading Model'!$E$14),I1025))</f>
        <v>8.9840153609188427</v>
      </c>
      <c r="J1026" s="198">
        <f t="shared" si="127"/>
        <v>0</v>
      </c>
      <c r="K1026" s="198">
        <f t="shared" si="122"/>
        <v>0</v>
      </c>
      <c r="L1026" s="198">
        <f>COUNTIF(J1026:K1026,"&lt;&gt;0")*-'Trading Model'!$E$15</f>
        <v>0</v>
      </c>
      <c r="M1026" s="198">
        <f t="shared" si="120"/>
        <v>0</v>
      </c>
      <c r="N1026" s="75">
        <f t="shared" si="123"/>
        <v>45</v>
      </c>
      <c r="O1026" s="202">
        <f t="shared" si="124"/>
        <v>0</v>
      </c>
      <c r="P1026" s="199">
        <f t="shared" si="121"/>
        <v>0</v>
      </c>
      <c r="Q1026" s="203">
        <f t="shared" si="125"/>
        <v>49.200000000001836</v>
      </c>
      <c r="R1026" s="203" t="s">
        <v>55</v>
      </c>
      <c r="S1026" s="201">
        <f t="shared" si="126"/>
        <v>-2.4230517354289383E-2</v>
      </c>
    </row>
    <row r="1027" spans="1:19">
      <c r="A1027" s="196">
        <v>41458</v>
      </c>
      <c r="B1027" s="122">
        <v>14.82</v>
      </c>
      <c r="C1027" s="122">
        <v>14.82</v>
      </c>
      <c r="D1027" s="122">
        <v>14.56</v>
      </c>
      <c r="E1027" s="122">
        <v>14.57</v>
      </c>
      <c r="F1027" s="122">
        <v>10.953963999999999</v>
      </c>
      <c r="G1027" s="197">
        <v>66500</v>
      </c>
      <c r="H1027" s="198">
        <f>IF(AND(E1026&gt;=H1026,E1027&gt;=E1026),E1026*(1+'Trading Model'!$E$13),IF(AND(E1027&lt;E1026,E1026&gt;=H1026),E1027*(1+'Trading Model'!$E$13),H1026))</f>
        <v>27.698998950000004</v>
      </c>
      <c r="I1027" s="198">
        <f>IF(K1027&gt;0,E1027*(1-'Trading Model'!E1037),IF(E1027&lt;I1026,I1026*(1-'Trading Model'!$E$14),I1026))</f>
        <v>8.9840153609188427</v>
      </c>
      <c r="J1027" s="198">
        <f t="shared" si="127"/>
        <v>0</v>
      </c>
      <c r="K1027" s="198">
        <f t="shared" si="122"/>
        <v>0</v>
      </c>
      <c r="L1027" s="198">
        <f>COUNTIF(J1027:K1027,"&lt;&gt;0")*-'Trading Model'!$E$15</f>
        <v>0</v>
      </c>
      <c r="M1027" s="198">
        <f t="shared" ref="M1027:M1090" si="128">SUM(J1027:L1027)</f>
        <v>0</v>
      </c>
      <c r="N1027" s="75">
        <f t="shared" si="123"/>
        <v>45</v>
      </c>
      <c r="O1027" s="202">
        <f t="shared" si="124"/>
        <v>0</v>
      </c>
      <c r="P1027" s="199">
        <f t="shared" ref="P1027:P1090" si="129">IFERROR(VLOOKUP(A1027,Dividends,2,FALSE),$U$1)</f>
        <v>0</v>
      </c>
      <c r="Q1027" s="203">
        <f t="shared" si="125"/>
        <v>49.100000000001835</v>
      </c>
      <c r="R1027" s="201">
        <f>E1027/B1023-1</f>
        <v>-1.0190217391304324E-2</v>
      </c>
      <c r="S1027" s="201">
        <f t="shared" si="126"/>
        <v>-2.2147651006711455E-2</v>
      </c>
    </row>
    <row r="1028" spans="1:19">
      <c r="A1028" s="196">
        <v>41460</v>
      </c>
      <c r="B1028" s="122">
        <v>14.58</v>
      </c>
      <c r="C1028" s="122">
        <v>14.58</v>
      </c>
      <c r="D1028" s="122">
        <v>14.1</v>
      </c>
      <c r="E1028" s="122">
        <v>14.25</v>
      </c>
      <c r="F1028" s="122">
        <v>10.713384</v>
      </c>
      <c r="G1028" s="197">
        <v>157600</v>
      </c>
      <c r="H1028" s="198">
        <f>IF(AND(E1027&gt;=H1027,E1028&gt;=E1027),E1027*(1+'Trading Model'!$E$13),IF(AND(E1028&lt;E1027,E1027&gt;=H1027),E1028*(1+'Trading Model'!$E$13),H1027))</f>
        <v>27.698998950000004</v>
      </c>
      <c r="I1028" s="198">
        <f>IF(K1028&gt;0,E1028*(1-'Trading Model'!E1038),IF(E1028&lt;I1027,I1027*(1-'Trading Model'!$E$14),I1027))</f>
        <v>8.9840153609188427</v>
      </c>
      <c r="J1028" s="198">
        <f t="shared" si="127"/>
        <v>0</v>
      </c>
      <c r="K1028" s="198">
        <f t="shared" ref="K1028:K1091" si="130">IF(E1028&gt;=H1028,E1028,0)</f>
        <v>0</v>
      </c>
      <c r="L1028" s="198">
        <f>COUNTIF(J1028:K1028,"&lt;&gt;0")*-'Trading Model'!$E$15</f>
        <v>0</v>
      </c>
      <c r="M1028" s="198">
        <f t="shared" si="128"/>
        <v>0</v>
      </c>
      <c r="N1028" s="75">
        <f t="shared" ref="N1028:N1091" si="131">IF(AND(J1028&lt;0,K1028&gt;0),N1027,(IF(J1028&lt;0,N1027+1,IF(K1028&gt;0,N1027+1,N1027))))</f>
        <v>45</v>
      </c>
      <c r="O1028" s="202">
        <f t="shared" ref="O1028:O1091" si="132">P1028</f>
        <v>0</v>
      </c>
      <c r="P1028" s="199">
        <f t="shared" si="129"/>
        <v>0</v>
      </c>
      <c r="Q1028" s="203">
        <f t="shared" ref="Q1028:Q1091" si="133">IF(E1028&lt;E1027,Q1027-0.1,Q1027)</f>
        <v>49.000000000001833</v>
      </c>
      <c r="R1028" s="160" t="s">
        <v>55</v>
      </c>
      <c r="S1028" s="201">
        <f t="shared" ref="S1028:S1091" si="134">E1028/E1027-1</f>
        <v>-2.1962937542896355E-2</v>
      </c>
    </row>
    <row r="1029" spans="1:19">
      <c r="A1029" s="196">
        <v>41463</v>
      </c>
      <c r="B1029" s="122">
        <v>14.25</v>
      </c>
      <c r="C1029" s="122">
        <v>14.52</v>
      </c>
      <c r="D1029" s="122">
        <v>14.15</v>
      </c>
      <c r="E1029" s="122">
        <v>14.27</v>
      </c>
      <c r="F1029" s="122">
        <v>10.728419000000001</v>
      </c>
      <c r="G1029" s="197">
        <v>155000</v>
      </c>
      <c r="H1029" s="198">
        <f>IF(AND(E1028&gt;=H1028,E1029&gt;=E1028),E1028*(1+'Trading Model'!$E$13),IF(AND(E1029&lt;E1028,E1028&gt;=H1028),E1029*(1+'Trading Model'!$E$13),H1028))</f>
        <v>27.698998950000004</v>
      </c>
      <c r="I1029" s="198">
        <f>IF(K1029&gt;0,E1029*(1-'Trading Model'!E1039),IF(E1029&lt;I1028,I1028*(1-'Trading Model'!$E$14),I1028))</f>
        <v>8.9840153609188427</v>
      </c>
      <c r="J1029" s="198">
        <f t="shared" ref="J1029:J1092" si="135">IF(E1029&gt;=H1029,-E1029,IF(E1029&lt;=I1028,-E1029,0))</f>
        <v>0</v>
      </c>
      <c r="K1029" s="198">
        <f t="shared" si="130"/>
        <v>0</v>
      </c>
      <c r="L1029" s="198">
        <f>COUNTIF(J1029:K1029,"&lt;&gt;0")*-'Trading Model'!$E$15</f>
        <v>0</v>
      </c>
      <c r="M1029" s="198">
        <f t="shared" si="128"/>
        <v>0</v>
      </c>
      <c r="N1029" s="75">
        <f t="shared" si="131"/>
        <v>45</v>
      </c>
      <c r="O1029" s="202">
        <f t="shared" si="132"/>
        <v>0</v>
      </c>
      <c r="P1029" s="199">
        <f t="shared" si="129"/>
        <v>0</v>
      </c>
      <c r="Q1029" s="203">
        <f t="shared" si="133"/>
        <v>49.000000000001833</v>
      </c>
      <c r="R1029" s="203" t="s">
        <v>55</v>
      </c>
      <c r="S1029" s="201">
        <f t="shared" si="134"/>
        <v>1.4035087719297401E-3</v>
      </c>
    </row>
    <row r="1030" spans="1:19">
      <c r="A1030" s="196">
        <v>41464</v>
      </c>
      <c r="B1030" s="122">
        <v>14.31</v>
      </c>
      <c r="C1030" s="122">
        <v>14.31</v>
      </c>
      <c r="D1030" s="122">
        <v>13.93</v>
      </c>
      <c r="E1030" s="122">
        <v>13.93</v>
      </c>
      <c r="F1030" s="122">
        <v>10.472802</v>
      </c>
      <c r="G1030" s="197">
        <v>174200</v>
      </c>
      <c r="H1030" s="198">
        <f>IF(AND(E1029&gt;=H1029,E1030&gt;=E1029),E1029*(1+'Trading Model'!$E$13),IF(AND(E1030&lt;E1029,E1029&gt;=H1029),E1030*(1+'Trading Model'!$E$13),H1029))</f>
        <v>27.698998950000004</v>
      </c>
      <c r="I1030" s="198">
        <f>IF(K1030&gt;0,E1030*(1-'Trading Model'!E1040),IF(E1030&lt;I1029,I1029*(1-'Trading Model'!$E$14),I1029))</f>
        <v>8.9840153609188427</v>
      </c>
      <c r="J1030" s="198">
        <f t="shared" si="135"/>
        <v>0</v>
      </c>
      <c r="K1030" s="198">
        <f t="shared" si="130"/>
        <v>0</v>
      </c>
      <c r="L1030" s="198">
        <f>COUNTIF(J1030:K1030,"&lt;&gt;0")*-'Trading Model'!$E$15</f>
        <v>0</v>
      </c>
      <c r="M1030" s="198">
        <f t="shared" si="128"/>
        <v>0</v>
      </c>
      <c r="N1030" s="75">
        <f t="shared" si="131"/>
        <v>45</v>
      </c>
      <c r="O1030" s="202">
        <f t="shared" si="132"/>
        <v>0</v>
      </c>
      <c r="P1030" s="199">
        <f t="shared" si="129"/>
        <v>0</v>
      </c>
      <c r="Q1030" s="203">
        <f t="shared" si="133"/>
        <v>48.900000000001832</v>
      </c>
      <c r="R1030" s="203" t="s">
        <v>55</v>
      </c>
      <c r="S1030" s="201">
        <f t="shared" si="134"/>
        <v>-2.3826208829712647E-2</v>
      </c>
    </row>
    <row r="1031" spans="1:19">
      <c r="A1031" s="196">
        <v>41465</v>
      </c>
      <c r="B1031" s="122">
        <v>13.88</v>
      </c>
      <c r="C1031" s="122">
        <v>14.18</v>
      </c>
      <c r="D1031" s="122">
        <v>13.73</v>
      </c>
      <c r="E1031" s="122">
        <v>14.16</v>
      </c>
      <c r="F1031" s="122">
        <v>10.645720000000001</v>
      </c>
      <c r="G1031" s="197">
        <v>198100</v>
      </c>
      <c r="H1031" s="198">
        <f>IF(AND(E1030&gt;=H1030,E1031&gt;=E1030),E1030*(1+'Trading Model'!$E$13),IF(AND(E1031&lt;E1030,E1030&gt;=H1030),E1031*(1+'Trading Model'!$E$13),H1030))</f>
        <v>27.698998950000004</v>
      </c>
      <c r="I1031" s="198">
        <f>IF(K1031&gt;0,E1031*(1-'Trading Model'!E1041),IF(E1031&lt;I1030,I1030*(1-'Trading Model'!$E$14),I1030))</f>
        <v>8.9840153609188427</v>
      </c>
      <c r="J1031" s="198">
        <f t="shared" si="135"/>
        <v>0</v>
      </c>
      <c r="K1031" s="198">
        <f t="shared" si="130"/>
        <v>0</v>
      </c>
      <c r="L1031" s="198">
        <f>COUNTIF(J1031:K1031,"&lt;&gt;0")*-'Trading Model'!$E$15</f>
        <v>0</v>
      </c>
      <c r="M1031" s="198">
        <f t="shared" si="128"/>
        <v>0</v>
      </c>
      <c r="N1031" s="75">
        <f t="shared" si="131"/>
        <v>45</v>
      </c>
      <c r="O1031" s="202">
        <f t="shared" si="132"/>
        <v>0</v>
      </c>
      <c r="P1031" s="199">
        <f t="shared" si="129"/>
        <v>0</v>
      </c>
      <c r="Q1031" s="203">
        <f t="shared" si="133"/>
        <v>48.900000000001832</v>
      </c>
      <c r="R1031" s="203" t="s">
        <v>55</v>
      </c>
      <c r="S1031" s="201">
        <f t="shared" si="134"/>
        <v>1.6511127063890907E-2</v>
      </c>
    </row>
    <row r="1032" spans="1:19">
      <c r="A1032" s="196">
        <v>41466</v>
      </c>
      <c r="B1032" s="122">
        <v>14.31</v>
      </c>
      <c r="C1032" s="122">
        <v>14.59</v>
      </c>
      <c r="D1032" s="122">
        <v>14.27</v>
      </c>
      <c r="E1032" s="122">
        <v>14.55</v>
      </c>
      <c r="F1032" s="122">
        <v>10.938928000000001</v>
      </c>
      <c r="G1032" s="197">
        <v>82300</v>
      </c>
      <c r="H1032" s="198">
        <f>IF(AND(E1031&gt;=H1031,E1032&gt;=E1031),E1031*(1+'Trading Model'!$E$13),IF(AND(E1032&lt;E1031,E1031&gt;=H1031),E1032*(1+'Trading Model'!$E$13),H1031))</f>
        <v>27.698998950000004</v>
      </c>
      <c r="I1032" s="198">
        <f>IF(K1032&gt;0,E1032*(1-'Trading Model'!E1042),IF(E1032&lt;I1031,I1031*(1-'Trading Model'!$E$14),I1031))</f>
        <v>8.9840153609188427</v>
      </c>
      <c r="J1032" s="198">
        <f t="shared" si="135"/>
        <v>0</v>
      </c>
      <c r="K1032" s="198">
        <f t="shared" si="130"/>
        <v>0</v>
      </c>
      <c r="L1032" s="198">
        <f>COUNTIF(J1032:K1032,"&lt;&gt;0")*-'Trading Model'!$E$15</f>
        <v>0</v>
      </c>
      <c r="M1032" s="198">
        <f t="shared" si="128"/>
        <v>0</v>
      </c>
      <c r="N1032" s="75">
        <f t="shared" si="131"/>
        <v>45</v>
      </c>
      <c r="O1032" s="202">
        <f t="shared" si="132"/>
        <v>0</v>
      </c>
      <c r="P1032" s="199">
        <f t="shared" si="129"/>
        <v>0</v>
      </c>
      <c r="Q1032" s="203">
        <f t="shared" si="133"/>
        <v>48.900000000001832</v>
      </c>
      <c r="R1032" s="201">
        <f>E1032/B1028-1</f>
        <v>-2.057613168724215E-3</v>
      </c>
      <c r="S1032" s="201">
        <f t="shared" si="134"/>
        <v>2.754237288135597E-2</v>
      </c>
    </row>
    <row r="1033" spans="1:19">
      <c r="A1033" s="196">
        <v>41467</v>
      </c>
      <c r="B1033" s="122">
        <v>14.44</v>
      </c>
      <c r="C1033" s="122">
        <v>14.71</v>
      </c>
      <c r="D1033" s="122">
        <v>14.44</v>
      </c>
      <c r="E1033" s="122">
        <v>14.62</v>
      </c>
      <c r="F1033" s="122">
        <v>10.991555</v>
      </c>
      <c r="G1033" s="197">
        <v>124700</v>
      </c>
      <c r="H1033" s="198">
        <f>IF(AND(E1032&gt;=H1032,E1033&gt;=E1032),E1032*(1+'Trading Model'!$E$13),IF(AND(E1033&lt;E1032,E1032&gt;=H1032),E1033*(1+'Trading Model'!$E$13),H1032))</f>
        <v>27.698998950000004</v>
      </c>
      <c r="I1033" s="198">
        <f>IF(K1033&gt;0,E1033*(1-'Trading Model'!E1043),IF(E1033&lt;I1032,I1032*(1-'Trading Model'!$E$14),I1032))</f>
        <v>8.9840153609188427</v>
      </c>
      <c r="J1033" s="198">
        <f t="shared" si="135"/>
        <v>0</v>
      </c>
      <c r="K1033" s="198">
        <f t="shared" si="130"/>
        <v>0</v>
      </c>
      <c r="L1033" s="198">
        <f>COUNTIF(J1033:K1033,"&lt;&gt;0")*-'Trading Model'!$E$15</f>
        <v>0</v>
      </c>
      <c r="M1033" s="198">
        <f t="shared" si="128"/>
        <v>0</v>
      </c>
      <c r="N1033" s="75">
        <f t="shared" si="131"/>
        <v>45</v>
      </c>
      <c r="O1033" s="202">
        <f t="shared" si="132"/>
        <v>0</v>
      </c>
      <c r="P1033" s="199">
        <f t="shared" si="129"/>
        <v>0</v>
      </c>
      <c r="Q1033" s="203">
        <f t="shared" si="133"/>
        <v>48.900000000001832</v>
      </c>
      <c r="R1033" s="160" t="s">
        <v>55</v>
      </c>
      <c r="S1033" s="201">
        <f t="shared" si="134"/>
        <v>4.8109965635738661E-3</v>
      </c>
    </row>
    <row r="1034" spans="1:19">
      <c r="A1034" s="196">
        <v>41470</v>
      </c>
      <c r="B1034" s="122">
        <v>14.71</v>
      </c>
      <c r="C1034" s="122">
        <v>15.25</v>
      </c>
      <c r="D1034" s="122">
        <v>14.65</v>
      </c>
      <c r="E1034" s="122">
        <v>15.16</v>
      </c>
      <c r="F1034" s="122">
        <v>11.397535</v>
      </c>
      <c r="G1034" s="197">
        <v>134900</v>
      </c>
      <c r="H1034" s="198">
        <f>IF(AND(E1033&gt;=H1033,E1034&gt;=E1033),E1033*(1+'Trading Model'!$E$13),IF(AND(E1034&lt;E1033,E1033&gt;=H1033),E1034*(1+'Trading Model'!$E$13),H1033))</f>
        <v>27.698998950000004</v>
      </c>
      <c r="I1034" s="198">
        <f>IF(K1034&gt;0,E1034*(1-'Trading Model'!E1044),IF(E1034&lt;I1033,I1033*(1-'Trading Model'!$E$14),I1033))</f>
        <v>8.9840153609188427</v>
      </c>
      <c r="J1034" s="198">
        <f t="shared" si="135"/>
        <v>0</v>
      </c>
      <c r="K1034" s="198">
        <f t="shared" si="130"/>
        <v>0</v>
      </c>
      <c r="L1034" s="198">
        <f>COUNTIF(J1034:K1034,"&lt;&gt;0")*-'Trading Model'!$E$15</f>
        <v>0</v>
      </c>
      <c r="M1034" s="198">
        <f t="shared" si="128"/>
        <v>0</v>
      </c>
      <c r="N1034" s="75">
        <f t="shared" si="131"/>
        <v>45</v>
      </c>
      <c r="O1034" s="202">
        <f t="shared" si="132"/>
        <v>0</v>
      </c>
      <c r="P1034" s="199">
        <f t="shared" si="129"/>
        <v>0</v>
      </c>
      <c r="Q1034" s="203">
        <f t="shared" si="133"/>
        <v>48.900000000001832</v>
      </c>
      <c r="R1034" s="203" t="s">
        <v>55</v>
      </c>
      <c r="S1034" s="201">
        <f t="shared" si="134"/>
        <v>3.6935704514363898E-2</v>
      </c>
    </row>
    <row r="1035" spans="1:19">
      <c r="A1035" s="196">
        <v>41471</v>
      </c>
      <c r="B1035" s="122">
        <v>14.94</v>
      </c>
      <c r="C1035" s="122">
        <v>15.53</v>
      </c>
      <c r="D1035" s="122">
        <v>14.7</v>
      </c>
      <c r="E1035" s="122">
        <v>15.23</v>
      </c>
      <c r="F1035" s="122">
        <v>11.450162000000001</v>
      </c>
      <c r="G1035" s="197">
        <v>234100</v>
      </c>
      <c r="H1035" s="198">
        <f>IF(AND(E1034&gt;=H1034,E1035&gt;=E1034),E1034*(1+'Trading Model'!$E$13),IF(AND(E1035&lt;E1034,E1034&gt;=H1034),E1035*(1+'Trading Model'!$E$13),H1034))</f>
        <v>27.698998950000004</v>
      </c>
      <c r="I1035" s="198">
        <f>IF(K1035&gt;0,E1035*(1-'Trading Model'!E1045),IF(E1035&lt;I1034,I1034*(1-'Trading Model'!$E$14),I1034))</f>
        <v>8.9840153609188427</v>
      </c>
      <c r="J1035" s="198">
        <f t="shared" si="135"/>
        <v>0</v>
      </c>
      <c r="K1035" s="198">
        <f t="shared" si="130"/>
        <v>0</v>
      </c>
      <c r="L1035" s="198">
        <f>COUNTIF(J1035:K1035,"&lt;&gt;0")*-'Trading Model'!$E$15</f>
        <v>0</v>
      </c>
      <c r="M1035" s="198">
        <f t="shared" si="128"/>
        <v>0</v>
      </c>
      <c r="N1035" s="75">
        <f t="shared" si="131"/>
        <v>45</v>
      </c>
      <c r="O1035" s="202">
        <f t="shared" si="132"/>
        <v>0</v>
      </c>
      <c r="P1035" s="199">
        <f t="shared" si="129"/>
        <v>0</v>
      </c>
      <c r="Q1035" s="203">
        <f t="shared" si="133"/>
        <v>48.900000000001832</v>
      </c>
      <c r="R1035" s="203" t="s">
        <v>55</v>
      </c>
      <c r="S1035" s="201">
        <f t="shared" si="134"/>
        <v>4.61741424802109E-3</v>
      </c>
    </row>
    <row r="1036" spans="1:19">
      <c r="A1036" s="196">
        <v>41472</v>
      </c>
      <c r="B1036" s="122">
        <v>15.22</v>
      </c>
      <c r="C1036" s="122">
        <v>15.79</v>
      </c>
      <c r="D1036" s="122">
        <v>15.15</v>
      </c>
      <c r="E1036" s="122">
        <v>15.79</v>
      </c>
      <c r="F1036" s="122">
        <v>11.871180000000001</v>
      </c>
      <c r="G1036" s="197">
        <v>262100</v>
      </c>
      <c r="H1036" s="198">
        <f>IF(AND(E1035&gt;=H1035,E1036&gt;=E1035),E1035*(1+'Trading Model'!$E$13),IF(AND(E1036&lt;E1035,E1035&gt;=H1035),E1036*(1+'Trading Model'!$E$13),H1035))</f>
        <v>27.698998950000004</v>
      </c>
      <c r="I1036" s="198">
        <f>IF(K1036&gt;0,E1036*(1-'Trading Model'!E1046),IF(E1036&lt;I1035,I1035*(1-'Trading Model'!$E$14),I1035))</f>
        <v>8.9840153609188427</v>
      </c>
      <c r="J1036" s="198">
        <f t="shared" si="135"/>
        <v>0</v>
      </c>
      <c r="K1036" s="198">
        <f t="shared" si="130"/>
        <v>0</v>
      </c>
      <c r="L1036" s="198">
        <f>COUNTIF(J1036:K1036,"&lt;&gt;0")*-'Trading Model'!$E$15</f>
        <v>0</v>
      </c>
      <c r="M1036" s="198">
        <f t="shared" si="128"/>
        <v>0</v>
      </c>
      <c r="N1036" s="75">
        <f t="shared" si="131"/>
        <v>45</v>
      </c>
      <c r="O1036" s="202">
        <f t="shared" si="132"/>
        <v>0</v>
      </c>
      <c r="P1036" s="199">
        <f t="shared" si="129"/>
        <v>0</v>
      </c>
      <c r="Q1036" s="203">
        <f t="shared" si="133"/>
        <v>48.900000000001832</v>
      </c>
      <c r="R1036" s="203" t="s">
        <v>55</v>
      </c>
      <c r="S1036" s="201">
        <f t="shared" si="134"/>
        <v>3.676953381483905E-2</v>
      </c>
    </row>
    <row r="1037" spans="1:19">
      <c r="A1037" s="196">
        <v>41473</v>
      </c>
      <c r="B1037" s="122">
        <v>15.79</v>
      </c>
      <c r="C1037" s="122">
        <v>16.239999999999998</v>
      </c>
      <c r="D1037" s="122">
        <v>15.66</v>
      </c>
      <c r="E1037" s="122">
        <v>16.059999000000001</v>
      </c>
      <c r="F1037" s="122">
        <v>12.074170000000001</v>
      </c>
      <c r="G1037" s="197">
        <v>503400</v>
      </c>
      <c r="H1037" s="198">
        <f>IF(AND(E1036&gt;=H1036,E1037&gt;=E1036),E1036*(1+'Trading Model'!$E$13),IF(AND(E1037&lt;E1036,E1036&gt;=H1036),E1037*(1+'Trading Model'!$E$13),H1036))</f>
        <v>27.698998950000004</v>
      </c>
      <c r="I1037" s="198">
        <f>IF(K1037&gt;0,E1037*(1-'Trading Model'!E1047),IF(E1037&lt;I1036,I1036*(1-'Trading Model'!$E$14),I1036))</f>
        <v>8.9840153609188427</v>
      </c>
      <c r="J1037" s="198">
        <f t="shared" si="135"/>
        <v>0</v>
      </c>
      <c r="K1037" s="198">
        <f t="shared" si="130"/>
        <v>0</v>
      </c>
      <c r="L1037" s="198">
        <f>COUNTIF(J1037:K1037,"&lt;&gt;0")*-'Trading Model'!$E$15</f>
        <v>0</v>
      </c>
      <c r="M1037" s="198">
        <f t="shared" si="128"/>
        <v>0</v>
      </c>
      <c r="N1037" s="75">
        <f t="shared" si="131"/>
        <v>45</v>
      </c>
      <c r="O1037" s="202">
        <f t="shared" si="132"/>
        <v>0</v>
      </c>
      <c r="P1037" s="199">
        <f t="shared" si="129"/>
        <v>0</v>
      </c>
      <c r="Q1037" s="203">
        <f t="shared" si="133"/>
        <v>48.900000000001832</v>
      </c>
      <c r="R1037" s="201">
        <f>E1037/B1033-1</f>
        <v>0.11218829639889205</v>
      </c>
      <c r="S1037" s="201">
        <f t="shared" si="134"/>
        <v>1.7099366687777229E-2</v>
      </c>
    </row>
    <row r="1038" spans="1:19">
      <c r="A1038" s="196">
        <v>41474</v>
      </c>
      <c r="B1038" s="122">
        <v>15.93</v>
      </c>
      <c r="C1038" s="122">
        <v>16.149999999999999</v>
      </c>
      <c r="D1038" s="122">
        <v>15.86</v>
      </c>
      <c r="E1038" s="122">
        <v>15.98</v>
      </c>
      <c r="F1038" s="122">
        <v>12.014025</v>
      </c>
      <c r="G1038" s="197">
        <v>111000</v>
      </c>
      <c r="H1038" s="198">
        <f>IF(AND(E1037&gt;=H1037,E1038&gt;=E1037),E1037*(1+'Trading Model'!$E$13),IF(AND(E1038&lt;E1037,E1037&gt;=H1037),E1038*(1+'Trading Model'!$E$13),H1037))</f>
        <v>27.698998950000004</v>
      </c>
      <c r="I1038" s="198">
        <f>IF(K1038&gt;0,E1038*(1-'Trading Model'!E1048),IF(E1038&lt;I1037,I1037*(1-'Trading Model'!$E$14),I1037))</f>
        <v>8.9840153609188427</v>
      </c>
      <c r="J1038" s="198">
        <f t="shared" si="135"/>
        <v>0</v>
      </c>
      <c r="K1038" s="198">
        <f t="shared" si="130"/>
        <v>0</v>
      </c>
      <c r="L1038" s="198">
        <f>COUNTIF(J1038:K1038,"&lt;&gt;0")*-'Trading Model'!$E$15</f>
        <v>0</v>
      </c>
      <c r="M1038" s="198">
        <f t="shared" si="128"/>
        <v>0</v>
      </c>
      <c r="N1038" s="75">
        <f t="shared" si="131"/>
        <v>45</v>
      </c>
      <c r="O1038" s="202">
        <f t="shared" si="132"/>
        <v>0</v>
      </c>
      <c r="P1038" s="199">
        <f t="shared" si="129"/>
        <v>0</v>
      </c>
      <c r="Q1038" s="203">
        <f t="shared" si="133"/>
        <v>48.80000000000183</v>
      </c>
      <c r="R1038" s="160" t="s">
        <v>55</v>
      </c>
      <c r="S1038" s="201">
        <f t="shared" si="134"/>
        <v>-4.9812580934781581E-3</v>
      </c>
    </row>
    <row r="1039" spans="1:19">
      <c r="A1039" s="196">
        <v>41477</v>
      </c>
      <c r="B1039" s="122">
        <v>16</v>
      </c>
      <c r="C1039" s="122">
        <v>16.239999999999998</v>
      </c>
      <c r="D1039" s="122">
        <v>15.98</v>
      </c>
      <c r="E1039" s="122">
        <v>16.129999000000002</v>
      </c>
      <c r="F1039" s="122">
        <v>12.126797</v>
      </c>
      <c r="G1039" s="197">
        <v>208100</v>
      </c>
      <c r="H1039" s="198">
        <f>IF(AND(E1038&gt;=H1038,E1039&gt;=E1038),E1038*(1+'Trading Model'!$E$13),IF(AND(E1039&lt;E1038,E1038&gt;=H1038),E1039*(1+'Trading Model'!$E$13),H1038))</f>
        <v>27.698998950000004</v>
      </c>
      <c r="I1039" s="198">
        <f>IF(K1039&gt;0,E1039*(1-'Trading Model'!E1049),IF(E1039&lt;I1038,I1038*(1-'Trading Model'!$E$14),I1038))</f>
        <v>8.9840153609188427</v>
      </c>
      <c r="J1039" s="198">
        <f t="shared" si="135"/>
        <v>0</v>
      </c>
      <c r="K1039" s="198">
        <f t="shared" si="130"/>
        <v>0</v>
      </c>
      <c r="L1039" s="198">
        <f>COUNTIF(J1039:K1039,"&lt;&gt;0")*-'Trading Model'!$E$15</f>
        <v>0</v>
      </c>
      <c r="M1039" s="198">
        <f t="shared" si="128"/>
        <v>0</v>
      </c>
      <c r="N1039" s="75">
        <f t="shared" si="131"/>
        <v>45</v>
      </c>
      <c r="O1039" s="202">
        <f t="shared" si="132"/>
        <v>0</v>
      </c>
      <c r="P1039" s="199">
        <f t="shared" si="129"/>
        <v>0</v>
      </c>
      <c r="Q1039" s="203">
        <f t="shared" si="133"/>
        <v>48.80000000000183</v>
      </c>
      <c r="R1039" s="203" t="s">
        <v>55</v>
      </c>
      <c r="S1039" s="201">
        <f t="shared" si="134"/>
        <v>9.3866708385481612E-3</v>
      </c>
    </row>
    <row r="1040" spans="1:19">
      <c r="A1040" s="196">
        <v>41478</v>
      </c>
      <c r="B1040" s="122">
        <v>16.290001</v>
      </c>
      <c r="C1040" s="122">
        <v>16.299999</v>
      </c>
      <c r="D1040" s="122">
        <v>16.010000000000002</v>
      </c>
      <c r="E1040" s="122">
        <v>16.209999</v>
      </c>
      <c r="F1040" s="122">
        <v>12.186944</v>
      </c>
      <c r="G1040" s="197">
        <v>165900</v>
      </c>
      <c r="H1040" s="198">
        <f>IF(AND(E1039&gt;=H1039,E1040&gt;=E1039),E1039*(1+'Trading Model'!$E$13),IF(AND(E1040&lt;E1039,E1039&gt;=H1039),E1040*(1+'Trading Model'!$E$13),H1039))</f>
        <v>27.698998950000004</v>
      </c>
      <c r="I1040" s="198">
        <f>IF(K1040&gt;0,E1040*(1-'Trading Model'!E1050),IF(E1040&lt;I1039,I1039*(1-'Trading Model'!$E$14),I1039))</f>
        <v>8.9840153609188427</v>
      </c>
      <c r="J1040" s="198">
        <f t="shared" si="135"/>
        <v>0</v>
      </c>
      <c r="K1040" s="198">
        <f t="shared" si="130"/>
        <v>0</v>
      </c>
      <c r="L1040" s="198">
        <f>COUNTIF(J1040:K1040,"&lt;&gt;0")*-'Trading Model'!$E$15</f>
        <v>0</v>
      </c>
      <c r="M1040" s="198">
        <f t="shared" si="128"/>
        <v>0</v>
      </c>
      <c r="N1040" s="75">
        <f t="shared" si="131"/>
        <v>45</v>
      </c>
      <c r="O1040" s="202">
        <f t="shared" si="132"/>
        <v>0</v>
      </c>
      <c r="P1040" s="199">
        <f t="shared" si="129"/>
        <v>0</v>
      </c>
      <c r="Q1040" s="203">
        <f t="shared" si="133"/>
        <v>48.80000000000183</v>
      </c>
      <c r="R1040" s="203" t="s">
        <v>55</v>
      </c>
      <c r="S1040" s="201">
        <f t="shared" si="134"/>
        <v>4.9597027253378556E-3</v>
      </c>
    </row>
    <row r="1041" spans="1:19">
      <c r="A1041" s="196">
        <v>41479</v>
      </c>
      <c r="B1041" s="122">
        <v>16.27</v>
      </c>
      <c r="C1041" s="122">
        <v>16.290001</v>
      </c>
      <c r="D1041" s="122">
        <v>16</v>
      </c>
      <c r="E1041" s="122">
        <v>16.059999000000001</v>
      </c>
      <c r="F1041" s="122">
        <v>12.074170000000001</v>
      </c>
      <c r="G1041" s="197">
        <v>149800</v>
      </c>
      <c r="H1041" s="198">
        <f>IF(AND(E1040&gt;=H1040,E1041&gt;=E1040),E1040*(1+'Trading Model'!$E$13),IF(AND(E1041&lt;E1040,E1040&gt;=H1040),E1041*(1+'Trading Model'!$E$13),H1040))</f>
        <v>27.698998950000004</v>
      </c>
      <c r="I1041" s="198">
        <f>IF(K1041&gt;0,E1041*(1-'Trading Model'!E1051),IF(E1041&lt;I1040,I1040*(1-'Trading Model'!$E$14),I1040))</f>
        <v>8.9840153609188427</v>
      </c>
      <c r="J1041" s="198">
        <f t="shared" si="135"/>
        <v>0</v>
      </c>
      <c r="K1041" s="198">
        <f t="shared" si="130"/>
        <v>0</v>
      </c>
      <c r="L1041" s="198">
        <f>COUNTIF(J1041:K1041,"&lt;&gt;0")*-'Trading Model'!$E$15</f>
        <v>0</v>
      </c>
      <c r="M1041" s="198">
        <f t="shared" si="128"/>
        <v>0</v>
      </c>
      <c r="N1041" s="75">
        <f t="shared" si="131"/>
        <v>45</v>
      </c>
      <c r="O1041" s="202">
        <f t="shared" si="132"/>
        <v>0</v>
      </c>
      <c r="P1041" s="199">
        <f t="shared" si="129"/>
        <v>0</v>
      </c>
      <c r="Q1041" s="203">
        <f t="shared" si="133"/>
        <v>48.700000000001829</v>
      </c>
      <c r="R1041" s="203" t="s">
        <v>55</v>
      </c>
      <c r="S1041" s="201">
        <f t="shared" si="134"/>
        <v>-9.2535477639448249E-3</v>
      </c>
    </row>
    <row r="1042" spans="1:19">
      <c r="A1042" s="196">
        <v>41480</v>
      </c>
      <c r="B1042" s="122">
        <v>16.040001</v>
      </c>
      <c r="C1042" s="122">
        <v>16.23</v>
      </c>
      <c r="D1042" s="122">
        <v>15.88</v>
      </c>
      <c r="E1042" s="122">
        <v>16.120000999999998</v>
      </c>
      <c r="F1042" s="122">
        <v>12.11928</v>
      </c>
      <c r="G1042" s="197">
        <v>56300</v>
      </c>
      <c r="H1042" s="198">
        <f>IF(AND(E1041&gt;=H1041,E1042&gt;=E1041),E1041*(1+'Trading Model'!$E$13),IF(AND(E1042&lt;E1041,E1041&gt;=H1041),E1042*(1+'Trading Model'!$E$13),H1041))</f>
        <v>27.698998950000004</v>
      </c>
      <c r="I1042" s="198">
        <f>IF(K1042&gt;0,E1042*(1-'Trading Model'!E1052),IF(E1042&lt;I1041,I1041*(1-'Trading Model'!$E$14),I1041))</f>
        <v>8.9840153609188427</v>
      </c>
      <c r="J1042" s="198">
        <f t="shared" si="135"/>
        <v>0</v>
      </c>
      <c r="K1042" s="198">
        <f t="shared" si="130"/>
        <v>0</v>
      </c>
      <c r="L1042" s="198">
        <f>COUNTIF(J1042:K1042,"&lt;&gt;0")*-'Trading Model'!$E$15</f>
        <v>0</v>
      </c>
      <c r="M1042" s="198">
        <f t="shared" si="128"/>
        <v>0</v>
      </c>
      <c r="N1042" s="75">
        <f t="shared" si="131"/>
        <v>45</v>
      </c>
      <c r="O1042" s="202">
        <f t="shared" si="132"/>
        <v>0</v>
      </c>
      <c r="P1042" s="199">
        <f t="shared" si="129"/>
        <v>0</v>
      </c>
      <c r="Q1042" s="203">
        <f t="shared" si="133"/>
        <v>48.700000000001829</v>
      </c>
      <c r="R1042" s="201">
        <f>E1042/B1038-1</f>
        <v>1.1927244193345787E-2</v>
      </c>
      <c r="S1042" s="201">
        <f t="shared" si="134"/>
        <v>3.7361148029957381E-3</v>
      </c>
    </row>
    <row r="1043" spans="1:19">
      <c r="A1043" s="196">
        <v>41481</v>
      </c>
      <c r="B1043" s="122">
        <v>16.010000000000002</v>
      </c>
      <c r="C1043" s="122">
        <v>16.149999999999999</v>
      </c>
      <c r="D1043" s="122">
        <v>15.97</v>
      </c>
      <c r="E1043" s="122">
        <v>16.110001</v>
      </c>
      <c r="F1043" s="122">
        <v>12.111762000000001</v>
      </c>
      <c r="G1043" s="197">
        <v>82500</v>
      </c>
      <c r="H1043" s="198">
        <f>IF(AND(E1042&gt;=H1042,E1043&gt;=E1042),E1042*(1+'Trading Model'!$E$13),IF(AND(E1043&lt;E1042,E1042&gt;=H1042),E1043*(1+'Trading Model'!$E$13),H1042))</f>
        <v>27.698998950000004</v>
      </c>
      <c r="I1043" s="198">
        <f>IF(K1043&gt;0,E1043*(1-'Trading Model'!E1053),IF(E1043&lt;I1042,I1042*(1-'Trading Model'!$E$14),I1042))</f>
        <v>8.9840153609188427</v>
      </c>
      <c r="J1043" s="198">
        <f t="shared" si="135"/>
        <v>0</v>
      </c>
      <c r="K1043" s="198">
        <f t="shared" si="130"/>
        <v>0</v>
      </c>
      <c r="L1043" s="198">
        <f>COUNTIF(J1043:K1043,"&lt;&gt;0")*-'Trading Model'!$E$15</f>
        <v>0</v>
      </c>
      <c r="M1043" s="198">
        <f t="shared" si="128"/>
        <v>0</v>
      </c>
      <c r="N1043" s="75">
        <f t="shared" si="131"/>
        <v>45</v>
      </c>
      <c r="O1043" s="202">
        <f t="shared" si="132"/>
        <v>0</v>
      </c>
      <c r="P1043" s="199">
        <f t="shared" si="129"/>
        <v>0</v>
      </c>
      <c r="Q1043" s="203">
        <f t="shared" si="133"/>
        <v>48.600000000001828</v>
      </c>
      <c r="R1043" s="160" t="s">
        <v>55</v>
      </c>
      <c r="S1043" s="201">
        <f t="shared" si="134"/>
        <v>-6.2034735605775992E-4</v>
      </c>
    </row>
    <row r="1044" spans="1:19">
      <c r="A1044" s="196">
        <v>41484</v>
      </c>
      <c r="B1044" s="122">
        <v>16.02</v>
      </c>
      <c r="C1044" s="122">
        <v>16.079999999999998</v>
      </c>
      <c r="D1044" s="122">
        <v>15.86</v>
      </c>
      <c r="E1044" s="122">
        <v>16.040001</v>
      </c>
      <c r="F1044" s="122">
        <v>12.059134999999999</v>
      </c>
      <c r="G1044" s="197">
        <v>71600</v>
      </c>
      <c r="H1044" s="198">
        <f>IF(AND(E1043&gt;=H1043,E1044&gt;=E1043),E1043*(1+'Trading Model'!$E$13),IF(AND(E1044&lt;E1043,E1043&gt;=H1043),E1044*(1+'Trading Model'!$E$13),H1043))</f>
        <v>27.698998950000004</v>
      </c>
      <c r="I1044" s="198">
        <f>IF(K1044&gt;0,E1044*(1-'Trading Model'!E1054),IF(E1044&lt;I1043,I1043*(1-'Trading Model'!$E$14),I1043))</f>
        <v>8.9840153609188427</v>
      </c>
      <c r="J1044" s="198">
        <f t="shared" si="135"/>
        <v>0</v>
      </c>
      <c r="K1044" s="198">
        <f t="shared" si="130"/>
        <v>0</v>
      </c>
      <c r="L1044" s="198">
        <f>COUNTIF(J1044:K1044,"&lt;&gt;0")*-'Trading Model'!$E$15</f>
        <v>0</v>
      </c>
      <c r="M1044" s="198">
        <f t="shared" si="128"/>
        <v>0</v>
      </c>
      <c r="N1044" s="75">
        <f t="shared" si="131"/>
        <v>45</v>
      </c>
      <c r="O1044" s="202">
        <f t="shared" si="132"/>
        <v>0</v>
      </c>
      <c r="P1044" s="199">
        <f t="shared" si="129"/>
        <v>0</v>
      </c>
      <c r="Q1044" s="203">
        <f t="shared" si="133"/>
        <v>48.500000000001826</v>
      </c>
      <c r="R1044" s="203" t="s">
        <v>55</v>
      </c>
      <c r="S1044" s="201">
        <f t="shared" si="134"/>
        <v>-4.3451269804390957E-3</v>
      </c>
    </row>
    <row r="1045" spans="1:19">
      <c r="A1045" s="196">
        <v>41485</v>
      </c>
      <c r="B1045" s="122">
        <v>16.049999</v>
      </c>
      <c r="C1045" s="122">
        <v>16.100000000000001</v>
      </c>
      <c r="D1045" s="122">
        <v>15.71</v>
      </c>
      <c r="E1045" s="122">
        <v>16.07</v>
      </c>
      <c r="F1045" s="122">
        <v>12.08169</v>
      </c>
      <c r="G1045" s="197">
        <v>146800</v>
      </c>
      <c r="H1045" s="198">
        <f>IF(AND(E1044&gt;=H1044,E1045&gt;=E1044),E1044*(1+'Trading Model'!$E$13),IF(AND(E1045&lt;E1044,E1044&gt;=H1044),E1045*(1+'Trading Model'!$E$13),H1044))</f>
        <v>27.698998950000004</v>
      </c>
      <c r="I1045" s="198">
        <f>IF(K1045&gt;0,E1045*(1-'Trading Model'!E1055),IF(E1045&lt;I1044,I1044*(1-'Trading Model'!$E$14),I1044))</f>
        <v>8.9840153609188427</v>
      </c>
      <c r="J1045" s="198">
        <f t="shared" si="135"/>
        <v>0</v>
      </c>
      <c r="K1045" s="198">
        <f t="shared" si="130"/>
        <v>0</v>
      </c>
      <c r="L1045" s="198">
        <f>COUNTIF(J1045:K1045,"&lt;&gt;0")*-'Trading Model'!$E$15</f>
        <v>0</v>
      </c>
      <c r="M1045" s="198">
        <f t="shared" si="128"/>
        <v>0</v>
      </c>
      <c r="N1045" s="75">
        <f t="shared" si="131"/>
        <v>45</v>
      </c>
      <c r="O1045" s="202">
        <f t="shared" si="132"/>
        <v>0</v>
      </c>
      <c r="P1045" s="199">
        <f t="shared" si="129"/>
        <v>0</v>
      </c>
      <c r="Q1045" s="203">
        <f t="shared" si="133"/>
        <v>48.500000000001826</v>
      </c>
      <c r="R1045" s="203" t="s">
        <v>55</v>
      </c>
      <c r="S1045" s="201">
        <f t="shared" si="134"/>
        <v>1.8702617287866818E-3</v>
      </c>
    </row>
    <row r="1046" spans="1:19">
      <c r="A1046" s="196">
        <v>41486</v>
      </c>
      <c r="B1046" s="122">
        <v>16.100000000000001</v>
      </c>
      <c r="C1046" s="122">
        <v>16.27</v>
      </c>
      <c r="D1046" s="122">
        <v>15.89</v>
      </c>
      <c r="E1046" s="122">
        <v>16.200001</v>
      </c>
      <c r="F1046" s="122">
        <v>12.179425</v>
      </c>
      <c r="G1046" s="197">
        <v>177100</v>
      </c>
      <c r="H1046" s="198">
        <f>IF(AND(E1045&gt;=H1045,E1046&gt;=E1045),E1045*(1+'Trading Model'!$E$13),IF(AND(E1046&lt;E1045,E1045&gt;=H1045),E1046*(1+'Trading Model'!$E$13),H1045))</f>
        <v>27.698998950000004</v>
      </c>
      <c r="I1046" s="198">
        <f>IF(K1046&gt;0,E1046*(1-'Trading Model'!E1056),IF(E1046&lt;I1045,I1045*(1-'Trading Model'!$E$14),I1045))</f>
        <v>8.9840153609188427</v>
      </c>
      <c r="J1046" s="198">
        <f t="shared" si="135"/>
        <v>0</v>
      </c>
      <c r="K1046" s="198">
        <f t="shared" si="130"/>
        <v>0</v>
      </c>
      <c r="L1046" s="198">
        <f>COUNTIF(J1046:K1046,"&lt;&gt;0")*-'Trading Model'!$E$15</f>
        <v>0</v>
      </c>
      <c r="M1046" s="198">
        <f t="shared" si="128"/>
        <v>0</v>
      </c>
      <c r="N1046" s="75">
        <f t="shared" si="131"/>
        <v>45</v>
      </c>
      <c r="O1046" s="202">
        <f t="shared" si="132"/>
        <v>0</v>
      </c>
      <c r="P1046" s="199">
        <f t="shared" si="129"/>
        <v>0</v>
      </c>
      <c r="Q1046" s="203">
        <f t="shared" si="133"/>
        <v>48.500000000001826</v>
      </c>
      <c r="R1046" s="203" t="s">
        <v>55</v>
      </c>
      <c r="S1046" s="201">
        <f t="shared" si="134"/>
        <v>8.0896701929060733E-3</v>
      </c>
    </row>
    <row r="1047" spans="1:19">
      <c r="A1047" s="196">
        <v>41487</v>
      </c>
      <c r="B1047" s="122">
        <v>16.100000000000001</v>
      </c>
      <c r="C1047" s="122">
        <v>16.379999000000002</v>
      </c>
      <c r="D1047" s="122">
        <v>15.85</v>
      </c>
      <c r="E1047" s="122">
        <v>16.350000000000001</v>
      </c>
      <c r="F1047" s="122">
        <v>12.292198000000001</v>
      </c>
      <c r="G1047" s="197">
        <v>277800</v>
      </c>
      <c r="H1047" s="198">
        <f>IF(AND(E1046&gt;=H1046,E1047&gt;=E1046),E1046*(1+'Trading Model'!$E$13),IF(AND(E1047&lt;E1046,E1046&gt;=H1046),E1047*(1+'Trading Model'!$E$13),H1046))</f>
        <v>27.698998950000004</v>
      </c>
      <c r="I1047" s="198">
        <f>IF(K1047&gt;0,E1047*(1-'Trading Model'!E1057),IF(E1047&lt;I1046,I1046*(1-'Trading Model'!$E$14),I1046))</f>
        <v>8.9840153609188427</v>
      </c>
      <c r="J1047" s="198">
        <f t="shared" si="135"/>
        <v>0</v>
      </c>
      <c r="K1047" s="198">
        <f t="shared" si="130"/>
        <v>0</v>
      </c>
      <c r="L1047" s="198">
        <f>COUNTIF(J1047:K1047,"&lt;&gt;0")*-'Trading Model'!$E$15</f>
        <v>0</v>
      </c>
      <c r="M1047" s="198">
        <f t="shared" si="128"/>
        <v>0</v>
      </c>
      <c r="N1047" s="75">
        <f t="shared" si="131"/>
        <v>45</v>
      </c>
      <c r="O1047" s="202">
        <f t="shared" si="132"/>
        <v>0</v>
      </c>
      <c r="P1047" s="199">
        <f t="shared" si="129"/>
        <v>0</v>
      </c>
      <c r="Q1047" s="203">
        <f t="shared" si="133"/>
        <v>48.500000000001826</v>
      </c>
      <c r="R1047" s="201">
        <f>E1047/B1043-1</f>
        <v>2.1236727045596426E-2</v>
      </c>
      <c r="S1047" s="201">
        <f t="shared" si="134"/>
        <v>9.2591969593089907E-3</v>
      </c>
    </row>
    <row r="1048" spans="1:19">
      <c r="A1048" s="196">
        <v>41488</v>
      </c>
      <c r="B1048" s="122">
        <v>16.32</v>
      </c>
      <c r="C1048" s="122">
        <v>16.809999000000001</v>
      </c>
      <c r="D1048" s="122">
        <v>16.25</v>
      </c>
      <c r="E1048" s="122">
        <v>16.670000000000002</v>
      </c>
      <c r="F1048" s="122">
        <v>12.532779</v>
      </c>
      <c r="G1048" s="197">
        <v>83600</v>
      </c>
      <c r="H1048" s="198">
        <f>IF(AND(E1047&gt;=H1047,E1048&gt;=E1047),E1047*(1+'Trading Model'!$E$13),IF(AND(E1048&lt;E1047,E1047&gt;=H1047),E1048*(1+'Trading Model'!$E$13),H1047))</f>
        <v>27.698998950000004</v>
      </c>
      <c r="I1048" s="198">
        <f>IF(K1048&gt;0,E1048*(1-'Trading Model'!E1058),IF(E1048&lt;I1047,I1047*(1-'Trading Model'!$E$14),I1047))</f>
        <v>8.9840153609188427</v>
      </c>
      <c r="J1048" s="198">
        <f t="shared" si="135"/>
        <v>0</v>
      </c>
      <c r="K1048" s="198">
        <f t="shared" si="130"/>
        <v>0</v>
      </c>
      <c r="L1048" s="198">
        <f>COUNTIF(J1048:K1048,"&lt;&gt;0")*-'Trading Model'!$E$15</f>
        <v>0</v>
      </c>
      <c r="M1048" s="198">
        <f t="shared" si="128"/>
        <v>0</v>
      </c>
      <c r="N1048" s="75">
        <f t="shared" si="131"/>
        <v>45</v>
      </c>
      <c r="O1048" s="202">
        <f t="shared" si="132"/>
        <v>0</v>
      </c>
      <c r="P1048" s="199">
        <f t="shared" si="129"/>
        <v>0</v>
      </c>
      <c r="Q1048" s="203">
        <f t="shared" si="133"/>
        <v>48.500000000001826</v>
      </c>
      <c r="R1048" s="160" t="s">
        <v>55</v>
      </c>
      <c r="S1048" s="201">
        <f t="shared" si="134"/>
        <v>1.9571865443425152E-2</v>
      </c>
    </row>
    <row r="1049" spans="1:19">
      <c r="A1049" s="196">
        <v>41491</v>
      </c>
      <c r="B1049" s="122">
        <v>16.68</v>
      </c>
      <c r="C1049" s="122">
        <v>16.760000000000002</v>
      </c>
      <c r="D1049" s="122">
        <v>16.5</v>
      </c>
      <c r="E1049" s="122">
        <v>16.629999000000002</v>
      </c>
      <c r="F1049" s="122">
        <v>12.502705000000001</v>
      </c>
      <c r="G1049" s="197">
        <v>131900</v>
      </c>
      <c r="H1049" s="198">
        <f>IF(AND(E1048&gt;=H1048,E1049&gt;=E1048),E1048*(1+'Trading Model'!$E$13),IF(AND(E1049&lt;E1048,E1048&gt;=H1048),E1049*(1+'Trading Model'!$E$13),H1048))</f>
        <v>27.698998950000004</v>
      </c>
      <c r="I1049" s="198">
        <f>IF(K1049&gt;0,E1049*(1-'Trading Model'!E1059),IF(E1049&lt;I1048,I1048*(1-'Trading Model'!$E$14),I1048))</f>
        <v>8.9840153609188427</v>
      </c>
      <c r="J1049" s="198">
        <f t="shared" si="135"/>
        <v>0</v>
      </c>
      <c r="K1049" s="198">
        <f t="shared" si="130"/>
        <v>0</v>
      </c>
      <c r="L1049" s="198">
        <f>COUNTIF(J1049:K1049,"&lt;&gt;0")*-'Trading Model'!$E$15</f>
        <v>0</v>
      </c>
      <c r="M1049" s="198">
        <f t="shared" si="128"/>
        <v>0</v>
      </c>
      <c r="N1049" s="75">
        <f t="shared" si="131"/>
        <v>45</v>
      </c>
      <c r="O1049" s="202">
        <f t="shared" si="132"/>
        <v>0</v>
      </c>
      <c r="P1049" s="199">
        <f t="shared" si="129"/>
        <v>0</v>
      </c>
      <c r="Q1049" s="203">
        <f t="shared" si="133"/>
        <v>48.400000000001825</v>
      </c>
      <c r="R1049" s="203" t="s">
        <v>55</v>
      </c>
      <c r="S1049" s="201">
        <f t="shared" si="134"/>
        <v>-2.3995800839832215E-3</v>
      </c>
    </row>
    <row r="1050" spans="1:19">
      <c r="A1050" s="196">
        <v>41492</v>
      </c>
      <c r="B1050" s="122">
        <v>16.629999000000002</v>
      </c>
      <c r="C1050" s="122">
        <v>16.940000999999999</v>
      </c>
      <c r="D1050" s="122">
        <v>16.399999999999999</v>
      </c>
      <c r="E1050" s="122">
        <v>16.879999000000002</v>
      </c>
      <c r="F1050" s="122">
        <v>12.690659</v>
      </c>
      <c r="G1050" s="197">
        <v>502400</v>
      </c>
      <c r="H1050" s="198">
        <f>IF(AND(E1049&gt;=H1049,E1050&gt;=E1049),E1049*(1+'Trading Model'!$E$13),IF(AND(E1050&lt;E1049,E1049&gt;=H1049),E1050*(1+'Trading Model'!$E$13),H1049))</f>
        <v>27.698998950000004</v>
      </c>
      <c r="I1050" s="198">
        <f>IF(K1050&gt;0,E1050*(1-'Trading Model'!E1060),IF(E1050&lt;I1049,I1049*(1-'Trading Model'!$E$14),I1049))</f>
        <v>8.9840153609188427</v>
      </c>
      <c r="J1050" s="198">
        <f t="shared" si="135"/>
        <v>0</v>
      </c>
      <c r="K1050" s="198">
        <f t="shared" si="130"/>
        <v>0</v>
      </c>
      <c r="L1050" s="198">
        <f>COUNTIF(J1050:K1050,"&lt;&gt;0")*-'Trading Model'!$E$15</f>
        <v>0</v>
      </c>
      <c r="M1050" s="198">
        <f t="shared" si="128"/>
        <v>0</v>
      </c>
      <c r="N1050" s="75">
        <f t="shared" si="131"/>
        <v>45</v>
      </c>
      <c r="O1050" s="202">
        <f t="shared" si="132"/>
        <v>0</v>
      </c>
      <c r="P1050" s="199">
        <f t="shared" si="129"/>
        <v>0</v>
      </c>
      <c r="Q1050" s="203">
        <f t="shared" si="133"/>
        <v>48.400000000001825</v>
      </c>
      <c r="R1050" s="203" t="s">
        <v>55</v>
      </c>
      <c r="S1050" s="201">
        <f t="shared" si="134"/>
        <v>1.5033073664045382E-2</v>
      </c>
    </row>
    <row r="1051" spans="1:19">
      <c r="A1051" s="196">
        <v>41493</v>
      </c>
      <c r="B1051" s="122">
        <v>16.73</v>
      </c>
      <c r="C1051" s="122">
        <v>17.739999999999998</v>
      </c>
      <c r="D1051" s="122">
        <v>16.73</v>
      </c>
      <c r="E1051" s="122">
        <v>17.469999000000001</v>
      </c>
      <c r="F1051" s="122">
        <v>13.134233</v>
      </c>
      <c r="G1051" s="197">
        <v>360800</v>
      </c>
      <c r="H1051" s="198">
        <f>IF(AND(E1050&gt;=H1050,E1051&gt;=E1050),E1050*(1+'Trading Model'!$E$13),IF(AND(E1051&lt;E1050,E1050&gt;=H1050),E1051*(1+'Trading Model'!$E$13),H1050))</f>
        <v>27.698998950000004</v>
      </c>
      <c r="I1051" s="198">
        <f>IF(K1051&gt;0,E1051*(1-'Trading Model'!E1061),IF(E1051&lt;I1050,I1050*(1-'Trading Model'!$E$14),I1050))</f>
        <v>8.9840153609188427</v>
      </c>
      <c r="J1051" s="198">
        <f t="shared" si="135"/>
        <v>0</v>
      </c>
      <c r="K1051" s="198">
        <f t="shared" si="130"/>
        <v>0</v>
      </c>
      <c r="L1051" s="198">
        <f>COUNTIF(J1051:K1051,"&lt;&gt;0")*-'Trading Model'!$E$15</f>
        <v>0</v>
      </c>
      <c r="M1051" s="198">
        <f t="shared" si="128"/>
        <v>0</v>
      </c>
      <c r="N1051" s="75">
        <f t="shared" si="131"/>
        <v>45</v>
      </c>
      <c r="O1051" s="202">
        <f t="shared" si="132"/>
        <v>0</v>
      </c>
      <c r="P1051" s="199">
        <f t="shared" si="129"/>
        <v>0</v>
      </c>
      <c r="Q1051" s="203">
        <f t="shared" si="133"/>
        <v>48.400000000001825</v>
      </c>
      <c r="R1051" s="203" t="s">
        <v>55</v>
      </c>
      <c r="S1051" s="201">
        <f t="shared" si="134"/>
        <v>3.4952608705723254E-2</v>
      </c>
    </row>
    <row r="1052" spans="1:19">
      <c r="A1052" s="196">
        <v>41494</v>
      </c>
      <c r="B1052" s="122">
        <v>17.59</v>
      </c>
      <c r="C1052" s="122">
        <v>17.780000999999999</v>
      </c>
      <c r="D1052" s="122">
        <v>17.299999</v>
      </c>
      <c r="E1052" s="122">
        <v>17.780000999999999</v>
      </c>
      <c r="F1052" s="122">
        <v>13.367296</v>
      </c>
      <c r="G1052" s="197">
        <v>384800</v>
      </c>
      <c r="H1052" s="198">
        <f>IF(AND(E1051&gt;=H1051,E1052&gt;=E1051),E1051*(1+'Trading Model'!$E$13),IF(AND(E1052&lt;E1051,E1051&gt;=H1051),E1052*(1+'Trading Model'!$E$13),H1051))</f>
        <v>27.698998950000004</v>
      </c>
      <c r="I1052" s="198">
        <f>IF(K1052&gt;0,E1052*(1-'Trading Model'!E1062),IF(E1052&lt;I1051,I1051*(1-'Trading Model'!$E$14),I1051))</f>
        <v>8.9840153609188427</v>
      </c>
      <c r="J1052" s="198">
        <f t="shared" si="135"/>
        <v>0</v>
      </c>
      <c r="K1052" s="198">
        <f t="shared" si="130"/>
        <v>0</v>
      </c>
      <c r="L1052" s="198">
        <f>COUNTIF(J1052:K1052,"&lt;&gt;0")*-'Trading Model'!$E$15</f>
        <v>0</v>
      </c>
      <c r="M1052" s="198">
        <f t="shared" si="128"/>
        <v>0</v>
      </c>
      <c r="N1052" s="75">
        <f t="shared" si="131"/>
        <v>45</v>
      </c>
      <c r="O1052" s="202">
        <f t="shared" si="132"/>
        <v>0</v>
      </c>
      <c r="P1052" s="199">
        <f t="shared" si="129"/>
        <v>0</v>
      </c>
      <c r="Q1052" s="203">
        <f t="shared" si="133"/>
        <v>48.400000000001825</v>
      </c>
      <c r="R1052" s="201">
        <f>E1052/B1048-1</f>
        <v>8.9460845588235083E-2</v>
      </c>
      <c r="S1052" s="201">
        <f t="shared" si="134"/>
        <v>1.7744820706629527E-2</v>
      </c>
    </row>
    <row r="1053" spans="1:19">
      <c r="A1053" s="196">
        <v>41495</v>
      </c>
      <c r="B1053" s="122">
        <v>17.68</v>
      </c>
      <c r="C1053" s="122">
        <v>17.77</v>
      </c>
      <c r="D1053" s="122">
        <v>17.350000000000001</v>
      </c>
      <c r="E1053" s="122">
        <v>17.43</v>
      </c>
      <c r="F1053" s="122">
        <v>13.104158999999999</v>
      </c>
      <c r="G1053" s="197">
        <v>122300</v>
      </c>
      <c r="H1053" s="198">
        <f>IF(AND(E1052&gt;=H1052,E1053&gt;=E1052),E1052*(1+'Trading Model'!$E$13),IF(AND(E1053&lt;E1052,E1052&gt;=H1052),E1053*(1+'Trading Model'!$E$13),H1052))</f>
        <v>27.698998950000004</v>
      </c>
      <c r="I1053" s="198">
        <f>IF(K1053&gt;0,E1053*(1-'Trading Model'!E1063),IF(E1053&lt;I1052,I1052*(1-'Trading Model'!$E$14),I1052))</f>
        <v>8.9840153609188427</v>
      </c>
      <c r="J1053" s="198">
        <f t="shared" si="135"/>
        <v>0</v>
      </c>
      <c r="K1053" s="198">
        <f t="shared" si="130"/>
        <v>0</v>
      </c>
      <c r="L1053" s="198">
        <f>COUNTIF(J1053:K1053,"&lt;&gt;0")*-'Trading Model'!$E$15</f>
        <v>0</v>
      </c>
      <c r="M1053" s="198">
        <f t="shared" si="128"/>
        <v>0</v>
      </c>
      <c r="N1053" s="75">
        <f t="shared" si="131"/>
        <v>45</v>
      </c>
      <c r="O1053" s="202">
        <f t="shared" si="132"/>
        <v>0</v>
      </c>
      <c r="P1053" s="199">
        <f t="shared" si="129"/>
        <v>0</v>
      </c>
      <c r="Q1053" s="203">
        <f t="shared" si="133"/>
        <v>48.300000000001823</v>
      </c>
      <c r="R1053" s="160" t="s">
        <v>55</v>
      </c>
      <c r="S1053" s="201">
        <f t="shared" si="134"/>
        <v>-1.9685094505900169E-2</v>
      </c>
    </row>
    <row r="1054" spans="1:19">
      <c r="A1054" s="196">
        <v>41498</v>
      </c>
      <c r="B1054" s="122">
        <v>17.389999</v>
      </c>
      <c r="C1054" s="122">
        <v>18.209999</v>
      </c>
      <c r="D1054" s="122">
        <v>16.899999999999999</v>
      </c>
      <c r="E1054" s="122">
        <v>18.149999999999999</v>
      </c>
      <c r="F1054" s="122">
        <v>13.645466000000001</v>
      </c>
      <c r="G1054" s="197">
        <v>221200</v>
      </c>
      <c r="H1054" s="198">
        <f>IF(AND(E1053&gt;=H1053,E1054&gt;=E1053),E1053*(1+'Trading Model'!$E$13),IF(AND(E1054&lt;E1053,E1053&gt;=H1053),E1054*(1+'Trading Model'!$E$13),H1053))</f>
        <v>27.698998950000004</v>
      </c>
      <c r="I1054" s="198">
        <f>IF(K1054&gt;0,E1054*(1-'Trading Model'!E1064),IF(E1054&lt;I1053,I1053*(1-'Trading Model'!$E$14),I1053))</f>
        <v>8.9840153609188427</v>
      </c>
      <c r="J1054" s="198">
        <f t="shared" si="135"/>
        <v>0</v>
      </c>
      <c r="K1054" s="198">
        <f t="shared" si="130"/>
        <v>0</v>
      </c>
      <c r="L1054" s="198">
        <f>COUNTIF(J1054:K1054,"&lt;&gt;0")*-'Trading Model'!$E$15</f>
        <v>0</v>
      </c>
      <c r="M1054" s="198">
        <f t="shared" si="128"/>
        <v>0</v>
      </c>
      <c r="N1054" s="75">
        <f t="shared" si="131"/>
        <v>45</v>
      </c>
      <c r="O1054" s="202">
        <f t="shared" si="132"/>
        <v>0</v>
      </c>
      <c r="P1054" s="199">
        <f t="shared" si="129"/>
        <v>0</v>
      </c>
      <c r="Q1054" s="203">
        <f t="shared" si="133"/>
        <v>48.300000000001823</v>
      </c>
      <c r="R1054" s="203" t="s">
        <v>55</v>
      </c>
      <c r="S1054" s="201">
        <f t="shared" si="134"/>
        <v>4.1308089500860623E-2</v>
      </c>
    </row>
    <row r="1055" spans="1:19">
      <c r="A1055" s="196">
        <v>41499</v>
      </c>
      <c r="B1055" s="122">
        <v>18.200001</v>
      </c>
      <c r="C1055" s="122">
        <v>20.41</v>
      </c>
      <c r="D1055" s="122">
        <v>18.200001</v>
      </c>
      <c r="E1055" s="122">
        <v>19.43</v>
      </c>
      <c r="F1055" s="122">
        <v>14.607791000000001</v>
      </c>
      <c r="G1055" s="197">
        <v>698200</v>
      </c>
      <c r="H1055" s="198">
        <f>IF(AND(E1054&gt;=H1054,E1055&gt;=E1054),E1054*(1+'Trading Model'!$E$13),IF(AND(E1055&lt;E1054,E1054&gt;=H1054),E1055*(1+'Trading Model'!$E$13),H1054))</f>
        <v>27.698998950000004</v>
      </c>
      <c r="I1055" s="198">
        <f>IF(K1055&gt;0,E1055*(1-'Trading Model'!E1065),IF(E1055&lt;I1054,I1054*(1-'Trading Model'!$E$14),I1054))</f>
        <v>8.9840153609188427</v>
      </c>
      <c r="J1055" s="198">
        <f t="shared" si="135"/>
        <v>0</v>
      </c>
      <c r="K1055" s="198">
        <f t="shared" si="130"/>
        <v>0</v>
      </c>
      <c r="L1055" s="198">
        <f>COUNTIF(J1055:K1055,"&lt;&gt;0")*-'Trading Model'!$E$15</f>
        <v>0</v>
      </c>
      <c r="M1055" s="198">
        <f t="shared" si="128"/>
        <v>0</v>
      </c>
      <c r="N1055" s="75">
        <f t="shared" si="131"/>
        <v>45</v>
      </c>
      <c r="O1055" s="202">
        <f t="shared" si="132"/>
        <v>0</v>
      </c>
      <c r="P1055" s="199">
        <f t="shared" si="129"/>
        <v>0</v>
      </c>
      <c r="Q1055" s="203">
        <f t="shared" si="133"/>
        <v>48.300000000001823</v>
      </c>
      <c r="R1055" s="203" t="s">
        <v>55</v>
      </c>
      <c r="S1055" s="201">
        <f t="shared" si="134"/>
        <v>7.0523415977961523E-2</v>
      </c>
    </row>
    <row r="1056" spans="1:19">
      <c r="A1056" s="196">
        <v>41500</v>
      </c>
      <c r="B1056" s="122">
        <v>19.399999999999999</v>
      </c>
      <c r="C1056" s="122">
        <v>20.149999999999999</v>
      </c>
      <c r="D1056" s="122">
        <v>19.280000999999999</v>
      </c>
      <c r="E1056" s="122">
        <v>20.110001</v>
      </c>
      <c r="F1056" s="122">
        <v>15.119027000000001</v>
      </c>
      <c r="G1056" s="197">
        <v>342800</v>
      </c>
      <c r="H1056" s="198">
        <f>IF(AND(E1055&gt;=H1055,E1056&gt;=E1055),E1055*(1+'Trading Model'!$E$13),IF(AND(E1056&lt;E1055,E1055&gt;=H1055),E1056*(1+'Trading Model'!$E$13),H1055))</f>
        <v>27.698998950000004</v>
      </c>
      <c r="I1056" s="198">
        <f>IF(K1056&gt;0,E1056*(1-'Trading Model'!E1066),IF(E1056&lt;I1055,I1055*(1-'Trading Model'!$E$14),I1055))</f>
        <v>8.9840153609188427</v>
      </c>
      <c r="J1056" s="198">
        <f t="shared" si="135"/>
        <v>0</v>
      </c>
      <c r="K1056" s="198">
        <f t="shared" si="130"/>
        <v>0</v>
      </c>
      <c r="L1056" s="198">
        <f>COUNTIF(J1056:K1056,"&lt;&gt;0")*-'Trading Model'!$E$15</f>
        <v>0</v>
      </c>
      <c r="M1056" s="198">
        <f t="shared" si="128"/>
        <v>0</v>
      </c>
      <c r="N1056" s="75">
        <f t="shared" si="131"/>
        <v>45</v>
      </c>
      <c r="O1056" s="202">
        <f t="shared" si="132"/>
        <v>0</v>
      </c>
      <c r="P1056" s="199">
        <f t="shared" si="129"/>
        <v>0</v>
      </c>
      <c r="Q1056" s="203">
        <f t="shared" si="133"/>
        <v>48.300000000001823</v>
      </c>
      <c r="R1056" s="203" t="s">
        <v>55</v>
      </c>
      <c r="S1056" s="201">
        <f t="shared" si="134"/>
        <v>3.4997478126608472E-2</v>
      </c>
    </row>
    <row r="1057" spans="1:19">
      <c r="A1057" s="196">
        <v>41501</v>
      </c>
      <c r="B1057" s="122">
        <v>19.91</v>
      </c>
      <c r="C1057" s="122">
        <v>20.09</v>
      </c>
      <c r="D1057" s="122">
        <v>19.299999</v>
      </c>
      <c r="E1057" s="122">
        <v>19.940000999999999</v>
      </c>
      <c r="F1057" s="122">
        <v>14.99122</v>
      </c>
      <c r="G1057" s="197">
        <v>268900</v>
      </c>
      <c r="H1057" s="198">
        <f>IF(AND(E1056&gt;=H1056,E1057&gt;=E1056),E1056*(1+'Trading Model'!$E$13),IF(AND(E1057&lt;E1056,E1056&gt;=H1056),E1057*(1+'Trading Model'!$E$13),H1056))</f>
        <v>27.698998950000004</v>
      </c>
      <c r="I1057" s="198">
        <f>IF(K1057&gt;0,E1057*(1-'Trading Model'!E1067),IF(E1057&lt;I1056,I1056*(1-'Trading Model'!$E$14),I1056))</f>
        <v>8.9840153609188427</v>
      </c>
      <c r="J1057" s="198">
        <f t="shared" si="135"/>
        <v>0</v>
      </c>
      <c r="K1057" s="198">
        <f t="shared" si="130"/>
        <v>0</v>
      </c>
      <c r="L1057" s="198">
        <f>COUNTIF(J1057:K1057,"&lt;&gt;0")*-'Trading Model'!$E$15</f>
        <v>0</v>
      </c>
      <c r="M1057" s="198">
        <f t="shared" si="128"/>
        <v>0</v>
      </c>
      <c r="N1057" s="75">
        <f t="shared" si="131"/>
        <v>45</v>
      </c>
      <c r="O1057" s="202">
        <f t="shared" si="132"/>
        <v>0</v>
      </c>
      <c r="P1057" s="199">
        <f t="shared" si="129"/>
        <v>0</v>
      </c>
      <c r="Q1057" s="203">
        <f t="shared" si="133"/>
        <v>48.200000000001822</v>
      </c>
      <c r="R1057" s="201">
        <f>E1057/B1053-1</f>
        <v>0.12782811085972856</v>
      </c>
      <c r="S1057" s="201">
        <f t="shared" si="134"/>
        <v>-8.4535052981847825E-3</v>
      </c>
    </row>
    <row r="1058" spans="1:19">
      <c r="A1058" s="196">
        <v>41502</v>
      </c>
      <c r="B1058" s="122">
        <v>19.91</v>
      </c>
      <c r="C1058" s="122">
        <v>20.309999000000001</v>
      </c>
      <c r="D1058" s="122">
        <v>19.760000000000002</v>
      </c>
      <c r="E1058" s="122">
        <v>20</v>
      </c>
      <c r="F1058" s="122">
        <v>15.036326000000001</v>
      </c>
      <c r="G1058" s="197">
        <v>352200</v>
      </c>
      <c r="H1058" s="198">
        <f>IF(AND(E1057&gt;=H1057,E1058&gt;=E1057),E1057*(1+'Trading Model'!$E$13),IF(AND(E1058&lt;E1057,E1057&gt;=H1057),E1058*(1+'Trading Model'!$E$13),H1057))</f>
        <v>27.698998950000004</v>
      </c>
      <c r="I1058" s="198">
        <f>IF(K1058&gt;0,E1058*(1-'Trading Model'!E1068),IF(E1058&lt;I1057,I1057*(1-'Trading Model'!$E$14),I1057))</f>
        <v>8.9840153609188427</v>
      </c>
      <c r="J1058" s="198">
        <f t="shared" si="135"/>
        <v>0</v>
      </c>
      <c r="K1058" s="198">
        <f t="shared" si="130"/>
        <v>0</v>
      </c>
      <c r="L1058" s="198">
        <f>COUNTIF(J1058:K1058,"&lt;&gt;0")*-'Trading Model'!$E$15</f>
        <v>0</v>
      </c>
      <c r="M1058" s="198">
        <f t="shared" si="128"/>
        <v>0</v>
      </c>
      <c r="N1058" s="75">
        <f t="shared" si="131"/>
        <v>45</v>
      </c>
      <c r="O1058" s="202">
        <f t="shared" si="132"/>
        <v>0</v>
      </c>
      <c r="P1058" s="199">
        <f t="shared" si="129"/>
        <v>0</v>
      </c>
      <c r="Q1058" s="203">
        <f t="shared" si="133"/>
        <v>48.200000000001822</v>
      </c>
      <c r="R1058" s="160" t="s">
        <v>55</v>
      </c>
      <c r="S1058" s="201">
        <f t="shared" si="134"/>
        <v>3.0089767798908706E-3</v>
      </c>
    </row>
    <row r="1059" spans="1:19">
      <c r="A1059" s="196">
        <v>41505</v>
      </c>
      <c r="B1059" s="122">
        <v>19.889999</v>
      </c>
      <c r="C1059" s="122">
        <v>20.02</v>
      </c>
      <c r="D1059" s="122">
        <v>19.75</v>
      </c>
      <c r="E1059" s="122">
        <v>19.91</v>
      </c>
      <c r="F1059" s="122">
        <v>14.968666000000001</v>
      </c>
      <c r="G1059" s="197">
        <v>221300</v>
      </c>
      <c r="H1059" s="198">
        <f>IF(AND(E1058&gt;=H1058,E1059&gt;=E1058),E1058*(1+'Trading Model'!$E$13),IF(AND(E1059&lt;E1058,E1058&gt;=H1058),E1059*(1+'Trading Model'!$E$13),H1058))</f>
        <v>27.698998950000004</v>
      </c>
      <c r="I1059" s="198">
        <f>IF(K1059&gt;0,E1059*(1-'Trading Model'!E1069),IF(E1059&lt;I1058,I1058*(1-'Trading Model'!$E$14),I1058))</f>
        <v>8.9840153609188427</v>
      </c>
      <c r="J1059" s="198">
        <f t="shared" si="135"/>
        <v>0</v>
      </c>
      <c r="K1059" s="198">
        <f t="shared" si="130"/>
        <v>0</v>
      </c>
      <c r="L1059" s="198">
        <f>COUNTIF(J1059:K1059,"&lt;&gt;0")*-'Trading Model'!$E$15</f>
        <v>0</v>
      </c>
      <c r="M1059" s="198">
        <f t="shared" si="128"/>
        <v>0</v>
      </c>
      <c r="N1059" s="75">
        <f t="shared" si="131"/>
        <v>45</v>
      </c>
      <c r="O1059" s="202">
        <f t="shared" si="132"/>
        <v>0</v>
      </c>
      <c r="P1059" s="199">
        <f t="shared" si="129"/>
        <v>0</v>
      </c>
      <c r="Q1059" s="203">
        <f t="shared" si="133"/>
        <v>48.10000000000182</v>
      </c>
      <c r="R1059" s="203" t="s">
        <v>55</v>
      </c>
      <c r="S1059" s="201">
        <f t="shared" si="134"/>
        <v>-4.4999999999999485E-3</v>
      </c>
    </row>
    <row r="1060" spans="1:19">
      <c r="A1060" s="196">
        <v>41506</v>
      </c>
      <c r="B1060" s="122">
        <v>19.799999</v>
      </c>
      <c r="C1060" s="122">
        <v>20.07</v>
      </c>
      <c r="D1060" s="122">
        <v>19.68</v>
      </c>
      <c r="E1060" s="122">
        <v>19.709999</v>
      </c>
      <c r="F1060" s="122">
        <v>14.818300000000001</v>
      </c>
      <c r="G1060" s="197">
        <v>195200</v>
      </c>
      <c r="H1060" s="198">
        <f>IF(AND(E1059&gt;=H1059,E1060&gt;=E1059),E1059*(1+'Trading Model'!$E$13),IF(AND(E1060&lt;E1059,E1059&gt;=H1059),E1060*(1+'Trading Model'!$E$13),H1059))</f>
        <v>27.698998950000004</v>
      </c>
      <c r="I1060" s="198">
        <f>IF(K1060&gt;0,E1060*(1-'Trading Model'!E1070),IF(E1060&lt;I1059,I1059*(1-'Trading Model'!$E$14),I1059))</f>
        <v>8.9840153609188427</v>
      </c>
      <c r="J1060" s="198">
        <f t="shared" si="135"/>
        <v>0</v>
      </c>
      <c r="K1060" s="198">
        <f t="shared" si="130"/>
        <v>0</v>
      </c>
      <c r="L1060" s="198">
        <f>COUNTIF(J1060:K1060,"&lt;&gt;0")*-'Trading Model'!$E$15</f>
        <v>0</v>
      </c>
      <c r="M1060" s="198">
        <f t="shared" si="128"/>
        <v>0</v>
      </c>
      <c r="N1060" s="75">
        <f t="shared" si="131"/>
        <v>45</v>
      </c>
      <c r="O1060" s="202">
        <f t="shared" si="132"/>
        <v>0</v>
      </c>
      <c r="P1060" s="199">
        <f t="shared" si="129"/>
        <v>0</v>
      </c>
      <c r="Q1060" s="203">
        <f t="shared" si="133"/>
        <v>48.000000000001819</v>
      </c>
      <c r="R1060" s="203" t="s">
        <v>55</v>
      </c>
      <c r="S1060" s="201">
        <f t="shared" si="134"/>
        <v>-1.0045253641386309E-2</v>
      </c>
    </row>
    <row r="1061" spans="1:19">
      <c r="A1061" s="196">
        <v>41507</v>
      </c>
      <c r="B1061" s="122">
        <v>19.639999</v>
      </c>
      <c r="C1061" s="122">
        <v>19.950001</v>
      </c>
      <c r="D1061" s="122">
        <v>19.27</v>
      </c>
      <c r="E1061" s="122">
        <v>19.48</v>
      </c>
      <c r="F1061" s="122">
        <v>14.645381</v>
      </c>
      <c r="G1061" s="197">
        <v>361400</v>
      </c>
      <c r="H1061" s="198">
        <f>IF(AND(E1060&gt;=H1060,E1061&gt;=E1060),E1060*(1+'Trading Model'!$E$13),IF(AND(E1061&lt;E1060,E1060&gt;=H1060),E1061*(1+'Trading Model'!$E$13),H1060))</f>
        <v>27.698998950000004</v>
      </c>
      <c r="I1061" s="198">
        <f>IF(K1061&gt;0,E1061*(1-'Trading Model'!E1071),IF(E1061&lt;I1060,I1060*(1-'Trading Model'!$E$14),I1060))</f>
        <v>8.9840153609188427</v>
      </c>
      <c r="J1061" s="198">
        <f t="shared" si="135"/>
        <v>0</v>
      </c>
      <c r="K1061" s="198">
        <f t="shared" si="130"/>
        <v>0</v>
      </c>
      <c r="L1061" s="198">
        <f>COUNTIF(J1061:K1061,"&lt;&gt;0")*-'Trading Model'!$E$15</f>
        <v>0</v>
      </c>
      <c r="M1061" s="198">
        <f t="shared" si="128"/>
        <v>0</v>
      </c>
      <c r="N1061" s="75">
        <f t="shared" si="131"/>
        <v>45</v>
      </c>
      <c r="O1061" s="202">
        <f t="shared" si="132"/>
        <v>0</v>
      </c>
      <c r="P1061" s="199">
        <f t="shared" si="129"/>
        <v>0</v>
      </c>
      <c r="Q1061" s="203">
        <f t="shared" si="133"/>
        <v>47.900000000001818</v>
      </c>
      <c r="R1061" s="203" t="s">
        <v>55</v>
      </c>
      <c r="S1061" s="201">
        <f t="shared" si="134"/>
        <v>-1.1669153306400393E-2</v>
      </c>
    </row>
    <row r="1062" spans="1:19">
      <c r="A1062" s="196">
        <v>41508</v>
      </c>
      <c r="B1062" s="122">
        <v>19.559999000000001</v>
      </c>
      <c r="C1062" s="122">
        <v>19.989999999999998</v>
      </c>
      <c r="D1062" s="122">
        <v>19.559999000000001</v>
      </c>
      <c r="E1062" s="122">
        <v>19.879999000000002</v>
      </c>
      <c r="F1062" s="122">
        <v>14.946111</v>
      </c>
      <c r="G1062" s="197">
        <v>414900</v>
      </c>
      <c r="H1062" s="198">
        <f>IF(AND(E1061&gt;=H1061,E1062&gt;=E1061),E1061*(1+'Trading Model'!$E$13),IF(AND(E1062&lt;E1061,E1061&gt;=H1061),E1062*(1+'Trading Model'!$E$13),H1061))</f>
        <v>27.698998950000004</v>
      </c>
      <c r="I1062" s="198">
        <f>IF(K1062&gt;0,E1062*(1-'Trading Model'!E1072),IF(E1062&lt;I1061,I1061*(1-'Trading Model'!$E$14),I1061))</f>
        <v>8.9840153609188427</v>
      </c>
      <c r="J1062" s="198">
        <f t="shared" si="135"/>
        <v>0</v>
      </c>
      <c r="K1062" s="198">
        <f t="shared" si="130"/>
        <v>0</v>
      </c>
      <c r="L1062" s="198">
        <f>COUNTIF(J1062:K1062,"&lt;&gt;0")*-'Trading Model'!$E$15</f>
        <v>0</v>
      </c>
      <c r="M1062" s="198">
        <f t="shared" si="128"/>
        <v>0</v>
      </c>
      <c r="N1062" s="75">
        <f t="shared" si="131"/>
        <v>45</v>
      </c>
      <c r="O1062" s="202">
        <f t="shared" si="132"/>
        <v>0</v>
      </c>
      <c r="P1062" s="199">
        <f t="shared" si="129"/>
        <v>0</v>
      </c>
      <c r="Q1062" s="203">
        <f t="shared" si="133"/>
        <v>47.900000000001818</v>
      </c>
      <c r="R1062" s="201">
        <f>E1062/B1058-1</f>
        <v>-1.5068307383223623E-3</v>
      </c>
      <c r="S1062" s="201">
        <f t="shared" si="134"/>
        <v>2.0533829568788464E-2</v>
      </c>
    </row>
    <row r="1063" spans="1:19">
      <c r="A1063" s="196">
        <v>41509</v>
      </c>
      <c r="B1063" s="122">
        <v>19.850000000000001</v>
      </c>
      <c r="C1063" s="122">
        <v>19.850000000000001</v>
      </c>
      <c r="D1063" s="122">
        <v>19.41</v>
      </c>
      <c r="E1063" s="122">
        <v>19.420000000000002</v>
      </c>
      <c r="F1063" s="122">
        <v>14.600270999999999</v>
      </c>
      <c r="G1063" s="197">
        <v>220500</v>
      </c>
      <c r="H1063" s="198">
        <f>IF(AND(E1062&gt;=H1062,E1063&gt;=E1062),E1062*(1+'Trading Model'!$E$13),IF(AND(E1063&lt;E1062,E1062&gt;=H1062),E1063*(1+'Trading Model'!$E$13),H1062))</f>
        <v>27.698998950000004</v>
      </c>
      <c r="I1063" s="198">
        <f>IF(K1063&gt;0,E1063*(1-'Trading Model'!E1073),IF(E1063&lt;I1062,I1062*(1-'Trading Model'!$E$14),I1062))</f>
        <v>8.9840153609188427</v>
      </c>
      <c r="J1063" s="198">
        <f t="shared" si="135"/>
        <v>0</v>
      </c>
      <c r="K1063" s="198">
        <f t="shared" si="130"/>
        <v>0</v>
      </c>
      <c r="L1063" s="198">
        <f>COUNTIF(J1063:K1063,"&lt;&gt;0")*-'Trading Model'!$E$15</f>
        <v>0</v>
      </c>
      <c r="M1063" s="198">
        <f t="shared" si="128"/>
        <v>0</v>
      </c>
      <c r="N1063" s="75">
        <f t="shared" si="131"/>
        <v>45</v>
      </c>
      <c r="O1063" s="202">
        <f t="shared" si="132"/>
        <v>0</v>
      </c>
      <c r="P1063" s="199">
        <f t="shared" si="129"/>
        <v>0</v>
      </c>
      <c r="Q1063" s="203">
        <f t="shared" si="133"/>
        <v>47.800000000001816</v>
      </c>
      <c r="R1063" s="160" t="s">
        <v>55</v>
      </c>
      <c r="S1063" s="201">
        <f t="shared" si="134"/>
        <v>-2.3138783860099821E-2</v>
      </c>
    </row>
    <row r="1064" spans="1:19">
      <c r="A1064" s="196">
        <v>41512</v>
      </c>
      <c r="B1064" s="122">
        <v>19.290001</v>
      </c>
      <c r="C1064" s="122">
        <v>19.399999999999999</v>
      </c>
      <c r="D1064" s="122">
        <v>18.709999</v>
      </c>
      <c r="E1064" s="122">
        <v>19.030000999999999</v>
      </c>
      <c r="F1064" s="122">
        <v>14.307067999999999</v>
      </c>
      <c r="G1064" s="197">
        <v>305100</v>
      </c>
      <c r="H1064" s="198">
        <f>IF(AND(E1063&gt;=H1063,E1064&gt;=E1063),E1063*(1+'Trading Model'!$E$13),IF(AND(E1064&lt;E1063,E1063&gt;=H1063),E1064*(1+'Trading Model'!$E$13),H1063))</f>
        <v>27.698998950000004</v>
      </c>
      <c r="I1064" s="198">
        <f>IF(K1064&gt;0,E1064*(1-'Trading Model'!E1074),IF(E1064&lt;I1063,I1063*(1-'Trading Model'!$E$14),I1063))</f>
        <v>8.9840153609188427</v>
      </c>
      <c r="J1064" s="198">
        <f t="shared" si="135"/>
        <v>0</v>
      </c>
      <c r="K1064" s="198">
        <f t="shared" si="130"/>
        <v>0</v>
      </c>
      <c r="L1064" s="198">
        <f>COUNTIF(J1064:K1064,"&lt;&gt;0")*-'Trading Model'!$E$15</f>
        <v>0</v>
      </c>
      <c r="M1064" s="198">
        <f t="shared" si="128"/>
        <v>0</v>
      </c>
      <c r="N1064" s="75">
        <f t="shared" si="131"/>
        <v>45</v>
      </c>
      <c r="O1064" s="202">
        <f t="shared" si="132"/>
        <v>0</v>
      </c>
      <c r="P1064" s="199">
        <f t="shared" si="129"/>
        <v>0</v>
      </c>
      <c r="Q1064" s="203">
        <f t="shared" si="133"/>
        <v>47.700000000001815</v>
      </c>
      <c r="R1064" s="203" t="s">
        <v>55</v>
      </c>
      <c r="S1064" s="201">
        <f t="shared" si="134"/>
        <v>-2.0082337796086702E-2</v>
      </c>
    </row>
    <row r="1065" spans="1:19">
      <c r="A1065" s="196">
        <v>41513</v>
      </c>
      <c r="B1065" s="122">
        <v>18.799999</v>
      </c>
      <c r="C1065" s="122">
        <v>19.010000000000002</v>
      </c>
      <c r="D1065" s="122">
        <v>18.719999000000001</v>
      </c>
      <c r="E1065" s="122">
        <v>18.739999999999998</v>
      </c>
      <c r="F1065" s="122">
        <v>14.089039</v>
      </c>
      <c r="G1065" s="197">
        <v>111300</v>
      </c>
      <c r="H1065" s="198">
        <f>IF(AND(E1064&gt;=H1064,E1065&gt;=E1064),E1064*(1+'Trading Model'!$E$13),IF(AND(E1065&lt;E1064,E1064&gt;=H1064),E1065*(1+'Trading Model'!$E$13),H1064))</f>
        <v>27.698998950000004</v>
      </c>
      <c r="I1065" s="198">
        <f>IF(K1065&gt;0,E1065*(1-'Trading Model'!E1075),IF(E1065&lt;I1064,I1064*(1-'Trading Model'!$E$14),I1064))</f>
        <v>8.9840153609188427</v>
      </c>
      <c r="J1065" s="198">
        <f t="shared" si="135"/>
        <v>0</v>
      </c>
      <c r="K1065" s="198">
        <f t="shared" si="130"/>
        <v>0</v>
      </c>
      <c r="L1065" s="198">
        <f>COUNTIF(J1065:K1065,"&lt;&gt;0")*-'Trading Model'!$E$15</f>
        <v>0</v>
      </c>
      <c r="M1065" s="198">
        <f t="shared" si="128"/>
        <v>0</v>
      </c>
      <c r="N1065" s="75">
        <f t="shared" si="131"/>
        <v>45</v>
      </c>
      <c r="O1065" s="202">
        <f t="shared" si="132"/>
        <v>0</v>
      </c>
      <c r="P1065" s="199">
        <f t="shared" si="129"/>
        <v>0</v>
      </c>
      <c r="Q1065" s="203">
        <f t="shared" si="133"/>
        <v>47.600000000001813</v>
      </c>
      <c r="R1065" s="203" t="s">
        <v>55</v>
      </c>
      <c r="S1065" s="201">
        <f t="shared" si="134"/>
        <v>-1.5239147911763173E-2</v>
      </c>
    </row>
    <row r="1066" spans="1:19">
      <c r="A1066" s="196">
        <v>41514</v>
      </c>
      <c r="B1066" s="122">
        <v>18.690000999999999</v>
      </c>
      <c r="C1066" s="122">
        <v>19.170000000000002</v>
      </c>
      <c r="D1066" s="122">
        <v>18.600000000000001</v>
      </c>
      <c r="E1066" s="122">
        <v>18.82</v>
      </c>
      <c r="F1066" s="122">
        <v>14.149183000000001</v>
      </c>
      <c r="G1066" s="197">
        <v>160800</v>
      </c>
      <c r="H1066" s="198">
        <f>IF(AND(E1065&gt;=H1065,E1066&gt;=E1065),E1065*(1+'Trading Model'!$E$13),IF(AND(E1066&lt;E1065,E1065&gt;=H1065),E1066*(1+'Trading Model'!$E$13),H1065))</f>
        <v>27.698998950000004</v>
      </c>
      <c r="I1066" s="198">
        <f>IF(K1066&gt;0,E1066*(1-'Trading Model'!E1076),IF(E1066&lt;I1065,I1065*(1-'Trading Model'!$E$14),I1065))</f>
        <v>8.9840153609188427</v>
      </c>
      <c r="J1066" s="198">
        <f t="shared" si="135"/>
        <v>0</v>
      </c>
      <c r="K1066" s="198">
        <f t="shared" si="130"/>
        <v>0</v>
      </c>
      <c r="L1066" s="198">
        <f>COUNTIF(J1066:K1066,"&lt;&gt;0")*-'Trading Model'!$E$15</f>
        <v>0</v>
      </c>
      <c r="M1066" s="198">
        <f t="shared" si="128"/>
        <v>0</v>
      </c>
      <c r="N1066" s="75">
        <f t="shared" si="131"/>
        <v>45</v>
      </c>
      <c r="O1066" s="202">
        <f t="shared" si="132"/>
        <v>0</v>
      </c>
      <c r="P1066" s="199">
        <f t="shared" si="129"/>
        <v>0</v>
      </c>
      <c r="Q1066" s="203">
        <f t="shared" si="133"/>
        <v>47.600000000001813</v>
      </c>
      <c r="R1066" s="203" t="s">
        <v>55</v>
      </c>
      <c r="S1066" s="201">
        <f t="shared" si="134"/>
        <v>4.2689434364995282E-3</v>
      </c>
    </row>
    <row r="1067" spans="1:19">
      <c r="A1067" s="196">
        <v>41515</v>
      </c>
      <c r="B1067" s="122">
        <v>18.799999</v>
      </c>
      <c r="C1067" s="122">
        <v>19.370000999999998</v>
      </c>
      <c r="D1067" s="122">
        <v>18.75</v>
      </c>
      <c r="E1067" s="122">
        <v>19.110001</v>
      </c>
      <c r="F1067" s="122">
        <v>14.367210999999999</v>
      </c>
      <c r="G1067" s="197">
        <v>106500</v>
      </c>
      <c r="H1067" s="198">
        <f>IF(AND(E1066&gt;=H1066,E1067&gt;=E1066),E1066*(1+'Trading Model'!$E$13),IF(AND(E1067&lt;E1066,E1066&gt;=H1066),E1067*(1+'Trading Model'!$E$13),H1066))</f>
        <v>27.698998950000004</v>
      </c>
      <c r="I1067" s="198">
        <f>IF(K1067&gt;0,E1067*(1-'Trading Model'!E1077),IF(E1067&lt;I1066,I1066*(1-'Trading Model'!$E$14),I1066))</f>
        <v>8.9840153609188427</v>
      </c>
      <c r="J1067" s="198">
        <f t="shared" si="135"/>
        <v>0</v>
      </c>
      <c r="K1067" s="198">
        <f t="shared" si="130"/>
        <v>0</v>
      </c>
      <c r="L1067" s="198">
        <f>COUNTIF(J1067:K1067,"&lt;&gt;0")*-'Trading Model'!$E$15</f>
        <v>0</v>
      </c>
      <c r="M1067" s="198">
        <f t="shared" si="128"/>
        <v>0</v>
      </c>
      <c r="N1067" s="75">
        <f t="shared" si="131"/>
        <v>45</v>
      </c>
      <c r="O1067" s="202">
        <f t="shared" si="132"/>
        <v>0</v>
      </c>
      <c r="P1067" s="199">
        <f t="shared" si="129"/>
        <v>0</v>
      </c>
      <c r="Q1067" s="203">
        <f t="shared" si="133"/>
        <v>47.600000000001813</v>
      </c>
      <c r="R1067" s="201">
        <f>E1067/B1063-1</f>
        <v>-3.7279546599496283E-2</v>
      </c>
      <c r="S1067" s="201">
        <f t="shared" si="134"/>
        <v>1.5409192348565304E-2</v>
      </c>
    </row>
    <row r="1068" spans="1:19">
      <c r="A1068" s="196">
        <v>41516</v>
      </c>
      <c r="B1068" s="122">
        <v>19.100000000000001</v>
      </c>
      <c r="C1068" s="122">
        <v>19.100000000000001</v>
      </c>
      <c r="D1068" s="122">
        <v>18.73</v>
      </c>
      <c r="E1068" s="122">
        <v>18.829999999999998</v>
      </c>
      <c r="F1068" s="122">
        <v>14.156701</v>
      </c>
      <c r="G1068" s="197">
        <v>72800</v>
      </c>
      <c r="H1068" s="198">
        <f>IF(AND(E1067&gt;=H1067,E1068&gt;=E1067),E1067*(1+'Trading Model'!$E$13),IF(AND(E1068&lt;E1067,E1067&gt;=H1067),E1068*(1+'Trading Model'!$E$13),H1067))</f>
        <v>27.698998950000004</v>
      </c>
      <c r="I1068" s="198">
        <f>IF(K1068&gt;0,E1068*(1-'Trading Model'!E1078),IF(E1068&lt;I1067,I1067*(1-'Trading Model'!$E$14),I1067))</f>
        <v>8.9840153609188427</v>
      </c>
      <c r="J1068" s="198">
        <f t="shared" si="135"/>
        <v>0</v>
      </c>
      <c r="K1068" s="198">
        <f t="shared" si="130"/>
        <v>0</v>
      </c>
      <c r="L1068" s="198">
        <f>COUNTIF(J1068:K1068,"&lt;&gt;0")*-'Trading Model'!$E$15</f>
        <v>0</v>
      </c>
      <c r="M1068" s="198">
        <f t="shared" si="128"/>
        <v>0</v>
      </c>
      <c r="N1068" s="75">
        <f t="shared" si="131"/>
        <v>45</v>
      </c>
      <c r="O1068" s="202">
        <f t="shared" si="132"/>
        <v>0</v>
      </c>
      <c r="P1068" s="199">
        <f t="shared" si="129"/>
        <v>0</v>
      </c>
      <c r="Q1068" s="203">
        <f t="shared" si="133"/>
        <v>47.500000000001812</v>
      </c>
      <c r="R1068" s="160" t="s">
        <v>55</v>
      </c>
      <c r="S1068" s="201">
        <f t="shared" si="134"/>
        <v>-1.4652066213916015E-2</v>
      </c>
    </row>
    <row r="1069" spans="1:19">
      <c r="A1069" s="196">
        <v>41520</v>
      </c>
      <c r="B1069" s="122">
        <v>19.010000000000002</v>
      </c>
      <c r="C1069" s="122">
        <v>19.27</v>
      </c>
      <c r="D1069" s="122">
        <v>18.719999000000001</v>
      </c>
      <c r="E1069" s="122">
        <v>19.040001</v>
      </c>
      <c r="F1069" s="122">
        <v>14.314582</v>
      </c>
      <c r="G1069" s="197">
        <v>110600</v>
      </c>
      <c r="H1069" s="198">
        <f>IF(AND(E1068&gt;=H1068,E1069&gt;=E1068),E1068*(1+'Trading Model'!$E$13),IF(AND(E1069&lt;E1068,E1068&gt;=H1068),E1069*(1+'Trading Model'!$E$13),H1068))</f>
        <v>27.698998950000004</v>
      </c>
      <c r="I1069" s="198">
        <f>IF(K1069&gt;0,E1069*(1-'Trading Model'!E1079),IF(E1069&lt;I1068,I1068*(1-'Trading Model'!$E$14),I1068))</f>
        <v>8.9840153609188427</v>
      </c>
      <c r="J1069" s="198">
        <f t="shared" si="135"/>
        <v>0</v>
      </c>
      <c r="K1069" s="198">
        <f t="shared" si="130"/>
        <v>0</v>
      </c>
      <c r="L1069" s="198">
        <f>COUNTIF(J1069:K1069,"&lt;&gt;0")*-'Trading Model'!$E$15</f>
        <v>0</v>
      </c>
      <c r="M1069" s="198">
        <f t="shared" si="128"/>
        <v>0</v>
      </c>
      <c r="N1069" s="75">
        <f t="shared" si="131"/>
        <v>45</v>
      </c>
      <c r="O1069" s="202">
        <f t="shared" si="132"/>
        <v>0</v>
      </c>
      <c r="P1069" s="199">
        <f t="shared" si="129"/>
        <v>0</v>
      </c>
      <c r="Q1069" s="203">
        <f t="shared" si="133"/>
        <v>47.500000000001812</v>
      </c>
      <c r="R1069" s="203" t="s">
        <v>55</v>
      </c>
      <c r="S1069" s="201">
        <f t="shared" si="134"/>
        <v>1.1152469463622028E-2</v>
      </c>
    </row>
    <row r="1070" spans="1:19">
      <c r="A1070" s="196">
        <v>41521</v>
      </c>
      <c r="B1070" s="122">
        <v>18.93</v>
      </c>
      <c r="C1070" s="122">
        <v>19.370000999999998</v>
      </c>
      <c r="D1070" s="122">
        <v>18.899999999999999</v>
      </c>
      <c r="E1070" s="122">
        <v>19.149999999999999</v>
      </c>
      <c r="F1070" s="122">
        <v>14.397283</v>
      </c>
      <c r="G1070" s="197">
        <v>243800</v>
      </c>
      <c r="H1070" s="198">
        <f>IF(AND(E1069&gt;=H1069,E1070&gt;=E1069),E1069*(1+'Trading Model'!$E$13),IF(AND(E1070&lt;E1069,E1069&gt;=H1069),E1070*(1+'Trading Model'!$E$13),H1069))</f>
        <v>27.698998950000004</v>
      </c>
      <c r="I1070" s="198">
        <f>IF(K1070&gt;0,E1070*(1-'Trading Model'!E1080),IF(E1070&lt;I1069,I1069*(1-'Trading Model'!$E$14),I1069))</f>
        <v>8.9840153609188427</v>
      </c>
      <c r="J1070" s="198">
        <f t="shared" si="135"/>
        <v>0</v>
      </c>
      <c r="K1070" s="198">
        <f t="shared" si="130"/>
        <v>0</v>
      </c>
      <c r="L1070" s="198">
        <f>COUNTIF(J1070:K1070,"&lt;&gt;0")*-'Trading Model'!$E$15</f>
        <v>0</v>
      </c>
      <c r="M1070" s="198">
        <f t="shared" si="128"/>
        <v>0</v>
      </c>
      <c r="N1070" s="75">
        <f t="shared" si="131"/>
        <v>45</v>
      </c>
      <c r="O1070" s="202">
        <f t="shared" si="132"/>
        <v>0</v>
      </c>
      <c r="P1070" s="199">
        <f t="shared" si="129"/>
        <v>0</v>
      </c>
      <c r="Q1070" s="203">
        <f t="shared" si="133"/>
        <v>47.500000000001812</v>
      </c>
      <c r="R1070" s="203" t="s">
        <v>55</v>
      </c>
      <c r="S1070" s="201">
        <f t="shared" si="134"/>
        <v>5.7772580999337908E-3</v>
      </c>
    </row>
    <row r="1071" spans="1:19">
      <c r="A1071" s="196">
        <v>41522</v>
      </c>
      <c r="B1071" s="122">
        <v>19.100000000000001</v>
      </c>
      <c r="C1071" s="122">
        <v>19.68</v>
      </c>
      <c r="D1071" s="122">
        <v>19.100000000000001</v>
      </c>
      <c r="E1071" s="122">
        <v>19.530000999999999</v>
      </c>
      <c r="F1071" s="122">
        <v>14.682975000000001</v>
      </c>
      <c r="G1071" s="197">
        <v>194600</v>
      </c>
      <c r="H1071" s="198">
        <f>IF(AND(E1070&gt;=H1070,E1071&gt;=E1070),E1070*(1+'Trading Model'!$E$13),IF(AND(E1071&lt;E1070,E1070&gt;=H1070),E1071*(1+'Trading Model'!$E$13),H1070))</f>
        <v>27.698998950000004</v>
      </c>
      <c r="I1071" s="198">
        <f>IF(K1071&gt;0,E1071*(1-'Trading Model'!E1081),IF(E1071&lt;I1070,I1070*(1-'Trading Model'!$E$14),I1070))</f>
        <v>8.9840153609188427</v>
      </c>
      <c r="J1071" s="198">
        <f t="shared" si="135"/>
        <v>0</v>
      </c>
      <c r="K1071" s="198">
        <f t="shared" si="130"/>
        <v>0</v>
      </c>
      <c r="L1071" s="198">
        <f>COUNTIF(J1071:K1071,"&lt;&gt;0")*-'Trading Model'!$E$15</f>
        <v>0</v>
      </c>
      <c r="M1071" s="198">
        <f t="shared" si="128"/>
        <v>0</v>
      </c>
      <c r="N1071" s="75">
        <f t="shared" si="131"/>
        <v>45</v>
      </c>
      <c r="O1071" s="202">
        <f t="shared" si="132"/>
        <v>0</v>
      </c>
      <c r="P1071" s="199">
        <f t="shared" si="129"/>
        <v>0</v>
      </c>
      <c r="Q1071" s="203">
        <f t="shared" si="133"/>
        <v>47.500000000001812</v>
      </c>
      <c r="R1071" s="203" t="s">
        <v>55</v>
      </c>
      <c r="S1071" s="201">
        <f t="shared" si="134"/>
        <v>1.9843394255874669E-2</v>
      </c>
    </row>
    <row r="1072" spans="1:19">
      <c r="A1072" s="196">
        <v>41523</v>
      </c>
      <c r="B1072" s="122">
        <v>19.559999000000001</v>
      </c>
      <c r="C1072" s="122">
        <v>19.610001</v>
      </c>
      <c r="D1072" s="122">
        <v>19.010000000000002</v>
      </c>
      <c r="E1072" s="122">
        <v>19.09</v>
      </c>
      <c r="F1072" s="122">
        <v>14.352176</v>
      </c>
      <c r="G1072" s="197">
        <v>287100</v>
      </c>
      <c r="H1072" s="198">
        <f>IF(AND(E1071&gt;=H1071,E1072&gt;=E1071),E1071*(1+'Trading Model'!$E$13),IF(AND(E1072&lt;E1071,E1071&gt;=H1071),E1072*(1+'Trading Model'!$E$13),H1071))</f>
        <v>27.698998950000004</v>
      </c>
      <c r="I1072" s="198">
        <f>IF(K1072&gt;0,E1072*(1-'Trading Model'!E1082),IF(E1072&lt;I1071,I1071*(1-'Trading Model'!$E$14),I1071))</f>
        <v>8.9840153609188427</v>
      </c>
      <c r="J1072" s="198">
        <f t="shared" si="135"/>
        <v>0</v>
      </c>
      <c r="K1072" s="198">
        <f t="shared" si="130"/>
        <v>0</v>
      </c>
      <c r="L1072" s="198">
        <f>COUNTIF(J1072:K1072,"&lt;&gt;0")*-'Trading Model'!$E$15</f>
        <v>0</v>
      </c>
      <c r="M1072" s="198">
        <f t="shared" si="128"/>
        <v>0</v>
      </c>
      <c r="N1072" s="75">
        <f t="shared" si="131"/>
        <v>45</v>
      </c>
      <c r="O1072" s="202">
        <f t="shared" si="132"/>
        <v>0</v>
      </c>
      <c r="P1072" s="199">
        <f t="shared" si="129"/>
        <v>0</v>
      </c>
      <c r="Q1072" s="203">
        <f t="shared" si="133"/>
        <v>47.40000000000181</v>
      </c>
      <c r="R1072" s="201">
        <f>E1072/B1068-1</f>
        <v>-5.2356020942412318E-4</v>
      </c>
      <c r="S1072" s="201">
        <f t="shared" si="134"/>
        <v>-2.2529491933973689E-2</v>
      </c>
    </row>
    <row r="1073" spans="1:19">
      <c r="A1073" s="196">
        <v>41526</v>
      </c>
      <c r="B1073" s="122">
        <v>19.09</v>
      </c>
      <c r="C1073" s="122">
        <v>19.719999000000001</v>
      </c>
      <c r="D1073" s="122">
        <v>19.09</v>
      </c>
      <c r="E1073" s="122">
        <v>19.540001</v>
      </c>
      <c r="F1073" s="122">
        <v>14.690493999999999</v>
      </c>
      <c r="G1073" s="197">
        <v>242700</v>
      </c>
      <c r="H1073" s="198">
        <f>IF(AND(E1072&gt;=H1072,E1073&gt;=E1072),E1072*(1+'Trading Model'!$E$13),IF(AND(E1073&lt;E1072,E1072&gt;=H1072),E1073*(1+'Trading Model'!$E$13),H1072))</f>
        <v>27.698998950000004</v>
      </c>
      <c r="I1073" s="198">
        <f>IF(K1073&gt;0,E1073*(1-'Trading Model'!E1083),IF(E1073&lt;I1072,I1072*(1-'Trading Model'!$E$14),I1072))</f>
        <v>8.9840153609188427</v>
      </c>
      <c r="J1073" s="198">
        <f t="shared" si="135"/>
        <v>0</v>
      </c>
      <c r="K1073" s="198">
        <f t="shared" si="130"/>
        <v>0</v>
      </c>
      <c r="L1073" s="198">
        <f>COUNTIF(J1073:K1073,"&lt;&gt;0")*-'Trading Model'!$E$15</f>
        <v>0</v>
      </c>
      <c r="M1073" s="198">
        <f t="shared" si="128"/>
        <v>0</v>
      </c>
      <c r="N1073" s="75">
        <f t="shared" si="131"/>
        <v>45</v>
      </c>
      <c r="O1073" s="202">
        <f t="shared" si="132"/>
        <v>0</v>
      </c>
      <c r="P1073" s="199">
        <f t="shared" si="129"/>
        <v>0</v>
      </c>
      <c r="Q1073" s="203">
        <f t="shared" si="133"/>
        <v>47.40000000000181</v>
      </c>
      <c r="R1073" s="160" t="s">
        <v>55</v>
      </c>
      <c r="S1073" s="201">
        <f t="shared" si="134"/>
        <v>2.3572603457307606E-2</v>
      </c>
    </row>
    <row r="1074" spans="1:19">
      <c r="A1074" s="196">
        <v>41527</v>
      </c>
      <c r="B1074" s="122">
        <v>19.399999999999999</v>
      </c>
      <c r="C1074" s="122">
        <v>19.959999</v>
      </c>
      <c r="D1074" s="122">
        <v>18.870000999999998</v>
      </c>
      <c r="E1074" s="122">
        <v>19.870000999999998</v>
      </c>
      <c r="F1074" s="122">
        <v>14.938592</v>
      </c>
      <c r="G1074" s="197">
        <v>352500</v>
      </c>
      <c r="H1074" s="198">
        <f>IF(AND(E1073&gt;=H1073,E1074&gt;=E1073),E1073*(1+'Trading Model'!$E$13),IF(AND(E1074&lt;E1073,E1073&gt;=H1073),E1074*(1+'Trading Model'!$E$13),H1073))</f>
        <v>27.698998950000004</v>
      </c>
      <c r="I1074" s="198">
        <f>IF(K1074&gt;0,E1074*(1-'Trading Model'!E1084),IF(E1074&lt;I1073,I1073*(1-'Trading Model'!$E$14),I1073))</f>
        <v>8.9840153609188427</v>
      </c>
      <c r="J1074" s="198">
        <f t="shared" si="135"/>
        <v>0</v>
      </c>
      <c r="K1074" s="198">
        <f t="shared" si="130"/>
        <v>0</v>
      </c>
      <c r="L1074" s="198">
        <f>COUNTIF(J1074:K1074,"&lt;&gt;0")*-'Trading Model'!$E$15</f>
        <v>0</v>
      </c>
      <c r="M1074" s="198">
        <f t="shared" si="128"/>
        <v>0</v>
      </c>
      <c r="N1074" s="75">
        <f t="shared" si="131"/>
        <v>45</v>
      </c>
      <c r="O1074" s="202">
        <f t="shared" si="132"/>
        <v>0</v>
      </c>
      <c r="P1074" s="199">
        <f t="shared" si="129"/>
        <v>0</v>
      </c>
      <c r="Q1074" s="203">
        <f t="shared" si="133"/>
        <v>47.40000000000181</v>
      </c>
      <c r="R1074" s="203" t="s">
        <v>55</v>
      </c>
      <c r="S1074" s="201">
        <f t="shared" si="134"/>
        <v>1.6888433117275614E-2</v>
      </c>
    </row>
    <row r="1075" spans="1:19">
      <c r="A1075" s="196">
        <v>41528</v>
      </c>
      <c r="B1075" s="122">
        <v>19.719999000000001</v>
      </c>
      <c r="C1075" s="122">
        <v>20.280000999999999</v>
      </c>
      <c r="D1075" s="122">
        <v>19.239999999999998</v>
      </c>
      <c r="E1075" s="122">
        <v>20</v>
      </c>
      <c r="F1075" s="122">
        <v>15.036326000000001</v>
      </c>
      <c r="G1075" s="197">
        <v>411000</v>
      </c>
      <c r="H1075" s="198">
        <f>IF(AND(E1074&gt;=H1074,E1075&gt;=E1074),E1074*(1+'Trading Model'!$E$13),IF(AND(E1075&lt;E1074,E1074&gt;=H1074),E1075*(1+'Trading Model'!$E$13),H1074))</f>
        <v>27.698998950000004</v>
      </c>
      <c r="I1075" s="198">
        <f>IF(K1075&gt;0,E1075*(1-'Trading Model'!E1085),IF(E1075&lt;I1074,I1074*(1-'Trading Model'!$E$14),I1074))</f>
        <v>8.9840153609188427</v>
      </c>
      <c r="J1075" s="198">
        <f t="shared" si="135"/>
        <v>0</v>
      </c>
      <c r="K1075" s="198">
        <f t="shared" si="130"/>
        <v>0</v>
      </c>
      <c r="L1075" s="198">
        <f>COUNTIF(J1075:K1075,"&lt;&gt;0")*-'Trading Model'!$E$15</f>
        <v>0</v>
      </c>
      <c r="M1075" s="198">
        <f t="shared" si="128"/>
        <v>0</v>
      </c>
      <c r="N1075" s="75">
        <f t="shared" si="131"/>
        <v>45</v>
      </c>
      <c r="O1075" s="202">
        <f t="shared" si="132"/>
        <v>0</v>
      </c>
      <c r="P1075" s="199">
        <f t="shared" si="129"/>
        <v>0</v>
      </c>
      <c r="Q1075" s="203">
        <f t="shared" si="133"/>
        <v>47.40000000000181</v>
      </c>
      <c r="R1075" s="203" t="s">
        <v>55</v>
      </c>
      <c r="S1075" s="201">
        <f t="shared" si="134"/>
        <v>6.5424757653511634E-3</v>
      </c>
    </row>
    <row r="1076" spans="1:19">
      <c r="A1076" s="196">
        <v>41529</v>
      </c>
      <c r="B1076" s="122">
        <v>20</v>
      </c>
      <c r="C1076" s="122">
        <v>20.200001</v>
      </c>
      <c r="D1076" s="122">
        <v>18.190000999999999</v>
      </c>
      <c r="E1076" s="122">
        <v>18.360001</v>
      </c>
      <c r="F1076" s="122">
        <v>13.803349000000001</v>
      </c>
      <c r="G1076" s="197">
        <v>688100</v>
      </c>
      <c r="H1076" s="198">
        <f>IF(AND(E1075&gt;=H1075,E1076&gt;=E1075),E1075*(1+'Trading Model'!$E$13),IF(AND(E1076&lt;E1075,E1075&gt;=H1075),E1076*(1+'Trading Model'!$E$13),H1075))</f>
        <v>27.698998950000004</v>
      </c>
      <c r="I1076" s="198">
        <f>IF(K1076&gt;0,E1076*(1-'Trading Model'!E1086),IF(E1076&lt;I1075,I1075*(1-'Trading Model'!$E$14),I1075))</f>
        <v>8.9840153609188427</v>
      </c>
      <c r="J1076" s="198">
        <f t="shared" si="135"/>
        <v>0</v>
      </c>
      <c r="K1076" s="198">
        <f t="shared" si="130"/>
        <v>0</v>
      </c>
      <c r="L1076" s="198">
        <f>COUNTIF(J1076:K1076,"&lt;&gt;0")*-'Trading Model'!$E$15</f>
        <v>0</v>
      </c>
      <c r="M1076" s="198">
        <f t="shared" si="128"/>
        <v>0</v>
      </c>
      <c r="N1076" s="75">
        <f t="shared" si="131"/>
        <v>45</v>
      </c>
      <c r="O1076" s="202">
        <f t="shared" si="132"/>
        <v>0</v>
      </c>
      <c r="P1076" s="199">
        <f t="shared" si="129"/>
        <v>0</v>
      </c>
      <c r="Q1076" s="203">
        <f t="shared" si="133"/>
        <v>47.300000000001809</v>
      </c>
      <c r="R1076" s="203" t="s">
        <v>55</v>
      </c>
      <c r="S1076" s="201">
        <f t="shared" si="134"/>
        <v>-8.1999949999999933E-2</v>
      </c>
    </row>
    <row r="1077" spans="1:19">
      <c r="A1077" s="196">
        <v>41530</v>
      </c>
      <c r="B1077" s="122">
        <v>18.360001</v>
      </c>
      <c r="C1077" s="122">
        <v>19.559999000000001</v>
      </c>
      <c r="D1077" s="122">
        <v>18.360001</v>
      </c>
      <c r="E1077" s="122">
        <v>19.370000999999998</v>
      </c>
      <c r="F1077" s="122">
        <v>14.562685</v>
      </c>
      <c r="G1077" s="197">
        <v>366400</v>
      </c>
      <c r="H1077" s="198">
        <f>IF(AND(E1076&gt;=H1076,E1077&gt;=E1076),E1076*(1+'Trading Model'!$E$13),IF(AND(E1077&lt;E1076,E1076&gt;=H1076),E1077*(1+'Trading Model'!$E$13),H1076))</f>
        <v>27.698998950000004</v>
      </c>
      <c r="I1077" s="198">
        <f>IF(K1077&gt;0,E1077*(1-'Trading Model'!E1087),IF(E1077&lt;I1076,I1076*(1-'Trading Model'!$E$14),I1076))</f>
        <v>8.9840153609188427</v>
      </c>
      <c r="J1077" s="198">
        <f t="shared" si="135"/>
        <v>0</v>
      </c>
      <c r="K1077" s="198">
        <f t="shared" si="130"/>
        <v>0</v>
      </c>
      <c r="L1077" s="198">
        <f>COUNTIF(J1077:K1077,"&lt;&gt;0")*-'Trading Model'!$E$15</f>
        <v>0</v>
      </c>
      <c r="M1077" s="198">
        <f t="shared" si="128"/>
        <v>0</v>
      </c>
      <c r="N1077" s="75">
        <f t="shared" si="131"/>
        <v>45</v>
      </c>
      <c r="O1077" s="202">
        <f t="shared" si="132"/>
        <v>0</v>
      </c>
      <c r="P1077" s="199">
        <f t="shared" si="129"/>
        <v>0</v>
      </c>
      <c r="Q1077" s="203">
        <f t="shared" si="133"/>
        <v>47.300000000001809</v>
      </c>
      <c r="R1077" s="201">
        <f>E1077/B1073-1</f>
        <v>1.4667417496071256E-2</v>
      </c>
      <c r="S1077" s="201">
        <f t="shared" si="134"/>
        <v>5.5010890249951316E-2</v>
      </c>
    </row>
    <row r="1078" spans="1:19">
      <c r="A1078" s="196">
        <v>41533</v>
      </c>
      <c r="B1078" s="122">
        <v>19.32</v>
      </c>
      <c r="C1078" s="122">
        <v>19.530000999999999</v>
      </c>
      <c r="D1078" s="122">
        <v>19.129999000000002</v>
      </c>
      <c r="E1078" s="122">
        <v>19.440000999999999</v>
      </c>
      <c r="F1078" s="122">
        <v>14.615309999999999</v>
      </c>
      <c r="G1078" s="197">
        <v>274900</v>
      </c>
      <c r="H1078" s="198">
        <f>IF(AND(E1077&gt;=H1077,E1078&gt;=E1077),E1077*(1+'Trading Model'!$E$13),IF(AND(E1078&lt;E1077,E1077&gt;=H1077),E1078*(1+'Trading Model'!$E$13),H1077))</f>
        <v>27.698998950000004</v>
      </c>
      <c r="I1078" s="198">
        <f>IF(K1078&gt;0,E1078*(1-'Trading Model'!E1088),IF(E1078&lt;I1077,I1077*(1-'Trading Model'!$E$14),I1077))</f>
        <v>8.9840153609188427</v>
      </c>
      <c r="J1078" s="198">
        <f t="shared" si="135"/>
        <v>0</v>
      </c>
      <c r="K1078" s="198">
        <f t="shared" si="130"/>
        <v>0</v>
      </c>
      <c r="L1078" s="198">
        <f>COUNTIF(J1078:K1078,"&lt;&gt;0")*-'Trading Model'!$E$15</f>
        <v>0</v>
      </c>
      <c r="M1078" s="198">
        <f t="shared" si="128"/>
        <v>0</v>
      </c>
      <c r="N1078" s="75">
        <f t="shared" si="131"/>
        <v>45</v>
      </c>
      <c r="O1078" s="202">
        <f t="shared" si="132"/>
        <v>0</v>
      </c>
      <c r="P1078" s="199">
        <f t="shared" si="129"/>
        <v>0</v>
      </c>
      <c r="Q1078" s="203">
        <f t="shared" si="133"/>
        <v>47.300000000001809</v>
      </c>
      <c r="R1078" s="160" t="s">
        <v>55</v>
      </c>
      <c r="S1078" s="201">
        <f t="shared" si="134"/>
        <v>3.6138356420323259E-3</v>
      </c>
    </row>
    <row r="1079" spans="1:19">
      <c r="A1079" s="196">
        <v>41534</v>
      </c>
      <c r="B1079" s="122">
        <v>19.25</v>
      </c>
      <c r="C1079" s="122">
        <v>19.719999000000001</v>
      </c>
      <c r="D1079" s="122">
        <v>19.25</v>
      </c>
      <c r="E1079" s="122">
        <v>19.600000000000001</v>
      </c>
      <c r="F1079" s="122">
        <v>14.735602</v>
      </c>
      <c r="G1079" s="197">
        <v>305100</v>
      </c>
      <c r="H1079" s="198">
        <f>IF(AND(E1078&gt;=H1078,E1079&gt;=E1078),E1078*(1+'Trading Model'!$E$13),IF(AND(E1079&lt;E1078,E1078&gt;=H1078),E1079*(1+'Trading Model'!$E$13),H1078))</f>
        <v>27.698998950000004</v>
      </c>
      <c r="I1079" s="198">
        <f>IF(K1079&gt;0,E1079*(1-'Trading Model'!E1089),IF(E1079&lt;I1078,I1078*(1-'Trading Model'!$E$14),I1078))</f>
        <v>8.9840153609188427</v>
      </c>
      <c r="J1079" s="198">
        <f t="shared" si="135"/>
        <v>0</v>
      </c>
      <c r="K1079" s="198">
        <f t="shared" si="130"/>
        <v>0</v>
      </c>
      <c r="L1079" s="198">
        <f>COUNTIF(J1079:K1079,"&lt;&gt;0")*-'Trading Model'!$E$15</f>
        <v>0</v>
      </c>
      <c r="M1079" s="198">
        <f t="shared" si="128"/>
        <v>0</v>
      </c>
      <c r="N1079" s="75">
        <f t="shared" si="131"/>
        <v>45</v>
      </c>
      <c r="O1079" s="202">
        <f t="shared" si="132"/>
        <v>0</v>
      </c>
      <c r="P1079" s="199">
        <f t="shared" si="129"/>
        <v>0</v>
      </c>
      <c r="Q1079" s="203">
        <f t="shared" si="133"/>
        <v>47.300000000001809</v>
      </c>
      <c r="R1079" s="203" t="s">
        <v>55</v>
      </c>
      <c r="S1079" s="201">
        <f t="shared" si="134"/>
        <v>8.2304008111935278E-3</v>
      </c>
    </row>
    <row r="1080" spans="1:19">
      <c r="A1080" s="196">
        <v>41535</v>
      </c>
      <c r="B1080" s="122">
        <v>19.639999</v>
      </c>
      <c r="C1080" s="122">
        <v>19.739999999999998</v>
      </c>
      <c r="D1080" s="122">
        <v>19.149999999999999</v>
      </c>
      <c r="E1080" s="122">
        <v>19.649999999999999</v>
      </c>
      <c r="F1080" s="122">
        <v>14.773192999999999</v>
      </c>
      <c r="G1080" s="197">
        <v>234400</v>
      </c>
      <c r="H1080" s="198">
        <f>IF(AND(E1079&gt;=H1079,E1080&gt;=E1079),E1079*(1+'Trading Model'!$E$13),IF(AND(E1080&lt;E1079,E1079&gt;=H1079),E1080*(1+'Trading Model'!$E$13),H1079))</f>
        <v>27.698998950000004</v>
      </c>
      <c r="I1080" s="198">
        <f>IF(K1080&gt;0,E1080*(1-'Trading Model'!E1090),IF(E1080&lt;I1079,I1079*(1-'Trading Model'!$E$14),I1079))</f>
        <v>8.9840153609188427</v>
      </c>
      <c r="J1080" s="198">
        <f t="shared" si="135"/>
        <v>0</v>
      </c>
      <c r="K1080" s="198">
        <f t="shared" si="130"/>
        <v>0</v>
      </c>
      <c r="L1080" s="198">
        <f>COUNTIF(J1080:K1080,"&lt;&gt;0")*-'Trading Model'!$E$15</f>
        <v>0</v>
      </c>
      <c r="M1080" s="198">
        <f t="shared" si="128"/>
        <v>0</v>
      </c>
      <c r="N1080" s="75">
        <f t="shared" si="131"/>
        <v>45</v>
      </c>
      <c r="O1080" s="202">
        <f t="shared" si="132"/>
        <v>0</v>
      </c>
      <c r="P1080" s="199">
        <f t="shared" si="129"/>
        <v>0</v>
      </c>
      <c r="Q1080" s="203">
        <f t="shared" si="133"/>
        <v>47.300000000001809</v>
      </c>
      <c r="R1080" s="203" t="s">
        <v>55</v>
      </c>
      <c r="S1080" s="201">
        <f t="shared" si="134"/>
        <v>2.5510204081631294E-3</v>
      </c>
    </row>
    <row r="1081" spans="1:19">
      <c r="A1081" s="196">
        <v>41536</v>
      </c>
      <c r="B1081" s="122">
        <v>19.639999</v>
      </c>
      <c r="C1081" s="122">
        <v>19.73</v>
      </c>
      <c r="D1081" s="122">
        <v>18.969999000000001</v>
      </c>
      <c r="E1081" s="122">
        <v>19.02</v>
      </c>
      <c r="F1081" s="122">
        <v>14.299547</v>
      </c>
      <c r="G1081" s="197">
        <v>272800</v>
      </c>
      <c r="H1081" s="198">
        <f>IF(AND(E1080&gt;=H1080,E1081&gt;=E1080),E1080*(1+'Trading Model'!$E$13),IF(AND(E1081&lt;E1080,E1080&gt;=H1080),E1081*(1+'Trading Model'!$E$13),H1080))</f>
        <v>27.698998950000004</v>
      </c>
      <c r="I1081" s="198">
        <f>IF(K1081&gt;0,E1081*(1-'Trading Model'!E1091),IF(E1081&lt;I1080,I1080*(1-'Trading Model'!$E$14),I1080))</f>
        <v>8.9840153609188427</v>
      </c>
      <c r="J1081" s="198">
        <f t="shared" si="135"/>
        <v>0</v>
      </c>
      <c r="K1081" s="198">
        <f t="shared" si="130"/>
        <v>0</v>
      </c>
      <c r="L1081" s="198">
        <f>COUNTIF(J1081:K1081,"&lt;&gt;0")*-'Trading Model'!$E$15</f>
        <v>0</v>
      </c>
      <c r="M1081" s="198">
        <f t="shared" si="128"/>
        <v>0</v>
      </c>
      <c r="N1081" s="75">
        <f t="shared" si="131"/>
        <v>45</v>
      </c>
      <c r="O1081" s="202">
        <f t="shared" si="132"/>
        <v>0</v>
      </c>
      <c r="P1081" s="199">
        <f t="shared" si="129"/>
        <v>0</v>
      </c>
      <c r="Q1081" s="203">
        <f t="shared" si="133"/>
        <v>47.200000000001808</v>
      </c>
      <c r="R1081" s="203" t="s">
        <v>55</v>
      </c>
      <c r="S1081" s="201">
        <f t="shared" si="134"/>
        <v>-3.2061068702289974E-2</v>
      </c>
    </row>
    <row r="1082" spans="1:19">
      <c r="A1082" s="196">
        <v>41537</v>
      </c>
      <c r="B1082" s="122">
        <v>18.98</v>
      </c>
      <c r="C1082" s="122">
        <v>19.43</v>
      </c>
      <c r="D1082" s="122">
        <v>18.719999000000001</v>
      </c>
      <c r="E1082" s="122">
        <v>19.200001</v>
      </c>
      <c r="F1082" s="122">
        <v>14.434875999999999</v>
      </c>
      <c r="G1082" s="197">
        <v>158400</v>
      </c>
      <c r="H1082" s="198">
        <f>IF(AND(E1081&gt;=H1081,E1082&gt;=E1081),E1081*(1+'Trading Model'!$E$13),IF(AND(E1082&lt;E1081,E1081&gt;=H1081),E1082*(1+'Trading Model'!$E$13),H1081))</f>
        <v>27.698998950000004</v>
      </c>
      <c r="I1082" s="198">
        <f>IF(K1082&gt;0,E1082*(1-'Trading Model'!E1092),IF(E1082&lt;I1081,I1081*(1-'Trading Model'!$E$14),I1081))</f>
        <v>8.9840153609188427</v>
      </c>
      <c r="J1082" s="198">
        <f t="shared" si="135"/>
        <v>0</v>
      </c>
      <c r="K1082" s="198">
        <f t="shared" si="130"/>
        <v>0</v>
      </c>
      <c r="L1082" s="198">
        <f>COUNTIF(J1082:K1082,"&lt;&gt;0")*-'Trading Model'!$E$15</f>
        <v>0</v>
      </c>
      <c r="M1082" s="198">
        <f t="shared" si="128"/>
        <v>0</v>
      </c>
      <c r="N1082" s="75">
        <f t="shared" si="131"/>
        <v>45</v>
      </c>
      <c r="O1082" s="202">
        <f t="shared" si="132"/>
        <v>0</v>
      </c>
      <c r="P1082" s="199">
        <f t="shared" si="129"/>
        <v>0</v>
      </c>
      <c r="Q1082" s="203">
        <f t="shared" si="133"/>
        <v>47.200000000001808</v>
      </c>
      <c r="R1082" s="201">
        <f>E1082/B1078-1</f>
        <v>-6.2111283643891957E-3</v>
      </c>
      <c r="S1082" s="201">
        <f t="shared" si="134"/>
        <v>9.4637749737118693E-3</v>
      </c>
    </row>
    <row r="1083" spans="1:19">
      <c r="A1083" s="196">
        <v>41540</v>
      </c>
      <c r="B1083" s="122">
        <v>19.110001</v>
      </c>
      <c r="C1083" s="122">
        <v>19.170000000000002</v>
      </c>
      <c r="D1083" s="122">
        <v>18.700001</v>
      </c>
      <c r="E1083" s="122">
        <v>18.829999999999998</v>
      </c>
      <c r="F1083" s="122">
        <v>14.156701</v>
      </c>
      <c r="G1083" s="197">
        <v>255400</v>
      </c>
      <c r="H1083" s="198">
        <f>IF(AND(E1082&gt;=H1082,E1083&gt;=E1082),E1082*(1+'Trading Model'!$E$13),IF(AND(E1083&lt;E1082,E1082&gt;=H1082),E1083*(1+'Trading Model'!$E$13),H1082))</f>
        <v>27.698998950000004</v>
      </c>
      <c r="I1083" s="198">
        <f>IF(K1083&gt;0,E1083*(1-'Trading Model'!E1093),IF(E1083&lt;I1082,I1082*(1-'Trading Model'!$E$14),I1082))</f>
        <v>8.9840153609188427</v>
      </c>
      <c r="J1083" s="198">
        <f t="shared" si="135"/>
        <v>0</v>
      </c>
      <c r="K1083" s="198">
        <f t="shared" si="130"/>
        <v>0</v>
      </c>
      <c r="L1083" s="198">
        <f>COUNTIF(J1083:K1083,"&lt;&gt;0")*-'Trading Model'!$E$15</f>
        <v>0</v>
      </c>
      <c r="M1083" s="198">
        <f t="shared" si="128"/>
        <v>0</v>
      </c>
      <c r="N1083" s="75">
        <f t="shared" si="131"/>
        <v>45</v>
      </c>
      <c r="O1083" s="202">
        <f t="shared" si="132"/>
        <v>0</v>
      </c>
      <c r="P1083" s="199">
        <f t="shared" si="129"/>
        <v>0</v>
      </c>
      <c r="Q1083" s="203">
        <f t="shared" si="133"/>
        <v>47.100000000001806</v>
      </c>
      <c r="R1083" s="160" t="s">
        <v>55</v>
      </c>
      <c r="S1083" s="201">
        <f t="shared" si="134"/>
        <v>-1.9270884412974865E-2</v>
      </c>
    </row>
    <row r="1084" spans="1:19">
      <c r="A1084" s="196">
        <v>41541</v>
      </c>
      <c r="B1084" s="122">
        <v>18.73</v>
      </c>
      <c r="C1084" s="122">
        <v>19.079999999999998</v>
      </c>
      <c r="D1084" s="122">
        <v>18.579999999999998</v>
      </c>
      <c r="E1084" s="122">
        <v>18.989999999999998</v>
      </c>
      <c r="F1084" s="122">
        <v>14.276992</v>
      </c>
      <c r="G1084" s="197">
        <v>143500</v>
      </c>
      <c r="H1084" s="198">
        <f>IF(AND(E1083&gt;=H1083,E1084&gt;=E1083),E1083*(1+'Trading Model'!$E$13),IF(AND(E1084&lt;E1083,E1083&gt;=H1083),E1084*(1+'Trading Model'!$E$13),H1083))</f>
        <v>27.698998950000004</v>
      </c>
      <c r="I1084" s="198">
        <f>IF(K1084&gt;0,E1084*(1-'Trading Model'!E1094),IF(E1084&lt;I1083,I1083*(1-'Trading Model'!$E$14),I1083))</f>
        <v>8.9840153609188427</v>
      </c>
      <c r="J1084" s="198">
        <f t="shared" si="135"/>
        <v>0</v>
      </c>
      <c r="K1084" s="198">
        <f t="shared" si="130"/>
        <v>0</v>
      </c>
      <c r="L1084" s="198">
        <f>COUNTIF(J1084:K1084,"&lt;&gt;0")*-'Trading Model'!$E$15</f>
        <v>0</v>
      </c>
      <c r="M1084" s="198">
        <f t="shared" si="128"/>
        <v>0</v>
      </c>
      <c r="N1084" s="75">
        <f t="shared" si="131"/>
        <v>45</v>
      </c>
      <c r="O1084" s="202">
        <f t="shared" si="132"/>
        <v>0</v>
      </c>
      <c r="P1084" s="199">
        <f t="shared" si="129"/>
        <v>0</v>
      </c>
      <c r="Q1084" s="203">
        <f t="shared" si="133"/>
        <v>47.100000000001806</v>
      </c>
      <c r="R1084" s="203" t="s">
        <v>55</v>
      </c>
      <c r="S1084" s="201">
        <f t="shared" si="134"/>
        <v>8.4970791290492897E-3</v>
      </c>
    </row>
    <row r="1085" spans="1:19">
      <c r="A1085" s="196">
        <v>41542</v>
      </c>
      <c r="B1085" s="122">
        <v>18.969999000000001</v>
      </c>
      <c r="C1085" s="122">
        <v>19.290001</v>
      </c>
      <c r="D1085" s="122">
        <v>18.780000999999999</v>
      </c>
      <c r="E1085" s="122">
        <v>18.809999000000001</v>
      </c>
      <c r="F1085" s="122">
        <v>14.141666000000001</v>
      </c>
      <c r="G1085" s="197">
        <v>115900</v>
      </c>
      <c r="H1085" s="198">
        <f>IF(AND(E1084&gt;=H1084,E1085&gt;=E1084),E1084*(1+'Trading Model'!$E$13),IF(AND(E1085&lt;E1084,E1084&gt;=H1084),E1085*(1+'Trading Model'!$E$13),H1084))</f>
        <v>27.698998950000004</v>
      </c>
      <c r="I1085" s="198">
        <f>IF(K1085&gt;0,E1085*(1-'Trading Model'!E1095),IF(E1085&lt;I1084,I1084*(1-'Trading Model'!$E$14),I1084))</f>
        <v>8.9840153609188427</v>
      </c>
      <c r="J1085" s="198">
        <f t="shared" si="135"/>
        <v>0</v>
      </c>
      <c r="K1085" s="198">
        <f t="shared" si="130"/>
        <v>0</v>
      </c>
      <c r="L1085" s="198">
        <f>COUNTIF(J1085:K1085,"&lt;&gt;0")*-'Trading Model'!$E$15</f>
        <v>0</v>
      </c>
      <c r="M1085" s="198">
        <f t="shared" si="128"/>
        <v>0</v>
      </c>
      <c r="N1085" s="75">
        <f t="shared" si="131"/>
        <v>45</v>
      </c>
      <c r="O1085" s="202">
        <f t="shared" si="132"/>
        <v>0</v>
      </c>
      <c r="P1085" s="199">
        <f t="shared" si="129"/>
        <v>0</v>
      </c>
      <c r="Q1085" s="203">
        <f t="shared" si="133"/>
        <v>47.000000000001805</v>
      </c>
      <c r="R1085" s="203" t="s">
        <v>55</v>
      </c>
      <c r="S1085" s="201">
        <f t="shared" si="134"/>
        <v>-9.4787256450762358E-3</v>
      </c>
    </row>
    <row r="1086" spans="1:19">
      <c r="A1086" s="196">
        <v>41543</v>
      </c>
      <c r="B1086" s="122">
        <v>18.959999</v>
      </c>
      <c r="C1086" s="122">
        <v>19.07</v>
      </c>
      <c r="D1086" s="122">
        <v>17.25</v>
      </c>
      <c r="E1086" s="122">
        <v>18.010000000000002</v>
      </c>
      <c r="F1086" s="122">
        <v>13.540214000000001</v>
      </c>
      <c r="G1086" s="197">
        <v>425400</v>
      </c>
      <c r="H1086" s="198">
        <f>IF(AND(E1085&gt;=H1085,E1086&gt;=E1085),E1085*(1+'Trading Model'!$E$13),IF(AND(E1086&lt;E1085,E1085&gt;=H1085),E1086*(1+'Trading Model'!$E$13),H1085))</f>
        <v>27.698998950000004</v>
      </c>
      <c r="I1086" s="198">
        <f>IF(K1086&gt;0,E1086*(1-'Trading Model'!E1096),IF(E1086&lt;I1085,I1085*(1-'Trading Model'!$E$14),I1085))</f>
        <v>8.9840153609188427</v>
      </c>
      <c r="J1086" s="198">
        <f t="shared" si="135"/>
        <v>0</v>
      </c>
      <c r="K1086" s="198">
        <f t="shared" si="130"/>
        <v>0</v>
      </c>
      <c r="L1086" s="198">
        <f>COUNTIF(J1086:K1086,"&lt;&gt;0")*-'Trading Model'!$E$15</f>
        <v>0</v>
      </c>
      <c r="M1086" s="198">
        <f t="shared" si="128"/>
        <v>0</v>
      </c>
      <c r="N1086" s="75">
        <f t="shared" si="131"/>
        <v>45</v>
      </c>
      <c r="O1086" s="202">
        <f t="shared" si="132"/>
        <v>0</v>
      </c>
      <c r="P1086" s="199">
        <f t="shared" si="129"/>
        <v>0</v>
      </c>
      <c r="Q1086" s="203">
        <f t="shared" si="133"/>
        <v>46.900000000001803</v>
      </c>
      <c r="R1086" s="203" t="s">
        <v>55</v>
      </c>
      <c r="S1086" s="201">
        <f t="shared" si="134"/>
        <v>-4.2530517944206148E-2</v>
      </c>
    </row>
    <row r="1087" spans="1:19">
      <c r="A1087" s="196">
        <v>41544</v>
      </c>
      <c r="B1087" s="122">
        <v>17.98</v>
      </c>
      <c r="C1087" s="122">
        <v>18.440000999999999</v>
      </c>
      <c r="D1087" s="122">
        <v>17.75</v>
      </c>
      <c r="E1087" s="122">
        <v>18.129999000000002</v>
      </c>
      <c r="F1087" s="122">
        <v>13.630428999999999</v>
      </c>
      <c r="G1087" s="197">
        <v>150100</v>
      </c>
      <c r="H1087" s="198">
        <f>IF(AND(E1086&gt;=H1086,E1087&gt;=E1086),E1086*(1+'Trading Model'!$E$13),IF(AND(E1087&lt;E1086,E1086&gt;=H1086),E1087*(1+'Trading Model'!$E$13),H1086))</f>
        <v>27.698998950000004</v>
      </c>
      <c r="I1087" s="198">
        <f>IF(K1087&gt;0,E1087*(1-'Trading Model'!E1097),IF(E1087&lt;I1086,I1086*(1-'Trading Model'!$E$14),I1086))</f>
        <v>8.9840153609188427</v>
      </c>
      <c r="J1087" s="198">
        <f t="shared" si="135"/>
        <v>0</v>
      </c>
      <c r="K1087" s="198">
        <f t="shared" si="130"/>
        <v>0</v>
      </c>
      <c r="L1087" s="198">
        <f>COUNTIF(J1087:K1087,"&lt;&gt;0")*-'Trading Model'!$E$15</f>
        <v>0</v>
      </c>
      <c r="M1087" s="198">
        <f t="shared" si="128"/>
        <v>0</v>
      </c>
      <c r="N1087" s="75">
        <f t="shared" si="131"/>
        <v>45</v>
      </c>
      <c r="O1087" s="202">
        <f t="shared" si="132"/>
        <v>0</v>
      </c>
      <c r="P1087" s="199">
        <f t="shared" si="129"/>
        <v>0</v>
      </c>
      <c r="Q1087" s="203">
        <f t="shared" si="133"/>
        <v>46.900000000001803</v>
      </c>
      <c r="R1087" s="201">
        <f>E1087/B1083-1</f>
        <v>-5.1282153255774232E-2</v>
      </c>
      <c r="S1087" s="201">
        <f t="shared" si="134"/>
        <v>6.6629094947252554E-3</v>
      </c>
    </row>
    <row r="1088" spans="1:19">
      <c r="A1088" s="196">
        <v>41547</v>
      </c>
      <c r="B1088" s="122">
        <v>18.010000000000002</v>
      </c>
      <c r="C1088" s="122">
        <v>18.129999000000002</v>
      </c>
      <c r="D1088" s="122">
        <v>17.610001</v>
      </c>
      <c r="E1088" s="122">
        <v>17.950001</v>
      </c>
      <c r="F1088" s="122">
        <v>13.495105000000001</v>
      </c>
      <c r="G1088" s="197">
        <v>180600</v>
      </c>
      <c r="H1088" s="198">
        <f>IF(AND(E1087&gt;=H1087,E1088&gt;=E1087),E1087*(1+'Trading Model'!$E$13),IF(AND(E1088&lt;E1087,E1087&gt;=H1087),E1088*(1+'Trading Model'!$E$13),H1087))</f>
        <v>27.698998950000004</v>
      </c>
      <c r="I1088" s="198">
        <f>IF(K1088&gt;0,E1088*(1-'Trading Model'!E1098),IF(E1088&lt;I1087,I1087*(1-'Trading Model'!$E$14),I1087))</f>
        <v>8.9840153609188427</v>
      </c>
      <c r="J1088" s="198">
        <f t="shared" si="135"/>
        <v>0</v>
      </c>
      <c r="K1088" s="198">
        <f t="shared" si="130"/>
        <v>0</v>
      </c>
      <c r="L1088" s="198">
        <f>COUNTIF(J1088:K1088,"&lt;&gt;0")*-'Trading Model'!$E$15</f>
        <v>0</v>
      </c>
      <c r="M1088" s="198">
        <f t="shared" si="128"/>
        <v>0</v>
      </c>
      <c r="N1088" s="75">
        <f t="shared" si="131"/>
        <v>45</v>
      </c>
      <c r="O1088" s="202">
        <f t="shared" si="132"/>
        <v>0</v>
      </c>
      <c r="P1088" s="199">
        <f t="shared" si="129"/>
        <v>0</v>
      </c>
      <c r="Q1088" s="203">
        <f t="shared" si="133"/>
        <v>46.800000000001802</v>
      </c>
      <c r="R1088" s="160" t="s">
        <v>55</v>
      </c>
      <c r="S1088" s="201">
        <f t="shared" si="134"/>
        <v>-9.9281858757963581E-3</v>
      </c>
    </row>
    <row r="1089" spans="1:19">
      <c r="A1089" s="196">
        <v>41548</v>
      </c>
      <c r="B1089" s="122">
        <v>17.940000999999999</v>
      </c>
      <c r="C1089" s="122">
        <v>18.25</v>
      </c>
      <c r="D1089" s="122">
        <v>17.68</v>
      </c>
      <c r="E1089" s="122">
        <v>18.25</v>
      </c>
      <c r="F1089" s="122">
        <v>13.720648000000001</v>
      </c>
      <c r="G1089" s="197">
        <v>136700</v>
      </c>
      <c r="H1089" s="198">
        <f>IF(AND(E1088&gt;=H1088,E1089&gt;=E1088),E1088*(1+'Trading Model'!$E$13),IF(AND(E1089&lt;E1088,E1088&gt;=H1088),E1089*(1+'Trading Model'!$E$13),H1088))</f>
        <v>27.698998950000004</v>
      </c>
      <c r="I1089" s="198">
        <f>IF(K1089&gt;0,E1089*(1-'Trading Model'!E1099),IF(E1089&lt;I1088,I1088*(1-'Trading Model'!$E$14),I1088))</f>
        <v>8.9840153609188427</v>
      </c>
      <c r="J1089" s="198">
        <f t="shared" si="135"/>
        <v>0</v>
      </c>
      <c r="K1089" s="198">
        <f t="shared" si="130"/>
        <v>0</v>
      </c>
      <c r="L1089" s="198">
        <f>COUNTIF(J1089:K1089,"&lt;&gt;0")*-'Trading Model'!$E$15</f>
        <v>0</v>
      </c>
      <c r="M1089" s="198">
        <f t="shared" si="128"/>
        <v>0</v>
      </c>
      <c r="N1089" s="75">
        <f t="shared" si="131"/>
        <v>45</v>
      </c>
      <c r="O1089" s="202">
        <f t="shared" si="132"/>
        <v>0</v>
      </c>
      <c r="P1089" s="199">
        <f t="shared" si="129"/>
        <v>0</v>
      </c>
      <c r="Q1089" s="203">
        <f t="shared" si="133"/>
        <v>46.800000000001802</v>
      </c>
      <c r="R1089" s="203" t="s">
        <v>55</v>
      </c>
      <c r="S1089" s="201">
        <f t="shared" si="134"/>
        <v>1.6713035280610855E-2</v>
      </c>
    </row>
    <row r="1090" spans="1:19">
      <c r="A1090" s="196">
        <v>41549</v>
      </c>
      <c r="B1090" s="122">
        <v>18.139999</v>
      </c>
      <c r="C1090" s="122">
        <v>18.27</v>
      </c>
      <c r="D1090" s="122">
        <v>17.91</v>
      </c>
      <c r="E1090" s="122">
        <v>18.02</v>
      </c>
      <c r="F1090" s="122">
        <v>13.54773</v>
      </c>
      <c r="G1090" s="197">
        <v>127400</v>
      </c>
      <c r="H1090" s="198">
        <f>IF(AND(E1089&gt;=H1089,E1090&gt;=E1089),E1089*(1+'Trading Model'!$E$13),IF(AND(E1090&lt;E1089,E1089&gt;=H1089),E1090*(1+'Trading Model'!$E$13),H1089))</f>
        <v>27.698998950000004</v>
      </c>
      <c r="I1090" s="198">
        <f>IF(K1090&gt;0,E1090*(1-'Trading Model'!E1100),IF(E1090&lt;I1089,I1089*(1-'Trading Model'!$E$14),I1089))</f>
        <v>8.9840153609188427</v>
      </c>
      <c r="J1090" s="198">
        <f t="shared" si="135"/>
        <v>0</v>
      </c>
      <c r="K1090" s="198">
        <f t="shared" si="130"/>
        <v>0</v>
      </c>
      <c r="L1090" s="198">
        <f>COUNTIF(J1090:K1090,"&lt;&gt;0")*-'Trading Model'!$E$15</f>
        <v>0</v>
      </c>
      <c r="M1090" s="198">
        <f t="shared" si="128"/>
        <v>0</v>
      </c>
      <c r="N1090" s="75">
        <f t="shared" si="131"/>
        <v>45</v>
      </c>
      <c r="O1090" s="202">
        <f t="shared" si="132"/>
        <v>0</v>
      </c>
      <c r="P1090" s="199">
        <f t="shared" si="129"/>
        <v>0</v>
      </c>
      <c r="Q1090" s="203">
        <f t="shared" si="133"/>
        <v>46.700000000001801</v>
      </c>
      <c r="R1090" s="203" t="s">
        <v>55</v>
      </c>
      <c r="S1090" s="201">
        <f t="shared" si="134"/>
        <v>-1.2602739726027434E-2</v>
      </c>
    </row>
    <row r="1091" spans="1:19">
      <c r="A1091" s="196">
        <v>41550</v>
      </c>
      <c r="B1091" s="122">
        <v>18.049999</v>
      </c>
      <c r="C1091" s="122">
        <v>18.219999000000001</v>
      </c>
      <c r="D1091" s="122">
        <v>17.559999000000001</v>
      </c>
      <c r="E1091" s="122">
        <v>17.610001</v>
      </c>
      <c r="F1091" s="122">
        <v>13.239485999999999</v>
      </c>
      <c r="G1091" s="197">
        <v>125800</v>
      </c>
      <c r="H1091" s="198">
        <f>IF(AND(E1090&gt;=H1090,E1091&gt;=E1090),E1090*(1+'Trading Model'!$E$13),IF(AND(E1091&lt;E1090,E1090&gt;=H1090),E1091*(1+'Trading Model'!$E$13),H1090))</f>
        <v>27.698998950000004</v>
      </c>
      <c r="I1091" s="198">
        <f>IF(K1091&gt;0,E1091*(1-'Trading Model'!E1101),IF(E1091&lt;I1090,I1090*(1-'Trading Model'!$E$14),I1090))</f>
        <v>8.9840153609188427</v>
      </c>
      <c r="J1091" s="198">
        <f t="shared" si="135"/>
        <v>0</v>
      </c>
      <c r="K1091" s="198">
        <f t="shared" si="130"/>
        <v>0</v>
      </c>
      <c r="L1091" s="198">
        <f>COUNTIF(J1091:K1091,"&lt;&gt;0")*-'Trading Model'!$E$15</f>
        <v>0</v>
      </c>
      <c r="M1091" s="198">
        <f t="shared" ref="M1091:M1154" si="136">SUM(J1091:L1091)</f>
        <v>0</v>
      </c>
      <c r="N1091" s="75">
        <f t="shared" si="131"/>
        <v>45</v>
      </c>
      <c r="O1091" s="202">
        <f t="shared" si="132"/>
        <v>0</v>
      </c>
      <c r="P1091" s="199">
        <f t="shared" ref="P1091:P1154" si="137">IFERROR(VLOOKUP(A1091,Dividends,2,FALSE),$U$1)</f>
        <v>0</v>
      </c>
      <c r="Q1091" s="203">
        <f t="shared" si="133"/>
        <v>46.600000000001799</v>
      </c>
      <c r="R1091" s="203" t="s">
        <v>55</v>
      </c>
      <c r="S1091" s="201">
        <f t="shared" si="134"/>
        <v>-2.2752441731409445E-2</v>
      </c>
    </row>
    <row r="1092" spans="1:19">
      <c r="A1092" s="196">
        <v>41551</v>
      </c>
      <c r="B1092" s="122">
        <v>17.510000000000002</v>
      </c>
      <c r="C1092" s="122">
        <v>17.629999000000002</v>
      </c>
      <c r="D1092" s="122">
        <v>17.149999999999999</v>
      </c>
      <c r="E1092" s="122">
        <v>17.239999999999998</v>
      </c>
      <c r="F1092" s="122">
        <v>12.961312</v>
      </c>
      <c r="G1092" s="197">
        <v>133000</v>
      </c>
      <c r="H1092" s="198">
        <f>IF(AND(E1091&gt;=H1091,E1092&gt;=E1091),E1091*(1+'Trading Model'!$E$13),IF(AND(E1092&lt;E1091,E1091&gt;=H1091),E1092*(1+'Trading Model'!$E$13),H1091))</f>
        <v>27.698998950000004</v>
      </c>
      <c r="I1092" s="198">
        <f>IF(K1092&gt;0,E1092*(1-'Trading Model'!E1102),IF(E1092&lt;I1091,I1091*(1-'Trading Model'!$E$14),I1091))</f>
        <v>8.9840153609188427</v>
      </c>
      <c r="J1092" s="198">
        <f t="shared" si="135"/>
        <v>0</v>
      </c>
      <c r="K1092" s="198">
        <f t="shared" ref="K1092:K1155" si="138">IF(E1092&gt;=H1092,E1092,0)</f>
        <v>0</v>
      </c>
      <c r="L1092" s="198">
        <f>COUNTIF(J1092:K1092,"&lt;&gt;0")*-'Trading Model'!$E$15</f>
        <v>0</v>
      </c>
      <c r="M1092" s="198">
        <f t="shared" si="136"/>
        <v>0</v>
      </c>
      <c r="N1092" s="75">
        <f t="shared" ref="N1092:N1155" si="139">IF(AND(J1092&lt;0,K1092&gt;0),N1091,(IF(J1092&lt;0,N1091+1,IF(K1092&gt;0,N1091+1,N1091))))</f>
        <v>45</v>
      </c>
      <c r="O1092" s="202">
        <f t="shared" ref="O1092:O1155" si="140">P1092</f>
        <v>0</v>
      </c>
      <c r="P1092" s="199">
        <f t="shared" si="137"/>
        <v>0</v>
      </c>
      <c r="Q1092" s="203">
        <f t="shared" ref="Q1092:Q1155" si="141">IF(E1092&lt;E1091,Q1091-0.1,Q1091)</f>
        <v>46.500000000001798</v>
      </c>
      <c r="R1092" s="201">
        <f>E1092/B1088-1</f>
        <v>-4.2754025541366092E-2</v>
      </c>
      <c r="S1092" s="201">
        <f t="shared" ref="S1092:S1155" si="142">E1092/E1091-1</f>
        <v>-2.1010844917044746E-2</v>
      </c>
    </row>
    <row r="1093" spans="1:19">
      <c r="A1093" s="196">
        <v>41554</v>
      </c>
      <c r="B1093" s="122">
        <v>17.190000999999999</v>
      </c>
      <c r="C1093" s="122">
        <v>17.790001</v>
      </c>
      <c r="D1093" s="122">
        <v>16.84</v>
      </c>
      <c r="E1093" s="122">
        <v>17.600000000000001</v>
      </c>
      <c r="F1093" s="122">
        <v>13.231968</v>
      </c>
      <c r="G1093" s="197">
        <v>230000</v>
      </c>
      <c r="H1093" s="198">
        <f>IF(AND(E1092&gt;=H1092,E1093&gt;=E1092),E1092*(1+'Trading Model'!$E$13),IF(AND(E1093&lt;E1092,E1092&gt;=H1092),E1093*(1+'Trading Model'!$E$13),H1092))</f>
        <v>27.698998950000004</v>
      </c>
      <c r="I1093" s="198">
        <f>IF(K1093&gt;0,E1093*(1-'Trading Model'!E1103),IF(E1093&lt;I1092,I1092*(1-'Trading Model'!$E$14),I1092))</f>
        <v>8.9840153609188427</v>
      </c>
      <c r="J1093" s="198">
        <f t="shared" ref="J1093:J1156" si="143">IF(E1093&gt;=H1093,-E1093,IF(E1093&lt;=I1092,-E1093,0))</f>
        <v>0</v>
      </c>
      <c r="K1093" s="198">
        <f t="shared" si="138"/>
        <v>0</v>
      </c>
      <c r="L1093" s="198">
        <f>COUNTIF(J1093:K1093,"&lt;&gt;0")*-'Trading Model'!$E$15</f>
        <v>0</v>
      </c>
      <c r="M1093" s="198">
        <f t="shared" si="136"/>
        <v>0</v>
      </c>
      <c r="N1093" s="75">
        <f t="shared" si="139"/>
        <v>45</v>
      </c>
      <c r="O1093" s="202">
        <f t="shared" si="140"/>
        <v>0</v>
      </c>
      <c r="P1093" s="199">
        <f t="shared" si="137"/>
        <v>0</v>
      </c>
      <c r="Q1093" s="203">
        <f t="shared" si="141"/>
        <v>46.500000000001798</v>
      </c>
      <c r="R1093" s="160" t="s">
        <v>55</v>
      </c>
      <c r="S1093" s="201">
        <f t="shared" si="142"/>
        <v>2.088167053364276E-2</v>
      </c>
    </row>
    <row r="1094" spans="1:19">
      <c r="A1094" s="196">
        <v>41555</v>
      </c>
      <c r="B1094" s="122">
        <v>17.540001</v>
      </c>
      <c r="C1094" s="122">
        <v>17.850000000000001</v>
      </c>
      <c r="D1094" s="122">
        <v>17.379999000000002</v>
      </c>
      <c r="E1094" s="122">
        <v>17.719999000000001</v>
      </c>
      <c r="F1094" s="122">
        <v>13.322187</v>
      </c>
      <c r="G1094" s="197">
        <v>188700</v>
      </c>
      <c r="H1094" s="198">
        <f>IF(AND(E1093&gt;=H1093,E1094&gt;=E1093),E1093*(1+'Trading Model'!$E$13),IF(AND(E1094&lt;E1093,E1093&gt;=H1093),E1094*(1+'Trading Model'!$E$13),H1093))</f>
        <v>27.698998950000004</v>
      </c>
      <c r="I1094" s="198">
        <f>IF(K1094&gt;0,E1094*(1-'Trading Model'!E1104),IF(E1094&lt;I1093,I1093*(1-'Trading Model'!$E$14),I1093))</f>
        <v>8.9840153609188427</v>
      </c>
      <c r="J1094" s="198">
        <f t="shared" si="143"/>
        <v>0</v>
      </c>
      <c r="K1094" s="198">
        <f t="shared" si="138"/>
        <v>0</v>
      </c>
      <c r="L1094" s="198">
        <f>COUNTIF(J1094:K1094,"&lt;&gt;0")*-'Trading Model'!$E$15</f>
        <v>0</v>
      </c>
      <c r="M1094" s="198">
        <f t="shared" si="136"/>
        <v>0</v>
      </c>
      <c r="N1094" s="75">
        <f t="shared" si="139"/>
        <v>45</v>
      </c>
      <c r="O1094" s="202">
        <f t="shared" si="140"/>
        <v>0</v>
      </c>
      <c r="P1094" s="199">
        <f t="shared" si="137"/>
        <v>0</v>
      </c>
      <c r="Q1094" s="203">
        <f t="shared" si="141"/>
        <v>46.500000000001798</v>
      </c>
      <c r="R1094" s="203" t="s">
        <v>55</v>
      </c>
      <c r="S1094" s="201">
        <f t="shared" si="142"/>
        <v>6.8181249999998972E-3</v>
      </c>
    </row>
    <row r="1095" spans="1:19">
      <c r="A1095" s="196">
        <v>41556</v>
      </c>
      <c r="B1095" s="122">
        <v>17.670000000000002</v>
      </c>
      <c r="C1095" s="122">
        <v>17.809999000000001</v>
      </c>
      <c r="D1095" s="122">
        <v>17.139999</v>
      </c>
      <c r="E1095" s="122">
        <v>17.48</v>
      </c>
      <c r="F1095" s="122">
        <v>13.14175</v>
      </c>
      <c r="G1095" s="197">
        <v>190100</v>
      </c>
      <c r="H1095" s="198">
        <f>IF(AND(E1094&gt;=H1094,E1095&gt;=E1094),E1094*(1+'Trading Model'!$E$13),IF(AND(E1095&lt;E1094,E1094&gt;=H1094),E1095*(1+'Trading Model'!$E$13),H1094))</f>
        <v>27.698998950000004</v>
      </c>
      <c r="I1095" s="198">
        <f>IF(K1095&gt;0,E1095*(1-'Trading Model'!E1105),IF(E1095&lt;I1094,I1094*(1-'Trading Model'!$E$14),I1094))</f>
        <v>8.9840153609188427</v>
      </c>
      <c r="J1095" s="198">
        <f t="shared" si="143"/>
        <v>0</v>
      </c>
      <c r="K1095" s="198">
        <f t="shared" si="138"/>
        <v>0</v>
      </c>
      <c r="L1095" s="198">
        <f>COUNTIF(J1095:K1095,"&lt;&gt;0")*-'Trading Model'!$E$15</f>
        <v>0</v>
      </c>
      <c r="M1095" s="198">
        <f t="shared" si="136"/>
        <v>0</v>
      </c>
      <c r="N1095" s="75">
        <f t="shared" si="139"/>
        <v>45</v>
      </c>
      <c r="O1095" s="202">
        <f t="shared" si="140"/>
        <v>0</v>
      </c>
      <c r="P1095" s="199">
        <f t="shared" si="137"/>
        <v>0</v>
      </c>
      <c r="Q1095" s="203">
        <f t="shared" si="141"/>
        <v>46.400000000001796</v>
      </c>
      <c r="R1095" s="203" t="s">
        <v>55</v>
      </c>
      <c r="S1095" s="201">
        <f t="shared" si="142"/>
        <v>-1.3543962389614195E-2</v>
      </c>
    </row>
    <row r="1096" spans="1:19">
      <c r="A1096" s="196">
        <v>41557</v>
      </c>
      <c r="B1096" s="122">
        <v>17.719999000000001</v>
      </c>
      <c r="C1096" s="122">
        <v>19.170000000000002</v>
      </c>
      <c r="D1096" s="122">
        <v>17.719999000000001</v>
      </c>
      <c r="E1096" s="122">
        <v>18.77</v>
      </c>
      <c r="F1096" s="122">
        <v>14.111594999999999</v>
      </c>
      <c r="G1096" s="197">
        <v>265300</v>
      </c>
      <c r="H1096" s="198">
        <f>IF(AND(E1095&gt;=H1095,E1096&gt;=E1095),E1095*(1+'Trading Model'!$E$13),IF(AND(E1096&lt;E1095,E1095&gt;=H1095),E1096*(1+'Trading Model'!$E$13),H1095))</f>
        <v>27.698998950000004</v>
      </c>
      <c r="I1096" s="198">
        <f>IF(K1096&gt;0,E1096*(1-'Trading Model'!E1106),IF(E1096&lt;I1095,I1095*(1-'Trading Model'!$E$14),I1095))</f>
        <v>8.9840153609188427</v>
      </c>
      <c r="J1096" s="198">
        <f t="shared" si="143"/>
        <v>0</v>
      </c>
      <c r="K1096" s="198">
        <f t="shared" si="138"/>
        <v>0</v>
      </c>
      <c r="L1096" s="198">
        <f>COUNTIF(J1096:K1096,"&lt;&gt;0")*-'Trading Model'!$E$15</f>
        <v>0</v>
      </c>
      <c r="M1096" s="198">
        <f t="shared" si="136"/>
        <v>0</v>
      </c>
      <c r="N1096" s="75">
        <f t="shared" si="139"/>
        <v>45</v>
      </c>
      <c r="O1096" s="202">
        <f t="shared" si="140"/>
        <v>0</v>
      </c>
      <c r="P1096" s="199">
        <f t="shared" si="137"/>
        <v>0</v>
      </c>
      <c r="Q1096" s="203">
        <f t="shared" si="141"/>
        <v>46.400000000001796</v>
      </c>
      <c r="R1096" s="203" t="s">
        <v>55</v>
      </c>
      <c r="S1096" s="201">
        <f t="shared" si="142"/>
        <v>7.3798627002288342E-2</v>
      </c>
    </row>
    <row r="1097" spans="1:19">
      <c r="A1097" s="196">
        <v>41558</v>
      </c>
      <c r="B1097" s="122">
        <v>18.620000999999998</v>
      </c>
      <c r="C1097" s="122">
        <v>18.93</v>
      </c>
      <c r="D1097" s="122">
        <v>18.329999999999998</v>
      </c>
      <c r="E1097" s="122">
        <v>18.649999999999999</v>
      </c>
      <c r="F1097" s="122">
        <v>14.021376</v>
      </c>
      <c r="G1097" s="197">
        <v>169000</v>
      </c>
      <c r="H1097" s="198">
        <f>IF(AND(E1096&gt;=H1096,E1097&gt;=E1096),E1096*(1+'Trading Model'!$E$13),IF(AND(E1097&lt;E1096,E1096&gt;=H1096),E1097*(1+'Trading Model'!$E$13),H1096))</f>
        <v>27.698998950000004</v>
      </c>
      <c r="I1097" s="198">
        <f>IF(K1097&gt;0,E1097*(1-'Trading Model'!E1107),IF(E1097&lt;I1096,I1096*(1-'Trading Model'!$E$14),I1096))</f>
        <v>8.9840153609188427</v>
      </c>
      <c r="J1097" s="198">
        <f t="shared" si="143"/>
        <v>0</v>
      </c>
      <c r="K1097" s="198">
        <f t="shared" si="138"/>
        <v>0</v>
      </c>
      <c r="L1097" s="198">
        <f>COUNTIF(J1097:K1097,"&lt;&gt;0")*-'Trading Model'!$E$15</f>
        <v>0</v>
      </c>
      <c r="M1097" s="198">
        <f t="shared" si="136"/>
        <v>0</v>
      </c>
      <c r="N1097" s="75">
        <f t="shared" si="139"/>
        <v>45</v>
      </c>
      <c r="O1097" s="202">
        <f t="shared" si="140"/>
        <v>0</v>
      </c>
      <c r="P1097" s="199">
        <f t="shared" si="137"/>
        <v>0</v>
      </c>
      <c r="Q1097" s="203">
        <f t="shared" si="141"/>
        <v>46.300000000001795</v>
      </c>
      <c r="R1097" s="201">
        <f>E1097/B1093-1</f>
        <v>8.4933037525710464E-2</v>
      </c>
      <c r="S1097" s="201">
        <f t="shared" si="142"/>
        <v>-6.3931806073521669E-3</v>
      </c>
    </row>
    <row r="1098" spans="1:19">
      <c r="A1098" s="196">
        <v>41561</v>
      </c>
      <c r="B1098" s="122">
        <v>18.469999000000001</v>
      </c>
      <c r="C1098" s="122">
        <v>19.5</v>
      </c>
      <c r="D1098" s="122">
        <v>18.389999</v>
      </c>
      <c r="E1098" s="122">
        <v>19.350000000000001</v>
      </c>
      <c r="F1098" s="122">
        <v>14.547648000000001</v>
      </c>
      <c r="G1098" s="197">
        <v>154800</v>
      </c>
      <c r="H1098" s="198">
        <f>IF(AND(E1097&gt;=H1097,E1098&gt;=E1097),E1097*(1+'Trading Model'!$E$13),IF(AND(E1098&lt;E1097,E1097&gt;=H1097),E1098*(1+'Trading Model'!$E$13),H1097))</f>
        <v>27.698998950000004</v>
      </c>
      <c r="I1098" s="198">
        <f>IF(K1098&gt;0,E1098*(1-'Trading Model'!E1108),IF(E1098&lt;I1097,I1097*(1-'Trading Model'!$E$14),I1097))</f>
        <v>8.9840153609188427</v>
      </c>
      <c r="J1098" s="198">
        <f t="shared" si="143"/>
        <v>0</v>
      </c>
      <c r="K1098" s="198">
        <f t="shared" si="138"/>
        <v>0</v>
      </c>
      <c r="L1098" s="198">
        <f>COUNTIF(J1098:K1098,"&lt;&gt;0")*-'Trading Model'!$E$15</f>
        <v>0</v>
      </c>
      <c r="M1098" s="198">
        <f t="shared" si="136"/>
        <v>0</v>
      </c>
      <c r="N1098" s="75">
        <f t="shared" si="139"/>
        <v>45</v>
      </c>
      <c r="O1098" s="202">
        <f t="shared" si="140"/>
        <v>0</v>
      </c>
      <c r="P1098" s="199">
        <f t="shared" si="137"/>
        <v>0</v>
      </c>
      <c r="Q1098" s="203">
        <f t="shared" si="141"/>
        <v>46.300000000001795</v>
      </c>
      <c r="R1098" s="160" t="s">
        <v>55</v>
      </c>
      <c r="S1098" s="201">
        <f t="shared" si="142"/>
        <v>3.7533512064343411E-2</v>
      </c>
    </row>
    <row r="1099" spans="1:19">
      <c r="A1099" s="196">
        <v>41562</v>
      </c>
      <c r="B1099" s="122">
        <v>19.389999</v>
      </c>
      <c r="C1099" s="122">
        <v>19.549999</v>
      </c>
      <c r="D1099" s="122">
        <v>19.100000000000001</v>
      </c>
      <c r="E1099" s="122">
        <v>19.219999000000001</v>
      </c>
      <c r="F1099" s="122">
        <v>14.449909999999999</v>
      </c>
      <c r="G1099" s="197">
        <v>98800</v>
      </c>
      <c r="H1099" s="198">
        <f>IF(AND(E1098&gt;=H1098,E1099&gt;=E1098),E1098*(1+'Trading Model'!$E$13),IF(AND(E1099&lt;E1098,E1098&gt;=H1098),E1099*(1+'Trading Model'!$E$13),H1098))</f>
        <v>27.698998950000004</v>
      </c>
      <c r="I1099" s="198">
        <f>IF(K1099&gt;0,E1099*(1-'Trading Model'!E1109),IF(E1099&lt;I1098,I1098*(1-'Trading Model'!$E$14),I1098))</f>
        <v>8.9840153609188427</v>
      </c>
      <c r="J1099" s="198">
        <f t="shared" si="143"/>
        <v>0</v>
      </c>
      <c r="K1099" s="198">
        <f t="shared" si="138"/>
        <v>0</v>
      </c>
      <c r="L1099" s="198">
        <f>COUNTIF(J1099:K1099,"&lt;&gt;0")*-'Trading Model'!$E$15</f>
        <v>0</v>
      </c>
      <c r="M1099" s="198">
        <f t="shared" si="136"/>
        <v>0</v>
      </c>
      <c r="N1099" s="75">
        <f t="shared" si="139"/>
        <v>45</v>
      </c>
      <c r="O1099" s="202">
        <f t="shared" si="140"/>
        <v>0</v>
      </c>
      <c r="P1099" s="199">
        <f t="shared" si="137"/>
        <v>0</v>
      </c>
      <c r="Q1099" s="203">
        <f t="shared" si="141"/>
        <v>46.200000000001793</v>
      </c>
      <c r="R1099" s="203" t="s">
        <v>55</v>
      </c>
      <c r="S1099" s="201">
        <f t="shared" si="142"/>
        <v>-6.7183979328165888E-3</v>
      </c>
    </row>
    <row r="1100" spans="1:19">
      <c r="A1100" s="196">
        <v>41563</v>
      </c>
      <c r="B1100" s="122">
        <v>19.219999000000001</v>
      </c>
      <c r="C1100" s="122">
        <v>19.420000000000002</v>
      </c>
      <c r="D1100" s="122">
        <v>18.84</v>
      </c>
      <c r="E1100" s="122">
        <v>19.110001</v>
      </c>
      <c r="F1100" s="122">
        <v>14.367210999999999</v>
      </c>
      <c r="G1100" s="197">
        <v>123700</v>
      </c>
      <c r="H1100" s="198">
        <f>IF(AND(E1099&gt;=H1099,E1100&gt;=E1099),E1099*(1+'Trading Model'!$E$13),IF(AND(E1100&lt;E1099,E1099&gt;=H1099),E1100*(1+'Trading Model'!$E$13),H1099))</f>
        <v>27.698998950000004</v>
      </c>
      <c r="I1100" s="198">
        <f>IF(K1100&gt;0,E1100*(1-'Trading Model'!E1110),IF(E1100&lt;I1099,I1099*(1-'Trading Model'!$E$14),I1099))</f>
        <v>8.9840153609188427</v>
      </c>
      <c r="J1100" s="198">
        <f t="shared" si="143"/>
        <v>0</v>
      </c>
      <c r="K1100" s="198">
        <f t="shared" si="138"/>
        <v>0</v>
      </c>
      <c r="L1100" s="198">
        <f>COUNTIF(J1100:K1100,"&lt;&gt;0")*-'Trading Model'!$E$15</f>
        <v>0</v>
      </c>
      <c r="M1100" s="198">
        <f t="shared" si="136"/>
        <v>0</v>
      </c>
      <c r="N1100" s="75">
        <f t="shared" si="139"/>
        <v>45</v>
      </c>
      <c r="O1100" s="202">
        <f t="shared" si="140"/>
        <v>0</v>
      </c>
      <c r="P1100" s="199">
        <f t="shared" si="137"/>
        <v>0</v>
      </c>
      <c r="Q1100" s="203">
        <f t="shared" si="141"/>
        <v>46.100000000001792</v>
      </c>
      <c r="R1100" s="203" t="s">
        <v>55</v>
      </c>
      <c r="S1100" s="201">
        <f t="shared" si="142"/>
        <v>-5.723101234292538E-3</v>
      </c>
    </row>
    <row r="1101" spans="1:19">
      <c r="A1101" s="196">
        <v>41564</v>
      </c>
      <c r="B1101" s="122">
        <v>19.049999</v>
      </c>
      <c r="C1101" s="122">
        <v>19.360001</v>
      </c>
      <c r="D1101" s="122">
        <v>18.870000999999998</v>
      </c>
      <c r="E1101" s="122">
        <v>19.280000999999999</v>
      </c>
      <c r="F1101" s="122">
        <v>14.495020999999999</v>
      </c>
      <c r="G1101" s="197">
        <v>93400</v>
      </c>
      <c r="H1101" s="198">
        <f>IF(AND(E1100&gt;=H1100,E1101&gt;=E1100),E1100*(1+'Trading Model'!$E$13),IF(AND(E1101&lt;E1100,E1100&gt;=H1100),E1101*(1+'Trading Model'!$E$13),H1100))</f>
        <v>27.698998950000004</v>
      </c>
      <c r="I1101" s="198">
        <f>IF(K1101&gt;0,E1101*(1-'Trading Model'!E1111),IF(E1101&lt;I1100,I1100*(1-'Trading Model'!$E$14),I1100))</f>
        <v>8.9840153609188427</v>
      </c>
      <c r="J1101" s="198">
        <f t="shared" si="143"/>
        <v>0</v>
      </c>
      <c r="K1101" s="198">
        <f t="shared" si="138"/>
        <v>0</v>
      </c>
      <c r="L1101" s="198">
        <f>COUNTIF(J1101:K1101,"&lt;&gt;0")*-'Trading Model'!$E$15</f>
        <v>0</v>
      </c>
      <c r="M1101" s="198">
        <f t="shared" si="136"/>
        <v>0</v>
      </c>
      <c r="N1101" s="75">
        <f t="shared" si="139"/>
        <v>45</v>
      </c>
      <c r="O1101" s="202">
        <f t="shared" si="140"/>
        <v>0</v>
      </c>
      <c r="P1101" s="199">
        <f t="shared" si="137"/>
        <v>0</v>
      </c>
      <c r="Q1101" s="203">
        <f t="shared" si="141"/>
        <v>46.100000000001792</v>
      </c>
      <c r="R1101" s="203" t="s">
        <v>55</v>
      </c>
      <c r="S1101" s="201">
        <f t="shared" si="142"/>
        <v>8.8958655732147562E-3</v>
      </c>
    </row>
    <row r="1102" spans="1:19">
      <c r="A1102" s="196">
        <v>41565</v>
      </c>
      <c r="B1102" s="122">
        <v>19.299999</v>
      </c>
      <c r="C1102" s="122">
        <v>19.77</v>
      </c>
      <c r="D1102" s="122">
        <v>19.02</v>
      </c>
      <c r="E1102" s="122">
        <v>19.73</v>
      </c>
      <c r="F1102" s="122">
        <v>14.833337999999999</v>
      </c>
      <c r="G1102" s="197">
        <v>154200</v>
      </c>
      <c r="H1102" s="198">
        <f>IF(AND(E1101&gt;=H1101,E1102&gt;=E1101),E1101*(1+'Trading Model'!$E$13),IF(AND(E1102&lt;E1101,E1101&gt;=H1101),E1102*(1+'Trading Model'!$E$13),H1101))</f>
        <v>27.698998950000004</v>
      </c>
      <c r="I1102" s="198">
        <f>IF(K1102&gt;0,E1102*(1-'Trading Model'!E1112),IF(E1102&lt;I1101,I1101*(1-'Trading Model'!$E$14),I1101))</f>
        <v>8.9840153609188427</v>
      </c>
      <c r="J1102" s="198">
        <f t="shared" si="143"/>
        <v>0</v>
      </c>
      <c r="K1102" s="198">
        <f t="shared" si="138"/>
        <v>0</v>
      </c>
      <c r="L1102" s="198">
        <f>COUNTIF(J1102:K1102,"&lt;&gt;0")*-'Trading Model'!$E$15</f>
        <v>0</v>
      </c>
      <c r="M1102" s="198">
        <f t="shared" si="136"/>
        <v>0</v>
      </c>
      <c r="N1102" s="75">
        <f t="shared" si="139"/>
        <v>45</v>
      </c>
      <c r="O1102" s="202">
        <f t="shared" si="140"/>
        <v>0</v>
      </c>
      <c r="P1102" s="199">
        <f t="shared" si="137"/>
        <v>0</v>
      </c>
      <c r="Q1102" s="203">
        <f t="shared" si="141"/>
        <v>46.100000000001792</v>
      </c>
      <c r="R1102" s="201">
        <f>E1102/B1098-1</f>
        <v>6.8218790916014571E-2</v>
      </c>
      <c r="S1102" s="201">
        <f t="shared" si="142"/>
        <v>2.3340195884844706E-2</v>
      </c>
    </row>
    <row r="1103" spans="1:19">
      <c r="A1103" s="196">
        <v>41568</v>
      </c>
      <c r="B1103" s="122">
        <v>19.73</v>
      </c>
      <c r="C1103" s="122">
        <v>20.360001</v>
      </c>
      <c r="D1103" s="122">
        <v>19.670000000000002</v>
      </c>
      <c r="E1103" s="122">
        <v>20.200001</v>
      </c>
      <c r="F1103" s="122">
        <v>15.186691</v>
      </c>
      <c r="G1103" s="197">
        <v>227400</v>
      </c>
      <c r="H1103" s="198">
        <f>IF(AND(E1102&gt;=H1102,E1103&gt;=E1102),E1102*(1+'Trading Model'!$E$13),IF(AND(E1103&lt;E1102,E1102&gt;=H1102),E1103*(1+'Trading Model'!$E$13),H1102))</f>
        <v>27.698998950000004</v>
      </c>
      <c r="I1103" s="198">
        <f>IF(K1103&gt;0,E1103*(1-'Trading Model'!E1113),IF(E1103&lt;I1102,I1102*(1-'Trading Model'!$E$14),I1102))</f>
        <v>8.9840153609188427</v>
      </c>
      <c r="J1103" s="198">
        <f t="shared" si="143"/>
        <v>0</v>
      </c>
      <c r="K1103" s="198">
        <f t="shared" si="138"/>
        <v>0</v>
      </c>
      <c r="L1103" s="198">
        <f>COUNTIF(J1103:K1103,"&lt;&gt;0")*-'Trading Model'!$E$15</f>
        <v>0</v>
      </c>
      <c r="M1103" s="198">
        <f t="shared" si="136"/>
        <v>0</v>
      </c>
      <c r="N1103" s="75">
        <f t="shared" si="139"/>
        <v>45</v>
      </c>
      <c r="O1103" s="202">
        <f t="shared" si="140"/>
        <v>0</v>
      </c>
      <c r="P1103" s="199">
        <f t="shared" si="137"/>
        <v>0</v>
      </c>
      <c r="Q1103" s="203">
        <f t="shared" si="141"/>
        <v>46.100000000001792</v>
      </c>
      <c r="R1103" s="160" t="s">
        <v>55</v>
      </c>
      <c r="S1103" s="201">
        <f t="shared" si="142"/>
        <v>2.3821642169285395E-2</v>
      </c>
    </row>
    <row r="1104" spans="1:19">
      <c r="A1104" s="196">
        <v>41569</v>
      </c>
      <c r="B1104" s="122">
        <v>20.200001</v>
      </c>
      <c r="C1104" s="122">
        <v>20.309999000000001</v>
      </c>
      <c r="D1104" s="122">
        <v>19.399999999999999</v>
      </c>
      <c r="E1104" s="122">
        <v>19.530000999999999</v>
      </c>
      <c r="F1104" s="122">
        <v>14.682975000000001</v>
      </c>
      <c r="G1104" s="197">
        <v>267500</v>
      </c>
      <c r="H1104" s="198">
        <f>IF(AND(E1103&gt;=H1103,E1104&gt;=E1103),E1103*(1+'Trading Model'!$E$13),IF(AND(E1104&lt;E1103,E1103&gt;=H1103),E1104*(1+'Trading Model'!$E$13),H1103))</f>
        <v>27.698998950000004</v>
      </c>
      <c r="I1104" s="198">
        <f>IF(K1104&gt;0,E1104*(1-'Trading Model'!E1114),IF(E1104&lt;I1103,I1103*(1-'Trading Model'!$E$14),I1103))</f>
        <v>8.9840153609188427</v>
      </c>
      <c r="J1104" s="198">
        <f t="shared" si="143"/>
        <v>0</v>
      </c>
      <c r="K1104" s="198">
        <f t="shared" si="138"/>
        <v>0</v>
      </c>
      <c r="L1104" s="198">
        <f>COUNTIF(J1104:K1104,"&lt;&gt;0")*-'Trading Model'!$E$15</f>
        <v>0</v>
      </c>
      <c r="M1104" s="198">
        <f t="shared" si="136"/>
        <v>0</v>
      </c>
      <c r="N1104" s="75">
        <f t="shared" si="139"/>
        <v>45</v>
      </c>
      <c r="O1104" s="202">
        <f t="shared" si="140"/>
        <v>0</v>
      </c>
      <c r="P1104" s="199">
        <f t="shared" si="137"/>
        <v>0</v>
      </c>
      <c r="Q1104" s="203">
        <f t="shared" si="141"/>
        <v>46.000000000001791</v>
      </c>
      <c r="R1104" s="203" t="s">
        <v>55</v>
      </c>
      <c r="S1104" s="201">
        <f t="shared" si="142"/>
        <v>-3.3168315189687436E-2</v>
      </c>
    </row>
    <row r="1105" spans="1:19">
      <c r="A1105" s="196">
        <v>41570</v>
      </c>
      <c r="B1105" s="122">
        <v>19.399999999999999</v>
      </c>
      <c r="C1105" s="122">
        <v>19.549999</v>
      </c>
      <c r="D1105" s="122">
        <v>18.559999000000001</v>
      </c>
      <c r="E1105" s="122">
        <v>18.670000000000002</v>
      </c>
      <c r="F1105" s="122">
        <v>14.03641</v>
      </c>
      <c r="G1105" s="197">
        <v>233000</v>
      </c>
      <c r="H1105" s="198">
        <f>IF(AND(E1104&gt;=H1104,E1105&gt;=E1104),E1104*(1+'Trading Model'!$E$13),IF(AND(E1105&lt;E1104,E1104&gt;=H1104),E1105*(1+'Trading Model'!$E$13),H1104))</f>
        <v>27.698998950000004</v>
      </c>
      <c r="I1105" s="198">
        <f>IF(K1105&gt;0,E1105*(1-'Trading Model'!E1115),IF(E1105&lt;I1104,I1104*(1-'Trading Model'!$E$14),I1104))</f>
        <v>8.9840153609188427</v>
      </c>
      <c r="J1105" s="198">
        <f t="shared" si="143"/>
        <v>0</v>
      </c>
      <c r="K1105" s="198">
        <f t="shared" si="138"/>
        <v>0</v>
      </c>
      <c r="L1105" s="198">
        <f>COUNTIF(J1105:K1105,"&lt;&gt;0")*-'Trading Model'!$E$15</f>
        <v>0</v>
      </c>
      <c r="M1105" s="198">
        <f t="shared" si="136"/>
        <v>0</v>
      </c>
      <c r="N1105" s="75">
        <f t="shared" si="139"/>
        <v>45</v>
      </c>
      <c r="O1105" s="202">
        <f t="shared" si="140"/>
        <v>0</v>
      </c>
      <c r="P1105" s="199">
        <f t="shared" si="137"/>
        <v>0</v>
      </c>
      <c r="Q1105" s="203">
        <f t="shared" si="141"/>
        <v>45.900000000001789</v>
      </c>
      <c r="R1105" s="203" t="s">
        <v>55</v>
      </c>
      <c r="S1105" s="201">
        <f t="shared" si="142"/>
        <v>-4.4034867176913961E-2</v>
      </c>
    </row>
    <row r="1106" spans="1:19">
      <c r="A1106" s="196">
        <v>41571</v>
      </c>
      <c r="B1106" s="122">
        <v>18.579999999999998</v>
      </c>
      <c r="C1106" s="122">
        <v>19.280000999999999</v>
      </c>
      <c r="D1106" s="122">
        <v>18.530000999999999</v>
      </c>
      <c r="E1106" s="122">
        <v>19.149999999999999</v>
      </c>
      <c r="F1106" s="122">
        <v>14.397283</v>
      </c>
      <c r="G1106" s="197">
        <v>102100</v>
      </c>
      <c r="H1106" s="198">
        <f>IF(AND(E1105&gt;=H1105,E1106&gt;=E1105),E1105*(1+'Trading Model'!$E$13),IF(AND(E1106&lt;E1105,E1105&gt;=H1105),E1106*(1+'Trading Model'!$E$13),H1105))</f>
        <v>27.698998950000004</v>
      </c>
      <c r="I1106" s="198">
        <f>IF(K1106&gt;0,E1106*(1-'Trading Model'!E1116),IF(E1106&lt;I1105,I1105*(1-'Trading Model'!$E$14),I1105))</f>
        <v>8.9840153609188427</v>
      </c>
      <c r="J1106" s="198">
        <f t="shared" si="143"/>
        <v>0</v>
      </c>
      <c r="K1106" s="198">
        <f t="shared" si="138"/>
        <v>0</v>
      </c>
      <c r="L1106" s="198">
        <f>COUNTIF(J1106:K1106,"&lt;&gt;0")*-'Trading Model'!$E$15</f>
        <v>0</v>
      </c>
      <c r="M1106" s="198">
        <f t="shared" si="136"/>
        <v>0</v>
      </c>
      <c r="N1106" s="75">
        <f t="shared" si="139"/>
        <v>45</v>
      </c>
      <c r="O1106" s="202">
        <f t="shared" si="140"/>
        <v>0</v>
      </c>
      <c r="P1106" s="199">
        <f t="shared" si="137"/>
        <v>0</v>
      </c>
      <c r="Q1106" s="203">
        <f t="shared" si="141"/>
        <v>45.900000000001789</v>
      </c>
      <c r="R1106" s="203" t="s">
        <v>55</v>
      </c>
      <c r="S1106" s="201">
        <f t="shared" si="142"/>
        <v>2.5709694697375385E-2</v>
      </c>
    </row>
    <row r="1107" spans="1:19">
      <c r="A1107" s="196">
        <v>41572</v>
      </c>
      <c r="B1107" s="122">
        <v>19.239999999999998</v>
      </c>
      <c r="C1107" s="122">
        <v>19.360001</v>
      </c>
      <c r="D1107" s="122">
        <v>18.149999999999999</v>
      </c>
      <c r="E1107" s="122">
        <v>18.370000999999998</v>
      </c>
      <c r="F1107" s="122">
        <v>13.810865</v>
      </c>
      <c r="G1107" s="197">
        <v>233000</v>
      </c>
      <c r="H1107" s="198">
        <f>IF(AND(E1106&gt;=H1106,E1107&gt;=E1106),E1106*(1+'Trading Model'!$E$13),IF(AND(E1107&lt;E1106,E1106&gt;=H1106),E1107*(1+'Trading Model'!$E$13),H1106))</f>
        <v>27.698998950000004</v>
      </c>
      <c r="I1107" s="198">
        <f>IF(K1107&gt;0,E1107*(1-'Trading Model'!E1117),IF(E1107&lt;I1106,I1106*(1-'Trading Model'!$E$14),I1106))</f>
        <v>8.9840153609188427</v>
      </c>
      <c r="J1107" s="198">
        <f t="shared" si="143"/>
        <v>0</v>
      </c>
      <c r="K1107" s="198">
        <f t="shared" si="138"/>
        <v>0</v>
      </c>
      <c r="L1107" s="198">
        <f>COUNTIF(J1107:K1107,"&lt;&gt;0")*-'Trading Model'!$E$15</f>
        <v>0</v>
      </c>
      <c r="M1107" s="198">
        <f t="shared" si="136"/>
        <v>0</v>
      </c>
      <c r="N1107" s="75">
        <f t="shared" si="139"/>
        <v>45</v>
      </c>
      <c r="O1107" s="202">
        <f t="shared" si="140"/>
        <v>0</v>
      </c>
      <c r="P1107" s="199">
        <f t="shared" si="137"/>
        <v>0</v>
      </c>
      <c r="Q1107" s="203">
        <f t="shared" si="141"/>
        <v>45.800000000001788</v>
      </c>
      <c r="R1107" s="201">
        <f>E1107/B1103-1</f>
        <v>-6.89305119107958E-2</v>
      </c>
      <c r="S1107" s="201">
        <f t="shared" si="142"/>
        <v>-4.0731018276762399E-2</v>
      </c>
    </row>
    <row r="1108" spans="1:19">
      <c r="A1108" s="196">
        <v>41575</v>
      </c>
      <c r="B1108" s="122">
        <v>18.299999</v>
      </c>
      <c r="C1108" s="122">
        <v>19.200001</v>
      </c>
      <c r="D1108" s="122">
        <v>18.299999</v>
      </c>
      <c r="E1108" s="122">
        <v>18.440000999999999</v>
      </c>
      <c r="F1108" s="122">
        <v>13.863495</v>
      </c>
      <c r="G1108" s="197">
        <v>255100</v>
      </c>
      <c r="H1108" s="198">
        <f>IF(AND(E1107&gt;=H1107,E1108&gt;=E1107),E1107*(1+'Trading Model'!$E$13),IF(AND(E1108&lt;E1107,E1107&gt;=H1107),E1108*(1+'Trading Model'!$E$13),H1107))</f>
        <v>27.698998950000004</v>
      </c>
      <c r="I1108" s="198">
        <f>IF(K1108&gt;0,E1108*(1-'Trading Model'!E1118),IF(E1108&lt;I1107,I1107*(1-'Trading Model'!$E$14),I1107))</f>
        <v>8.9840153609188427</v>
      </c>
      <c r="J1108" s="198">
        <f t="shared" si="143"/>
        <v>0</v>
      </c>
      <c r="K1108" s="198">
        <f t="shared" si="138"/>
        <v>0</v>
      </c>
      <c r="L1108" s="198">
        <f>COUNTIF(J1108:K1108,"&lt;&gt;0")*-'Trading Model'!$E$15</f>
        <v>0</v>
      </c>
      <c r="M1108" s="198">
        <f t="shared" si="136"/>
        <v>0</v>
      </c>
      <c r="N1108" s="75">
        <f t="shared" si="139"/>
        <v>45</v>
      </c>
      <c r="O1108" s="202">
        <f t="shared" si="140"/>
        <v>0</v>
      </c>
      <c r="P1108" s="199">
        <f t="shared" si="137"/>
        <v>0</v>
      </c>
      <c r="Q1108" s="203">
        <f t="shared" si="141"/>
        <v>45.800000000001788</v>
      </c>
      <c r="R1108" s="160" t="s">
        <v>55</v>
      </c>
      <c r="S1108" s="201">
        <f t="shared" si="142"/>
        <v>3.8105604893543532E-3</v>
      </c>
    </row>
    <row r="1109" spans="1:19">
      <c r="A1109" s="196">
        <v>41576</v>
      </c>
      <c r="B1109" s="122">
        <v>18.43</v>
      </c>
      <c r="C1109" s="122">
        <v>18.860001</v>
      </c>
      <c r="D1109" s="122">
        <v>18.09</v>
      </c>
      <c r="E1109" s="122">
        <v>18.639999</v>
      </c>
      <c r="F1109" s="122">
        <v>14.013856000000001</v>
      </c>
      <c r="G1109" s="197">
        <v>204400</v>
      </c>
      <c r="H1109" s="198">
        <f>IF(AND(E1108&gt;=H1108,E1109&gt;=E1108),E1108*(1+'Trading Model'!$E$13),IF(AND(E1109&lt;E1108,E1108&gt;=H1108),E1109*(1+'Trading Model'!$E$13),H1108))</f>
        <v>27.698998950000004</v>
      </c>
      <c r="I1109" s="198">
        <f>IF(K1109&gt;0,E1109*(1-'Trading Model'!E1119),IF(E1109&lt;I1108,I1108*(1-'Trading Model'!$E$14),I1108))</f>
        <v>8.9840153609188427</v>
      </c>
      <c r="J1109" s="198">
        <f t="shared" si="143"/>
        <v>0</v>
      </c>
      <c r="K1109" s="198">
        <f t="shared" si="138"/>
        <v>0</v>
      </c>
      <c r="L1109" s="198">
        <f>COUNTIF(J1109:K1109,"&lt;&gt;0")*-'Trading Model'!$E$15</f>
        <v>0</v>
      </c>
      <c r="M1109" s="198">
        <f t="shared" si="136"/>
        <v>0</v>
      </c>
      <c r="N1109" s="75">
        <f t="shared" si="139"/>
        <v>45</v>
      </c>
      <c r="O1109" s="202">
        <f t="shared" si="140"/>
        <v>0</v>
      </c>
      <c r="P1109" s="199">
        <f t="shared" si="137"/>
        <v>0</v>
      </c>
      <c r="Q1109" s="203">
        <f t="shared" si="141"/>
        <v>45.800000000001788</v>
      </c>
      <c r="R1109" s="203" t="s">
        <v>55</v>
      </c>
      <c r="S1109" s="201">
        <f t="shared" si="142"/>
        <v>1.0845877936774606E-2</v>
      </c>
    </row>
    <row r="1110" spans="1:19">
      <c r="A1110" s="196">
        <v>41577</v>
      </c>
      <c r="B1110" s="122">
        <v>18.510000000000002</v>
      </c>
      <c r="C1110" s="122">
        <v>19.02</v>
      </c>
      <c r="D1110" s="122">
        <v>18.299999</v>
      </c>
      <c r="E1110" s="122">
        <v>18.75</v>
      </c>
      <c r="F1110" s="122">
        <v>14.096558999999999</v>
      </c>
      <c r="G1110" s="197">
        <v>154600</v>
      </c>
      <c r="H1110" s="198">
        <f>IF(AND(E1109&gt;=H1109,E1110&gt;=E1109),E1109*(1+'Trading Model'!$E$13),IF(AND(E1110&lt;E1109,E1109&gt;=H1109),E1110*(1+'Trading Model'!$E$13),H1109))</f>
        <v>27.698998950000004</v>
      </c>
      <c r="I1110" s="198">
        <f>IF(K1110&gt;0,E1110*(1-'Trading Model'!E1120),IF(E1110&lt;I1109,I1109*(1-'Trading Model'!$E$14),I1109))</f>
        <v>8.9840153609188427</v>
      </c>
      <c r="J1110" s="198">
        <f t="shared" si="143"/>
        <v>0</v>
      </c>
      <c r="K1110" s="198">
        <f t="shared" si="138"/>
        <v>0</v>
      </c>
      <c r="L1110" s="198">
        <f>COUNTIF(J1110:K1110,"&lt;&gt;0")*-'Trading Model'!$E$15</f>
        <v>0</v>
      </c>
      <c r="M1110" s="198">
        <f t="shared" si="136"/>
        <v>0</v>
      </c>
      <c r="N1110" s="75">
        <f t="shared" si="139"/>
        <v>45</v>
      </c>
      <c r="O1110" s="202">
        <f t="shared" si="140"/>
        <v>0</v>
      </c>
      <c r="P1110" s="199">
        <f t="shared" si="137"/>
        <v>0</v>
      </c>
      <c r="Q1110" s="203">
        <f t="shared" si="141"/>
        <v>45.800000000001788</v>
      </c>
      <c r="R1110" s="203" t="s">
        <v>55</v>
      </c>
      <c r="S1110" s="201">
        <f t="shared" si="142"/>
        <v>5.9013415183122309E-3</v>
      </c>
    </row>
    <row r="1111" spans="1:19">
      <c r="A1111" s="196">
        <v>41578</v>
      </c>
      <c r="B1111" s="122">
        <v>18.629999000000002</v>
      </c>
      <c r="C1111" s="122">
        <v>19.77</v>
      </c>
      <c r="D1111" s="122">
        <v>18.43</v>
      </c>
      <c r="E1111" s="122">
        <v>19.57</v>
      </c>
      <c r="F1111" s="122">
        <v>14.713047</v>
      </c>
      <c r="G1111" s="197">
        <v>223400</v>
      </c>
      <c r="H1111" s="198">
        <f>IF(AND(E1110&gt;=H1110,E1111&gt;=E1110),E1110*(1+'Trading Model'!$E$13),IF(AND(E1111&lt;E1110,E1110&gt;=H1110),E1111*(1+'Trading Model'!$E$13),H1110))</f>
        <v>27.698998950000004</v>
      </c>
      <c r="I1111" s="198">
        <f>IF(K1111&gt;0,E1111*(1-'Trading Model'!E1121),IF(E1111&lt;I1110,I1110*(1-'Trading Model'!$E$14),I1110))</f>
        <v>8.9840153609188427</v>
      </c>
      <c r="J1111" s="198">
        <f t="shared" si="143"/>
        <v>0</v>
      </c>
      <c r="K1111" s="198">
        <f t="shared" si="138"/>
        <v>0</v>
      </c>
      <c r="L1111" s="198">
        <f>COUNTIF(J1111:K1111,"&lt;&gt;0")*-'Trading Model'!$E$15</f>
        <v>0</v>
      </c>
      <c r="M1111" s="198">
        <f t="shared" si="136"/>
        <v>0</v>
      </c>
      <c r="N1111" s="75">
        <f t="shared" si="139"/>
        <v>45</v>
      </c>
      <c r="O1111" s="202">
        <f t="shared" si="140"/>
        <v>0</v>
      </c>
      <c r="P1111" s="199">
        <f t="shared" si="137"/>
        <v>0</v>
      </c>
      <c r="Q1111" s="203">
        <f t="shared" si="141"/>
        <v>45.800000000001788</v>
      </c>
      <c r="R1111" s="203" t="s">
        <v>55</v>
      </c>
      <c r="S1111" s="201">
        <f t="shared" si="142"/>
        <v>4.3733333333333402E-2</v>
      </c>
    </row>
    <row r="1112" spans="1:19">
      <c r="A1112" s="196">
        <v>41579</v>
      </c>
      <c r="B1112" s="122">
        <v>19.5</v>
      </c>
      <c r="C1112" s="122">
        <v>20.379999000000002</v>
      </c>
      <c r="D1112" s="122">
        <v>19.5</v>
      </c>
      <c r="E1112" s="122">
        <v>20.139999</v>
      </c>
      <c r="F1112" s="122">
        <v>15.141582</v>
      </c>
      <c r="G1112" s="197">
        <v>294700</v>
      </c>
      <c r="H1112" s="198">
        <f>IF(AND(E1111&gt;=H1111,E1112&gt;=E1111),E1111*(1+'Trading Model'!$E$13),IF(AND(E1112&lt;E1111,E1111&gt;=H1111),E1112*(1+'Trading Model'!$E$13),H1111))</f>
        <v>27.698998950000004</v>
      </c>
      <c r="I1112" s="198">
        <f>IF(K1112&gt;0,E1112*(1-'Trading Model'!E1122),IF(E1112&lt;I1111,I1111*(1-'Trading Model'!$E$14),I1111))</f>
        <v>8.9840153609188427</v>
      </c>
      <c r="J1112" s="198">
        <f t="shared" si="143"/>
        <v>0</v>
      </c>
      <c r="K1112" s="198">
        <f t="shared" si="138"/>
        <v>0</v>
      </c>
      <c r="L1112" s="198">
        <f>COUNTIF(J1112:K1112,"&lt;&gt;0")*-'Trading Model'!$E$15</f>
        <v>0</v>
      </c>
      <c r="M1112" s="198">
        <f t="shared" si="136"/>
        <v>0</v>
      </c>
      <c r="N1112" s="75">
        <f t="shared" si="139"/>
        <v>45</v>
      </c>
      <c r="O1112" s="202">
        <f t="shared" si="140"/>
        <v>0</v>
      </c>
      <c r="P1112" s="199">
        <f t="shared" si="137"/>
        <v>0</v>
      </c>
      <c r="Q1112" s="203">
        <f t="shared" si="141"/>
        <v>45.800000000001788</v>
      </c>
      <c r="R1112" s="201">
        <f>E1112/B1108-1</f>
        <v>0.1005464535817735</v>
      </c>
      <c r="S1112" s="201">
        <f t="shared" si="142"/>
        <v>2.9126162493612551E-2</v>
      </c>
    </row>
    <row r="1113" spans="1:19">
      <c r="A1113" s="196">
        <v>41582</v>
      </c>
      <c r="B1113" s="122">
        <v>20.139999</v>
      </c>
      <c r="C1113" s="122">
        <v>20.73</v>
      </c>
      <c r="D1113" s="122">
        <v>20.139999</v>
      </c>
      <c r="E1113" s="122">
        <v>20.25</v>
      </c>
      <c r="F1113" s="122">
        <v>15.224282000000001</v>
      </c>
      <c r="G1113" s="197">
        <v>270800</v>
      </c>
      <c r="H1113" s="198">
        <f>IF(AND(E1112&gt;=H1112,E1113&gt;=E1112),E1112*(1+'Trading Model'!$E$13),IF(AND(E1113&lt;E1112,E1112&gt;=H1112),E1113*(1+'Trading Model'!$E$13),H1112))</f>
        <v>27.698998950000004</v>
      </c>
      <c r="I1113" s="198">
        <f>IF(K1113&gt;0,E1113*(1-'Trading Model'!E1123),IF(E1113&lt;I1112,I1112*(1-'Trading Model'!$E$14),I1112))</f>
        <v>8.9840153609188427</v>
      </c>
      <c r="J1113" s="198">
        <f t="shared" si="143"/>
        <v>0</v>
      </c>
      <c r="K1113" s="198">
        <f t="shared" si="138"/>
        <v>0</v>
      </c>
      <c r="L1113" s="198">
        <f>COUNTIF(J1113:K1113,"&lt;&gt;0")*-'Trading Model'!$E$15</f>
        <v>0</v>
      </c>
      <c r="M1113" s="198">
        <f t="shared" si="136"/>
        <v>0</v>
      </c>
      <c r="N1113" s="75">
        <f t="shared" si="139"/>
        <v>45</v>
      </c>
      <c r="O1113" s="202">
        <f t="shared" si="140"/>
        <v>0</v>
      </c>
      <c r="P1113" s="199">
        <f t="shared" si="137"/>
        <v>0</v>
      </c>
      <c r="Q1113" s="203">
        <f t="shared" si="141"/>
        <v>45.800000000001788</v>
      </c>
      <c r="R1113" s="160" t="s">
        <v>55</v>
      </c>
      <c r="S1113" s="201">
        <f t="shared" si="142"/>
        <v>5.461817550239223E-3</v>
      </c>
    </row>
    <row r="1114" spans="1:19">
      <c r="A1114" s="196">
        <v>41583</v>
      </c>
      <c r="B1114" s="122">
        <v>20.700001</v>
      </c>
      <c r="C1114" s="122">
        <v>21.299999</v>
      </c>
      <c r="D1114" s="122">
        <v>20.290001</v>
      </c>
      <c r="E1114" s="122">
        <v>20.959999</v>
      </c>
      <c r="F1114" s="122">
        <v>15.75807</v>
      </c>
      <c r="G1114" s="197">
        <v>255100</v>
      </c>
      <c r="H1114" s="198">
        <f>IF(AND(E1113&gt;=H1113,E1114&gt;=E1113),E1113*(1+'Trading Model'!$E$13),IF(AND(E1114&lt;E1113,E1113&gt;=H1113),E1114*(1+'Trading Model'!$E$13),H1113))</f>
        <v>27.698998950000004</v>
      </c>
      <c r="I1114" s="198">
        <f>IF(K1114&gt;0,E1114*(1-'Trading Model'!E1124),IF(E1114&lt;I1113,I1113*(1-'Trading Model'!$E$14),I1113))</f>
        <v>8.9840153609188427</v>
      </c>
      <c r="J1114" s="198">
        <f t="shared" si="143"/>
        <v>0</v>
      </c>
      <c r="K1114" s="198">
        <f t="shared" si="138"/>
        <v>0</v>
      </c>
      <c r="L1114" s="198">
        <f>COUNTIF(J1114:K1114,"&lt;&gt;0")*-'Trading Model'!$E$15</f>
        <v>0</v>
      </c>
      <c r="M1114" s="198">
        <f t="shared" si="136"/>
        <v>0</v>
      </c>
      <c r="N1114" s="75">
        <f t="shared" si="139"/>
        <v>45</v>
      </c>
      <c r="O1114" s="202">
        <f t="shared" si="140"/>
        <v>0</v>
      </c>
      <c r="P1114" s="199">
        <f t="shared" si="137"/>
        <v>0</v>
      </c>
      <c r="Q1114" s="203">
        <f t="shared" si="141"/>
        <v>45.800000000001788</v>
      </c>
      <c r="R1114" s="203" t="s">
        <v>55</v>
      </c>
      <c r="S1114" s="201">
        <f t="shared" si="142"/>
        <v>3.5061679012345692E-2</v>
      </c>
    </row>
    <row r="1115" spans="1:19">
      <c r="A1115" s="196">
        <v>41584</v>
      </c>
      <c r="B1115" s="122">
        <v>21.040001</v>
      </c>
      <c r="C1115" s="122">
        <v>21.559999000000001</v>
      </c>
      <c r="D1115" s="122">
        <v>19.82</v>
      </c>
      <c r="E1115" s="122">
        <v>19.829999999999998</v>
      </c>
      <c r="F1115" s="122">
        <v>14.908517</v>
      </c>
      <c r="G1115" s="197">
        <v>217700</v>
      </c>
      <c r="H1115" s="198">
        <f>IF(AND(E1114&gt;=H1114,E1115&gt;=E1114),E1114*(1+'Trading Model'!$E$13),IF(AND(E1115&lt;E1114,E1114&gt;=H1114),E1115*(1+'Trading Model'!$E$13),H1114))</f>
        <v>27.698998950000004</v>
      </c>
      <c r="I1115" s="198">
        <f>IF(K1115&gt;0,E1115*(1-'Trading Model'!E1125),IF(E1115&lt;I1114,I1114*(1-'Trading Model'!$E$14),I1114))</f>
        <v>8.9840153609188427</v>
      </c>
      <c r="J1115" s="198">
        <f t="shared" si="143"/>
        <v>0</v>
      </c>
      <c r="K1115" s="198">
        <f t="shared" si="138"/>
        <v>0</v>
      </c>
      <c r="L1115" s="198">
        <f>COUNTIF(J1115:K1115,"&lt;&gt;0")*-'Trading Model'!$E$15</f>
        <v>0</v>
      </c>
      <c r="M1115" s="198">
        <f t="shared" si="136"/>
        <v>0</v>
      </c>
      <c r="N1115" s="75">
        <f t="shared" si="139"/>
        <v>45</v>
      </c>
      <c r="O1115" s="202">
        <f t="shared" si="140"/>
        <v>0</v>
      </c>
      <c r="P1115" s="199">
        <f t="shared" si="137"/>
        <v>0</v>
      </c>
      <c r="Q1115" s="203">
        <f t="shared" si="141"/>
        <v>45.700000000001786</v>
      </c>
      <c r="R1115" s="203" t="s">
        <v>55</v>
      </c>
      <c r="S1115" s="201">
        <f t="shared" si="142"/>
        <v>-5.3912168602679889E-2</v>
      </c>
    </row>
    <row r="1116" spans="1:19">
      <c r="A1116" s="196">
        <v>41585</v>
      </c>
      <c r="B1116" s="122">
        <v>19.739999999999998</v>
      </c>
      <c r="C1116" s="122">
        <v>20.610001</v>
      </c>
      <c r="D1116" s="122">
        <v>19.649999999999999</v>
      </c>
      <c r="E1116" s="122">
        <v>19.93</v>
      </c>
      <c r="F1116" s="122">
        <v>14.983700000000001</v>
      </c>
      <c r="G1116" s="197">
        <v>240000</v>
      </c>
      <c r="H1116" s="198">
        <f>IF(AND(E1115&gt;=H1115,E1116&gt;=E1115),E1115*(1+'Trading Model'!$E$13),IF(AND(E1116&lt;E1115,E1115&gt;=H1115),E1116*(1+'Trading Model'!$E$13),H1115))</f>
        <v>27.698998950000004</v>
      </c>
      <c r="I1116" s="198">
        <f>IF(K1116&gt;0,E1116*(1-'Trading Model'!E1126),IF(E1116&lt;I1115,I1115*(1-'Trading Model'!$E$14),I1115))</f>
        <v>8.9840153609188427</v>
      </c>
      <c r="J1116" s="198">
        <f t="shared" si="143"/>
        <v>0</v>
      </c>
      <c r="K1116" s="198">
        <f t="shared" si="138"/>
        <v>0</v>
      </c>
      <c r="L1116" s="198">
        <f>COUNTIF(J1116:K1116,"&lt;&gt;0")*-'Trading Model'!$E$15</f>
        <v>0</v>
      </c>
      <c r="M1116" s="198">
        <f t="shared" si="136"/>
        <v>0</v>
      </c>
      <c r="N1116" s="75">
        <f t="shared" si="139"/>
        <v>45</v>
      </c>
      <c r="O1116" s="202">
        <f t="shared" si="140"/>
        <v>0</v>
      </c>
      <c r="P1116" s="199">
        <f t="shared" si="137"/>
        <v>0</v>
      </c>
      <c r="Q1116" s="203">
        <f t="shared" si="141"/>
        <v>45.700000000001786</v>
      </c>
      <c r="R1116" s="203" t="s">
        <v>55</v>
      </c>
      <c r="S1116" s="201">
        <f t="shared" si="142"/>
        <v>5.0428643469491163E-3</v>
      </c>
    </row>
    <row r="1117" spans="1:19">
      <c r="A1117" s="196">
        <v>41586</v>
      </c>
      <c r="B1117" s="122">
        <v>20.120000999999998</v>
      </c>
      <c r="C1117" s="122">
        <v>20.120000999999998</v>
      </c>
      <c r="D1117" s="122">
        <v>19.760000000000002</v>
      </c>
      <c r="E1117" s="122">
        <v>20.040001</v>
      </c>
      <c r="F1117" s="122">
        <v>15.066401000000001</v>
      </c>
      <c r="G1117" s="197">
        <v>143800</v>
      </c>
      <c r="H1117" s="198">
        <f>IF(AND(E1116&gt;=H1116,E1117&gt;=E1116),E1116*(1+'Trading Model'!$E$13),IF(AND(E1117&lt;E1116,E1116&gt;=H1116),E1117*(1+'Trading Model'!$E$13),H1116))</f>
        <v>27.698998950000004</v>
      </c>
      <c r="I1117" s="198">
        <f>IF(K1117&gt;0,E1117*(1-'Trading Model'!E1127),IF(E1117&lt;I1116,I1116*(1-'Trading Model'!$E$14),I1116))</f>
        <v>8.9840153609188427</v>
      </c>
      <c r="J1117" s="198">
        <f t="shared" si="143"/>
        <v>0</v>
      </c>
      <c r="K1117" s="198">
        <f t="shared" si="138"/>
        <v>0</v>
      </c>
      <c r="L1117" s="198">
        <f>COUNTIF(J1117:K1117,"&lt;&gt;0")*-'Trading Model'!$E$15</f>
        <v>0</v>
      </c>
      <c r="M1117" s="198">
        <f t="shared" si="136"/>
        <v>0</v>
      </c>
      <c r="N1117" s="75">
        <f t="shared" si="139"/>
        <v>45</v>
      </c>
      <c r="O1117" s="202">
        <f t="shared" si="140"/>
        <v>0</v>
      </c>
      <c r="P1117" s="199">
        <f t="shared" si="137"/>
        <v>0</v>
      </c>
      <c r="Q1117" s="203">
        <f t="shared" si="141"/>
        <v>45.700000000001786</v>
      </c>
      <c r="R1117" s="201">
        <f>E1117/B1113-1</f>
        <v>-4.9651442385870714E-3</v>
      </c>
      <c r="S1117" s="201">
        <f t="shared" si="142"/>
        <v>5.5193677872553693E-3</v>
      </c>
    </row>
    <row r="1118" spans="1:19">
      <c r="A1118" s="196">
        <v>41589</v>
      </c>
      <c r="B1118" s="122">
        <v>20.18</v>
      </c>
      <c r="C1118" s="122">
        <v>20.41</v>
      </c>
      <c r="D1118" s="122">
        <v>19.82</v>
      </c>
      <c r="E1118" s="122">
        <v>19.850000000000001</v>
      </c>
      <c r="F1118" s="122">
        <v>14.923556</v>
      </c>
      <c r="G1118" s="197">
        <v>175600</v>
      </c>
      <c r="H1118" s="198">
        <f>IF(AND(E1117&gt;=H1117,E1118&gt;=E1117),E1117*(1+'Trading Model'!$E$13),IF(AND(E1118&lt;E1117,E1117&gt;=H1117),E1118*(1+'Trading Model'!$E$13),H1117))</f>
        <v>27.698998950000004</v>
      </c>
      <c r="I1118" s="198">
        <f>IF(K1118&gt;0,E1118*(1-'Trading Model'!E1128),IF(E1118&lt;I1117,I1117*(1-'Trading Model'!$E$14),I1117))</f>
        <v>8.9840153609188427</v>
      </c>
      <c r="J1118" s="198">
        <f t="shared" si="143"/>
        <v>0</v>
      </c>
      <c r="K1118" s="198">
        <f t="shared" si="138"/>
        <v>0</v>
      </c>
      <c r="L1118" s="198">
        <f>COUNTIF(J1118:K1118,"&lt;&gt;0")*-'Trading Model'!$E$15</f>
        <v>0</v>
      </c>
      <c r="M1118" s="198">
        <f t="shared" si="136"/>
        <v>0</v>
      </c>
      <c r="N1118" s="75">
        <f t="shared" si="139"/>
        <v>45</v>
      </c>
      <c r="O1118" s="202">
        <f t="shared" si="140"/>
        <v>0</v>
      </c>
      <c r="P1118" s="199">
        <f t="shared" si="137"/>
        <v>0</v>
      </c>
      <c r="Q1118" s="203">
        <f t="shared" si="141"/>
        <v>45.600000000001785</v>
      </c>
      <c r="R1118" s="160" t="s">
        <v>55</v>
      </c>
      <c r="S1118" s="201">
        <f t="shared" si="142"/>
        <v>-9.4810873512430893E-3</v>
      </c>
    </row>
    <row r="1119" spans="1:19">
      <c r="A1119" s="196">
        <v>41590</v>
      </c>
      <c r="B1119" s="122">
        <v>19.780000999999999</v>
      </c>
      <c r="C1119" s="122">
        <v>20.030000999999999</v>
      </c>
      <c r="D1119" s="122">
        <v>19.309999000000001</v>
      </c>
      <c r="E1119" s="122">
        <v>19.350000000000001</v>
      </c>
      <c r="F1119" s="122">
        <v>14.547648000000001</v>
      </c>
      <c r="G1119" s="197">
        <v>147100</v>
      </c>
      <c r="H1119" s="198">
        <f>IF(AND(E1118&gt;=H1118,E1119&gt;=E1118),E1118*(1+'Trading Model'!$E$13),IF(AND(E1119&lt;E1118,E1118&gt;=H1118),E1119*(1+'Trading Model'!$E$13),H1118))</f>
        <v>27.698998950000004</v>
      </c>
      <c r="I1119" s="198">
        <f>IF(K1119&gt;0,E1119*(1-'Trading Model'!E1129),IF(E1119&lt;I1118,I1118*(1-'Trading Model'!$E$14),I1118))</f>
        <v>8.9840153609188427</v>
      </c>
      <c r="J1119" s="198">
        <f t="shared" si="143"/>
        <v>0</v>
      </c>
      <c r="K1119" s="198">
        <f t="shared" si="138"/>
        <v>0</v>
      </c>
      <c r="L1119" s="198">
        <f>COUNTIF(J1119:K1119,"&lt;&gt;0")*-'Trading Model'!$E$15</f>
        <v>0</v>
      </c>
      <c r="M1119" s="198">
        <f t="shared" si="136"/>
        <v>0</v>
      </c>
      <c r="N1119" s="75">
        <f t="shared" si="139"/>
        <v>45</v>
      </c>
      <c r="O1119" s="202">
        <f t="shared" si="140"/>
        <v>0</v>
      </c>
      <c r="P1119" s="199">
        <f t="shared" si="137"/>
        <v>0</v>
      </c>
      <c r="Q1119" s="203">
        <f t="shared" si="141"/>
        <v>45.500000000001783</v>
      </c>
      <c r="R1119" s="203" t="s">
        <v>55</v>
      </c>
      <c r="S1119" s="201">
        <f t="shared" si="142"/>
        <v>-2.5188916876574319E-2</v>
      </c>
    </row>
    <row r="1120" spans="1:19">
      <c r="A1120" s="196">
        <v>41591</v>
      </c>
      <c r="B1120" s="122">
        <v>19.139999</v>
      </c>
      <c r="C1120" s="122">
        <v>19.48</v>
      </c>
      <c r="D1120" s="122">
        <v>19.02</v>
      </c>
      <c r="E1120" s="122">
        <v>19.120000999999998</v>
      </c>
      <c r="F1120" s="122">
        <v>14.374727999999999</v>
      </c>
      <c r="G1120" s="197">
        <v>194200</v>
      </c>
      <c r="H1120" s="198">
        <f>IF(AND(E1119&gt;=H1119,E1120&gt;=E1119),E1119*(1+'Trading Model'!$E$13),IF(AND(E1120&lt;E1119,E1119&gt;=H1119),E1120*(1+'Trading Model'!$E$13),H1119))</f>
        <v>27.698998950000004</v>
      </c>
      <c r="I1120" s="198">
        <f>IF(K1120&gt;0,E1120*(1-'Trading Model'!E1130),IF(E1120&lt;I1119,I1119*(1-'Trading Model'!$E$14),I1119))</f>
        <v>8.9840153609188427</v>
      </c>
      <c r="J1120" s="198">
        <f t="shared" si="143"/>
        <v>0</v>
      </c>
      <c r="K1120" s="198">
        <f t="shared" si="138"/>
        <v>0</v>
      </c>
      <c r="L1120" s="198">
        <f>COUNTIF(J1120:K1120,"&lt;&gt;0")*-'Trading Model'!$E$15</f>
        <v>0</v>
      </c>
      <c r="M1120" s="198">
        <f t="shared" si="136"/>
        <v>0</v>
      </c>
      <c r="N1120" s="75">
        <f t="shared" si="139"/>
        <v>45</v>
      </c>
      <c r="O1120" s="202">
        <f t="shared" si="140"/>
        <v>0</v>
      </c>
      <c r="P1120" s="199">
        <f t="shared" si="137"/>
        <v>0</v>
      </c>
      <c r="Q1120" s="203">
        <f t="shared" si="141"/>
        <v>45.400000000001782</v>
      </c>
      <c r="R1120" s="203" t="s">
        <v>55</v>
      </c>
      <c r="S1120" s="201">
        <f t="shared" si="142"/>
        <v>-1.1886253229974275E-2</v>
      </c>
    </row>
    <row r="1121" spans="1:19">
      <c r="A1121" s="196">
        <v>41592</v>
      </c>
      <c r="B1121" s="122">
        <v>19.129999000000002</v>
      </c>
      <c r="C1121" s="122">
        <v>19.860001</v>
      </c>
      <c r="D1121" s="122">
        <v>18.739999999999998</v>
      </c>
      <c r="E1121" s="122">
        <v>19.739999999999998</v>
      </c>
      <c r="F1121" s="122">
        <v>14.840852999999999</v>
      </c>
      <c r="G1121" s="197">
        <v>227600</v>
      </c>
      <c r="H1121" s="198">
        <f>IF(AND(E1120&gt;=H1120,E1121&gt;=E1120),E1120*(1+'Trading Model'!$E$13),IF(AND(E1121&lt;E1120,E1120&gt;=H1120),E1121*(1+'Trading Model'!$E$13),H1120))</f>
        <v>27.698998950000004</v>
      </c>
      <c r="I1121" s="198">
        <f>IF(K1121&gt;0,E1121*(1-'Trading Model'!E1131),IF(E1121&lt;I1120,I1120*(1-'Trading Model'!$E$14),I1120))</f>
        <v>8.9840153609188427</v>
      </c>
      <c r="J1121" s="198">
        <f t="shared" si="143"/>
        <v>0</v>
      </c>
      <c r="K1121" s="198">
        <f t="shared" si="138"/>
        <v>0</v>
      </c>
      <c r="L1121" s="198">
        <f>COUNTIF(J1121:K1121,"&lt;&gt;0")*-'Trading Model'!$E$15</f>
        <v>0</v>
      </c>
      <c r="M1121" s="198">
        <f t="shared" si="136"/>
        <v>0</v>
      </c>
      <c r="N1121" s="75">
        <f t="shared" si="139"/>
        <v>45</v>
      </c>
      <c r="O1121" s="202">
        <f t="shared" si="140"/>
        <v>0</v>
      </c>
      <c r="P1121" s="199">
        <f t="shared" si="137"/>
        <v>0</v>
      </c>
      <c r="Q1121" s="203">
        <f t="shared" si="141"/>
        <v>45.400000000001782</v>
      </c>
      <c r="R1121" s="203" t="s">
        <v>55</v>
      </c>
      <c r="S1121" s="201">
        <f t="shared" si="142"/>
        <v>3.2426724245464111E-2</v>
      </c>
    </row>
    <row r="1122" spans="1:19">
      <c r="A1122" s="196">
        <v>41593</v>
      </c>
      <c r="B1122" s="122">
        <v>19.629999000000002</v>
      </c>
      <c r="C1122" s="122">
        <v>20.100000000000001</v>
      </c>
      <c r="D1122" s="122">
        <v>19.559999000000001</v>
      </c>
      <c r="E1122" s="122">
        <v>20.040001</v>
      </c>
      <c r="F1122" s="122">
        <v>15.066401000000001</v>
      </c>
      <c r="G1122" s="197">
        <v>145900</v>
      </c>
      <c r="H1122" s="198">
        <f>IF(AND(E1121&gt;=H1121,E1122&gt;=E1121),E1121*(1+'Trading Model'!$E$13),IF(AND(E1122&lt;E1121,E1121&gt;=H1121),E1122*(1+'Trading Model'!$E$13),H1121))</f>
        <v>27.698998950000004</v>
      </c>
      <c r="I1122" s="198">
        <f>IF(K1122&gt;0,E1122*(1-'Trading Model'!E1132),IF(E1122&lt;I1121,I1121*(1-'Trading Model'!$E$14),I1121))</f>
        <v>8.9840153609188427</v>
      </c>
      <c r="J1122" s="198">
        <f t="shared" si="143"/>
        <v>0</v>
      </c>
      <c r="K1122" s="198">
        <f t="shared" si="138"/>
        <v>0</v>
      </c>
      <c r="L1122" s="198">
        <f>COUNTIF(J1122:K1122,"&lt;&gt;0")*-'Trading Model'!$E$15</f>
        <v>0</v>
      </c>
      <c r="M1122" s="198">
        <f t="shared" si="136"/>
        <v>0</v>
      </c>
      <c r="N1122" s="75">
        <f t="shared" si="139"/>
        <v>45</v>
      </c>
      <c r="O1122" s="202">
        <f t="shared" si="140"/>
        <v>0</v>
      </c>
      <c r="P1122" s="199">
        <f t="shared" si="137"/>
        <v>0</v>
      </c>
      <c r="Q1122" s="203">
        <f t="shared" si="141"/>
        <v>45.400000000001782</v>
      </c>
      <c r="R1122" s="201">
        <f>E1122/B1118-1</f>
        <v>-6.9375123885034862E-3</v>
      </c>
      <c r="S1122" s="201">
        <f t="shared" si="142"/>
        <v>1.5197619047619071E-2</v>
      </c>
    </row>
    <row r="1123" spans="1:19">
      <c r="A1123" s="196">
        <v>41596</v>
      </c>
      <c r="B1123" s="122">
        <v>20.200001</v>
      </c>
      <c r="C1123" s="122">
        <v>20.75</v>
      </c>
      <c r="D1123" s="122">
        <v>19.940000999999999</v>
      </c>
      <c r="E1123" s="122">
        <v>20.399999999999999</v>
      </c>
      <c r="F1123" s="122">
        <v>15.337054</v>
      </c>
      <c r="G1123" s="197">
        <v>188600</v>
      </c>
      <c r="H1123" s="198">
        <f>IF(AND(E1122&gt;=H1122,E1123&gt;=E1122),E1122*(1+'Trading Model'!$E$13),IF(AND(E1123&lt;E1122,E1122&gt;=H1122),E1123*(1+'Trading Model'!$E$13),H1122))</f>
        <v>27.698998950000004</v>
      </c>
      <c r="I1123" s="198">
        <f>IF(K1123&gt;0,E1123*(1-'Trading Model'!E1133),IF(E1123&lt;I1122,I1122*(1-'Trading Model'!$E$14),I1122))</f>
        <v>8.9840153609188427</v>
      </c>
      <c r="J1123" s="198">
        <f t="shared" si="143"/>
        <v>0</v>
      </c>
      <c r="K1123" s="198">
        <f t="shared" si="138"/>
        <v>0</v>
      </c>
      <c r="L1123" s="198">
        <f>COUNTIF(J1123:K1123,"&lt;&gt;0")*-'Trading Model'!$E$15</f>
        <v>0</v>
      </c>
      <c r="M1123" s="198">
        <f t="shared" si="136"/>
        <v>0</v>
      </c>
      <c r="N1123" s="75">
        <f t="shared" si="139"/>
        <v>45</v>
      </c>
      <c r="O1123" s="202">
        <f t="shared" si="140"/>
        <v>0</v>
      </c>
      <c r="P1123" s="199">
        <f t="shared" si="137"/>
        <v>0</v>
      </c>
      <c r="Q1123" s="203">
        <f t="shared" si="141"/>
        <v>45.400000000001782</v>
      </c>
      <c r="R1123" s="160" t="s">
        <v>55</v>
      </c>
      <c r="S1123" s="201">
        <f t="shared" si="142"/>
        <v>1.7964021059679425E-2</v>
      </c>
    </row>
    <row r="1124" spans="1:19">
      <c r="A1124" s="196">
        <v>41597</v>
      </c>
      <c r="B1124" s="122">
        <v>20.299999</v>
      </c>
      <c r="C1124" s="122">
        <v>20.299999</v>
      </c>
      <c r="D1124" s="122">
        <v>19.790001</v>
      </c>
      <c r="E1124" s="122">
        <v>20.07</v>
      </c>
      <c r="F1124" s="122">
        <v>15.088955</v>
      </c>
      <c r="G1124" s="197">
        <v>139700</v>
      </c>
      <c r="H1124" s="198">
        <f>IF(AND(E1123&gt;=H1123,E1124&gt;=E1123),E1123*(1+'Trading Model'!$E$13),IF(AND(E1124&lt;E1123,E1123&gt;=H1123),E1124*(1+'Trading Model'!$E$13),H1123))</f>
        <v>27.698998950000004</v>
      </c>
      <c r="I1124" s="198">
        <f>IF(K1124&gt;0,E1124*(1-'Trading Model'!E1134),IF(E1124&lt;I1123,I1123*(1-'Trading Model'!$E$14),I1123))</f>
        <v>8.9840153609188427</v>
      </c>
      <c r="J1124" s="198">
        <f t="shared" si="143"/>
        <v>0</v>
      </c>
      <c r="K1124" s="198">
        <f t="shared" si="138"/>
        <v>0</v>
      </c>
      <c r="L1124" s="198">
        <f>COUNTIF(J1124:K1124,"&lt;&gt;0")*-'Trading Model'!$E$15</f>
        <v>0</v>
      </c>
      <c r="M1124" s="198">
        <f t="shared" si="136"/>
        <v>0</v>
      </c>
      <c r="N1124" s="75">
        <f t="shared" si="139"/>
        <v>45</v>
      </c>
      <c r="O1124" s="202">
        <f t="shared" si="140"/>
        <v>0</v>
      </c>
      <c r="P1124" s="199">
        <f t="shared" si="137"/>
        <v>0</v>
      </c>
      <c r="Q1124" s="203">
        <f t="shared" si="141"/>
        <v>45.300000000001781</v>
      </c>
      <c r="R1124" s="203" t="s">
        <v>55</v>
      </c>
      <c r="S1124" s="201">
        <f t="shared" si="142"/>
        <v>-1.6176470588235237E-2</v>
      </c>
    </row>
    <row r="1125" spans="1:19">
      <c r="A1125" s="196">
        <v>41598</v>
      </c>
      <c r="B1125" s="122">
        <v>20</v>
      </c>
      <c r="C1125" s="122">
        <v>20.65</v>
      </c>
      <c r="D1125" s="122">
        <v>19.799999</v>
      </c>
      <c r="E1125" s="122">
        <v>20.420000000000002</v>
      </c>
      <c r="F1125" s="122">
        <v>15.352092000000001</v>
      </c>
      <c r="G1125" s="197">
        <v>156200</v>
      </c>
      <c r="H1125" s="198">
        <f>IF(AND(E1124&gt;=H1124,E1125&gt;=E1124),E1124*(1+'Trading Model'!$E$13),IF(AND(E1125&lt;E1124,E1124&gt;=H1124),E1125*(1+'Trading Model'!$E$13),H1124))</f>
        <v>27.698998950000004</v>
      </c>
      <c r="I1125" s="198">
        <f>IF(K1125&gt;0,E1125*(1-'Trading Model'!E1135),IF(E1125&lt;I1124,I1124*(1-'Trading Model'!$E$14),I1124))</f>
        <v>8.9840153609188427</v>
      </c>
      <c r="J1125" s="198">
        <f t="shared" si="143"/>
        <v>0</v>
      </c>
      <c r="K1125" s="198">
        <f t="shared" si="138"/>
        <v>0</v>
      </c>
      <c r="L1125" s="198">
        <f>COUNTIF(J1125:K1125,"&lt;&gt;0")*-'Trading Model'!$E$15</f>
        <v>0</v>
      </c>
      <c r="M1125" s="198">
        <f t="shared" si="136"/>
        <v>0</v>
      </c>
      <c r="N1125" s="75">
        <f t="shared" si="139"/>
        <v>45</v>
      </c>
      <c r="O1125" s="202">
        <f t="shared" si="140"/>
        <v>0</v>
      </c>
      <c r="P1125" s="199">
        <f t="shared" si="137"/>
        <v>0</v>
      </c>
      <c r="Q1125" s="203">
        <f t="shared" si="141"/>
        <v>45.300000000001781</v>
      </c>
      <c r="R1125" s="203" t="s">
        <v>55</v>
      </c>
      <c r="S1125" s="201">
        <f t="shared" si="142"/>
        <v>1.743896362730446E-2</v>
      </c>
    </row>
    <row r="1126" spans="1:19">
      <c r="A1126" s="196">
        <v>41599</v>
      </c>
      <c r="B1126" s="122">
        <v>20.58</v>
      </c>
      <c r="C1126" s="122">
        <v>20.870000999999998</v>
      </c>
      <c r="D1126" s="122">
        <v>20.100000000000001</v>
      </c>
      <c r="E1126" s="122">
        <v>20.25</v>
      </c>
      <c r="F1126" s="122">
        <v>15.224282000000001</v>
      </c>
      <c r="G1126" s="197">
        <v>163100</v>
      </c>
      <c r="H1126" s="198">
        <f>IF(AND(E1125&gt;=H1125,E1126&gt;=E1125),E1125*(1+'Trading Model'!$E$13),IF(AND(E1126&lt;E1125,E1125&gt;=H1125),E1126*(1+'Trading Model'!$E$13),H1125))</f>
        <v>27.698998950000004</v>
      </c>
      <c r="I1126" s="198">
        <f>IF(K1126&gt;0,E1126*(1-'Trading Model'!E1136),IF(E1126&lt;I1125,I1125*(1-'Trading Model'!$E$14),I1125))</f>
        <v>8.9840153609188427</v>
      </c>
      <c r="J1126" s="198">
        <f t="shared" si="143"/>
        <v>0</v>
      </c>
      <c r="K1126" s="198">
        <f t="shared" si="138"/>
        <v>0</v>
      </c>
      <c r="L1126" s="198">
        <f>COUNTIF(J1126:K1126,"&lt;&gt;0")*-'Trading Model'!$E$15</f>
        <v>0</v>
      </c>
      <c r="M1126" s="198">
        <f t="shared" si="136"/>
        <v>0</v>
      </c>
      <c r="N1126" s="75">
        <f t="shared" si="139"/>
        <v>45</v>
      </c>
      <c r="O1126" s="202">
        <f t="shared" si="140"/>
        <v>0</v>
      </c>
      <c r="P1126" s="199">
        <f t="shared" si="137"/>
        <v>0</v>
      </c>
      <c r="Q1126" s="203">
        <f t="shared" si="141"/>
        <v>45.200000000001779</v>
      </c>
      <c r="R1126" s="203" t="s">
        <v>55</v>
      </c>
      <c r="S1126" s="201">
        <f t="shared" si="142"/>
        <v>-8.3251714005877497E-3</v>
      </c>
    </row>
    <row r="1127" spans="1:19">
      <c r="A1127" s="196">
        <v>41600</v>
      </c>
      <c r="B1127" s="122">
        <v>20.190000999999999</v>
      </c>
      <c r="C1127" s="122">
        <v>21.290001</v>
      </c>
      <c r="D1127" s="122">
        <v>20</v>
      </c>
      <c r="E1127" s="122">
        <v>21.190000999999999</v>
      </c>
      <c r="F1127" s="122">
        <v>15.930987999999999</v>
      </c>
      <c r="G1127" s="197">
        <v>318100</v>
      </c>
      <c r="H1127" s="198">
        <f>IF(AND(E1126&gt;=H1126,E1127&gt;=E1126),E1126*(1+'Trading Model'!$E$13),IF(AND(E1127&lt;E1126,E1126&gt;=H1126),E1127*(1+'Trading Model'!$E$13),H1126))</f>
        <v>27.698998950000004</v>
      </c>
      <c r="I1127" s="198">
        <f>IF(K1127&gt;0,E1127*(1-'Trading Model'!E1137),IF(E1127&lt;I1126,I1126*(1-'Trading Model'!$E$14),I1126))</f>
        <v>8.9840153609188427</v>
      </c>
      <c r="J1127" s="198">
        <f t="shared" si="143"/>
        <v>0</v>
      </c>
      <c r="K1127" s="198">
        <f t="shared" si="138"/>
        <v>0</v>
      </c>
      <c r="L1127" s="198">
        <f>COUNTIF(J1127:K1127,"&lt;&gt;0")*-'Trading Model'!$E$15</f>
        <v>0</v>
      </c>
      <c r="M1127" s="198">
        <f t="shared" si="136"/>
        <v>0</v>
      </c>
      <c r="N1127" s="75">
        <f t="shared" si="139"/>
        <v>45</v>
      </c>
      <c r="O1127" s="202">
        <f t="shared" si="140"/>
        <v>0</v>
      </c>
      <c r="P1127" s="199">
        <f t="shared" si="137"/>
        <v>0</v>
      </c>
      <c r="Q1127" s="203">
        <f t="shared" si="141"/>
        <v>45.200000000001779</v>
      </c>
      <c r="R1127" s="201">
        <f>E1127/B1123-1</f>
        <v>4.9009898563866283E-2</v>
      </c>
      <c r="S1127" s="201">
        <f t="shared" si="142"/>
        <v>4.6419802469135796E-2</v>
      </c>
    </row>
    <row r="1128" spans="1:19">
      <c r="A1128" s="196">
        <v>41603</v>
      </c>
      <c r="B1128" s="122">
        <v>21.389999</v>
      </c>
      <c r="C1128" s="122">
        <v>21.389999</v>
      </c>
      <c r="D1128" s="122">
        <v>20.59</v>
      </c>
      <c r="E1128" s="122">
        <v>20.75</v>
      </c>
      <c r="F1128" s="122">
        <v>15.600186000000001</v>
      </c>
      <c r="G1128" s="197">
        <v>114400</v>
      </c>
      <c r="H1128" s="198">
        <f>IF(AND(E1127&gt;=H1127,E1128&gt;=E1127),E1127*(1+'Trading Model'!$E$13),IF(AND(E1128&lt;E1127,E1127&gt;=H1127),E1128*(1+'Trading Model'!$E$13),H1127))</f>
        <v>27.698998950000004</v>
      </c>
      <c r="I1128" s="198">
        <f>IF(K1128&gt;0,E1128*(1-'Trading Model'!E1138),IF(E1128&lt;I1127,I1127*(1-'Trading Model'!$E$14),I1127))</f>
        <v>8.9840153609188427</v>
      </c>
      <c r="J1128" s="198">
        <f t="shared" si="143"/>
        <v>0</v>
      </c>
      <c r="K1128" s="198">
        <f t="shared" si="138"/>
        <v>0</v>
      </c>
      <c r="L1128" s="198">
        <f>COUNTIF(J1128:K1128,"&lt;&gt;0")*-'Trading Model'!$E$15</f>
        <v>0</v>
      </c>
      <c r="M1128" s="198">
        <f t="shared" si="136"/>
        <v>0</v>
      </c>
      <c r="N1128" s="75">
        <f t="shared" si="139"/>
        <v>45</v>
      </c>
      <c r="O1128" s="202">
        <f t="shared" si="140"/>
        <v>0</v>
      </c>
      <c r="P1128" s="199">
        <f t="shared" si="137"/>
        <v>0</v>
      </c>
      <c r="Q1128" s="203">
        <f t="shared" si="141"/>
        <v>45.100000000001778</v>
      </c>
      <c r="R1128" s="160" t="s">
        <v>55</v>
      </c>
      <c r="S1128" s="201">
        <f t="shared" si="142"/>
        <v>-2.0764557774206716E-2</v>
      </c>
    </row>
    <row r="1129" spans="1:19">
      <c r="A1129" s="196">
        <v>41604</v>
      </c>
      <c r="B1129" s="122">
        <v>20.799999</v>
      </c>
      <c r="C1129" s="122">
        <v>20.92</v>
      </c>
      <c r="D1129" s="122">
        <v>19.290001</v>
      </c>
      <c r="E1129" s="122">
        <v>19.290001</v>
      </c>
      <c r="F1129" s="122">
        <v>14.502537</v>
      </c>
      <c r="G1129" s="197">
        <v>404900</v>
      </c>
      <c r="H1129" s="198">
        <f>IF(AND(E1128&gt;=H1128,E1129&gt;=E1128),E1128*(1+'Trading Model'!$E$13),IF(AND(E1129&lt;E1128,E1128&gt;=H1128),E1129*(1+'Trading Model'!$E$13),H1128))</f>
        <v>27.698998950000004</v>
      </c>
      <c r="I1129" s="198">
        <f>IF(K1129&gt;0,E1129*(1-'Trading Model'!E1139),IF(E1129&lt;I1128,I1128*(1-'Trading Model'!$E$14),I1128))</f>
        <v>8.9840153609188427</v>
      </c>
      <c r="J1129" s="198">
        <f t="shared" si="143"/>
        <v>0</v>
      </c>
      <c r="K1129" s="198">
        <f t="shared" si="138"/>
        <v>0</v>
      </c>
      <c r="L1129" s="198">
        <f>COUNTIF(J1129:K1129,"&lt;&gt;0")*-'Trading Model'!$E$15</f>
        <v>0</v>
      </c>
      <c r="M1129" s="198">
        <f t="shared" si="136"/>
        <v>0</v>
      </c>
      <c r="N1129" s="75">
        <f t="shared" si="139"/>
        <v>45</v>
      </c>
      <c r="O1129" s="202">
        <f t="shared" si="140"/>
        <v>0</v>
      </c>
      <c r="P1129" s="199">
        <f t="shared" si="137"/>
        <v>0</v>
      </c>
      <c r="Q1129" s="203">
        <f t="shared" si="141"/>
        <v>45.000000000001776</v>
      </c>
      <c r="R1129" s="203" t="s">
        <v>55</v>
      </c>
      <c r="S1129" s="201">
        <f t="shared" si="142"/>
        <v>-7.0361397590361419E-2</v>
      </c>
    </row>
    <row r="1130" spans="1:19">
      <c r="A1130" s="196">
        <v>41605</v>
      </c>
      <c r="B1130" s="122">
        <v>19.379999000000002</v>
      </c>
      <c r="C1130" s="122">
        <v>20.120000999999998</v>
      </c>
      <c r="D1130" s="122">
        <v>19.379999000000002</v>
      </c>
      <c r="E1130" s="122">
        <v>19.920000000000002</v>
      </c>
      <c r="F1130" s="122">
        <v>14.976183000000001</v>
      </c>
      <c r="G1130" s="197">
        <v>186000</v>
      </c>
      <c r="H1130" s="198">
        <f>IF(AND(E1129&gt;=H1129,E1130&gt;=E1129),E1129*(1+'Trading Model'!$E$13),IF(AND(E1130&lt;E1129,E1129&gt;=H1129),E1130*(1+'Trading Model'!$E$13),H1129))</f>
        <v>27.698998950000004</v>
      </c>
      <c r="I1130" s="198">
        <f>IF(K1130&gt;0,E1130*(1-'Trading Model'!E1140),IF(E1130&lt;I1129,I1129*(1-'Trading Model'!$E$14),I1129))</f>
        <v>8.9840153609188427</v>
      </c>
      <c r="J1130" s="198">
        <f t="shared" si="143"/>
        <v>0</v>
      </c>
      <c r="K1130" s="198">
        <f t="shared" si="138"/>
        <v>0</v>
      </c>
      <c r="L1130" s="198">
        <f>COUNTIF(J1130:K1130,"&lt;&gt;0")*-'Trading Model'!$E$15</f>
        <v>0</v>
      </c>
      <c r="M1130" s="198">
        <f t="shared" si="136"/>
        <v>0</v>
      </c>
      <c r="N1130" s="75">
        <f t="shared" si="139"/>
        <v>45</v>
      </c>
      <c r="O1130" s="202">
        <f t="shared" si="140"/>
        <v>0</v>
      </c>
      <c r="P1130" s="199">
        <f t="shared" si="137"/>
        <v>0</v>
      </c>
      <c r="Q1130" s="203">
        <f t="shared" si="141"/>
        <v>45.000000000001776</v>
      </c>
      <c r="R1130" s="203" t="s">
        <v>55</v>
      </c>
      <c r="S1130" s="201">
        <f t="shared" si="142"/>
        <v>3.2659355486814201E-2</v>
      </c>
    </row>
    <row r="1131" spans="1:19">
      <c r="A1131" s="196">
        <v>41607</v>
      </c>
      <c r="B1131" s="122">
        <v>20.07</v>
      </c>
      <c r="C1131" s="122">
        <v>20.260000000000002</v>
      </c>
      <c r="D1131" s="122">
        <v>19.82</v>
      </c>
      <c r="E1131" s="122">
        <v>20</v>
      </c>
      <c r="F1131" s="122">
        <v>15.036326000000001</v>
      </c>
      <c r="G1131" s="197">
        <v>106600</v>
      </c>
      <c r="H1131" s="198">
        <f>IF(AND(E1130&gt;=H1130,E1131&gt;=E1130),E1130*(1+'Trading Model'!$E$13),IF(AND(E1131&lt;E1130,E1130&gt;=H1130),E1131*(1+'Trading Model'!$E$13),H1130))</f>
        <v>27.698998950000004</v>
      </c>
      <c r="I1131" s="198">
        <f>IF(K1131&gt;0,E1131*(1-'Trading Model'!E1141),IF(E1131&lt;I1130,I1130*(1-'Trading Model'!$E$14),I1130))</f>
        <v>8.9840153609188427</v>
      </c>
      <c r="J1131" s="198">
        <f t="shared" si="143"/>
        <v>0</v>
      </c>
      <c r="K1131" s="198">
        <f t="shared" si="138"/>
        <v>0</v>
      </c>
      <c r="L1131" s="198">
        <f>COUNTIF(J1131:K1131,"&lt;&gt;0")*-'Trading Model'!$E$15</f>
        <v>0</v>
      </c>
      <c r="M1131" s="198">
        <f t="shared" si="136"/>
        <v>0</v>
      </c>
      <c r="N1131" s="75">
        <f t="shared" si="139"/>
        <v>45</v>
      </c>
      <c r="O1131" s="202">
        <f t="shared" si="140"/>
        <v>0</v>
      </c>
      <c r="P1131" s="199">
        <f t="shared" si="137"/>
        <v>0</v>
      </c>
      <c r="Q1131" s="203">
        <f t="shared" si="141"/>
        <v>45.000000000001776</v>
      </c>
      <c r="R1131" s="203" t="s">
        <v>55</v>
      </c>
      <c r="S1131" s="201">
        <f t="shared" si="142"/>
        <v>4.0160642570279403E-3</v>
      </c>
    </row>
    <row r="1132" spans="1:19">
      <c r="A1132" s="196">
        <v>41610</v>
      </c>
      <c r="B1132" s="122">
        <v>19.850000000000001</v>
      </c>
      <c r="C1132" s="122">
        <v>20.18</v>
      </c>
      <c r="D1132" s="122">
        <v>19.120000999999998</v>
      </c>
      <c r="E1132" s="122">
        <v>19.370000999999998</v>
      </c>
      <c r="F1132" s="122">
        <v>14.562685</v>
      </c>
      <c r="G1132" s="197">
        <v>237000</v>
      </c>
      <c r="H1132" s="198">
        <f>IF(AND(E1131&gt;=H1131,E1132&gt;=E1131),E1131*(1+'Trading Model'!$E$13),IF(AND(E1132&lt;E1131,E1131&gt;=H1131),E1132*(1+'Trading Model'!$E$13),H1131))</f>
        <v>27.698998950000004</v>
      </c>
      <c r="I1132" s="198">
        <f>IF(K1132&gt;0,E1132*(1-'Trading Model'!E1142),IF(E1132&lt;I1131,I1131*(1-'Trading Model'!$E$14),I1131))</f>
        <v>8.9840153609188427</v>
      </c>
      <c r="J1132" s="198">
        <f t="shared" si="143"/>
        <v>0</v>
      </c>
      <c r="K1132" s="198">
        <f t="shared" si="138"/>
        <v>0</v>
      </c>
      <c r="L1132" s="198">
        <f>COUNTIF(J1132:K1132,"&lt;&gt;0")*-'Trading Model'!$E$15</f>
        <v>0</v>
      </c>
      <c r="M1132" s="198">
        <f t="shared" si="136"/>
        <v>0</v>
      </c>
      <c r="N1132" s="75">
        <f t="shared" si="139"/>
        <v>45</v>
      </c>
      <c r="O1132" s="202">
        <f t="shared" si="140"/>
        <v>0</v>
      </c>
      <c r="P1132" s="199">
        <f t="shared" si="137"/>
        <v>0</v>
      </c>
      <c r="Q1132" s="203">
        <f t="shared" si="141"/>
        <v>44.900000000001775</v>
      </c>
      <c r="R1132" s="201">
        <f>E1132/B1128-1</f>
        <v>-9.4436563554771591E-2</v>
      </c>
      <c r="S1132" s="201">
        <f t="shared" si="142"/>
        <v>-3.1499950000000054E-2</v>
      </c>
    </row>
    <row r="1133" spans="1:19">
      <c r="A1133" s="196">
        <v>41611</v>
      </c>
      <c r="B1133" s="122">
        <v>19.350000000000001</v>
      </c>
      <c r="C1133" s="122">
        <v>19.459999</v>
      </c>
      <c r="D1133" s="122">
        <v>18.27</v>
      </c>
      <c r="E1133" s="122">
        <v>18.489999999999998</v>
      </c>
      <c r="F1133" s="122">
        <v>13.901085999999999</v>
      </c>
      <c r="G1133" s="197">
        <v>349500</v>
      </c>
      <c r="H1133" s="198">
        <f>IF(AND(E1132&gt;=H1132,E1133&gt;=E1132),E1132*(1+'Trading Model'!$E$13),IF(AND(E1133&lt;E1132,E1132&gt;=H1132),E1133*(1+'Trading Model'!$E$13),H1132))</f>
        <v>27.698998950000004</v>
      </c>
      <c r="I1133" s="198">
        <f>IF(K1133&gt;0,E1133*(1-'Trading Model'!E1143),IF(E1133&lt;I1132,I1132*(1-'Trading Model'!$E$14),I1132))</f>
        <v>8.9840153609188427</v>
      </c>
      <c r="J1133" s="198">
        <f t="shared" si="143"/>
        <v>0</v>
      </c>
      <c r="K1133" s="198">
        <f t="shared" si="138"/>
        <v>0</v>
      </c>
      <c r="L1133" s="198">
        <f>COUNTIF(J1133:K1133,"&lt;&gt;0")*-'Trading Model'!$E$15</f>
        <v>0</v>
      </c>
      <c r="M1133" s="198">
        <f t="shared" si="136"/>
        <v>0</v>
      </c>
      <c r="N1133" s="75">
        <f t="shared" si="139"/>
        <v>45</v>
      </c>
      <c r="O1133" s="202">
        <f t="shared" si="140"/>
        <v>0</v>
      </c>
      <c r="P1133" s="199">
        <f t="shared" si="137"/>
        <v>0</v>
      </c>
      <c r="Q1133" s="203">
        <f t="shared" si="141"/>
        <v>44.800000000001774</v>
      </c>
      <c r="R1133" s="160" t="s">
        <v>55</v>
      </c>
      <c r="S1133" s="201">
        <f t="shared" si="142"/>
        <v>-4.5431128268914378E-2</v>
      </c>
    </row>
    <row r="1134" spans="1:19">
      <c r="A1134" s="196">
        <v>41612</v>
      </c>
      <c r="B1134" s="122">
        <v>18.360001</v>
      </c>
      <c r="C1134" s="122">
        <v>18.950001</v>
      </c>
      <c r="D1134" s="122">
        <v>18.34</v>
      </c>
      <c r="E1134" s="122">
        <v>18.799999</v>
      </c>
      <c r="F1134" s="122">
        <v>14.134149000000001</v>
      </c>
      <c r="G1134" s="197">
        <v>174600</v>
      </c>
      <c r="H1134" s="198">
        <f>IF(AND(E1133&gt;=H1133,E1134&gt;=E1133),E1133*(1+'Trading Model'!$E$13),IF(AND(E1134&lt;E1133,E1133&gt;=H1133),E1134*(1+'Trading Model'!$E$13),H1133))</f>
        <v>27.698998950000004</v>
      </c>
      <c r="I1134" s="198">
        <f>IF(K1134&gt;0,E1134*(1-'Trading Model'!E1144),IF(E1134&lt;I1133,I1133*(1-'Trading Model'!$E$14),I1133))</f>
        <v>8.9840153609188427</v>
      </c>
      <c r="J1134" s="198">
        <f t="shared" si="143"/>
        <v>0</v>
      </c>
      <c r="K1134" s="198">
        <f t="shared" si="138"/>
        <v>0</v>
      </c>
      <c r="L1134" s="198">
        <f>COUNTIF(J1134:K1134,"&lt;&gt;0")*-'Trading Model'!$E$15</f>
        <v>0</v>
      </c>
      <c r="M1134" s="198">
        <f t="shared" si="136"/>
        <v>0</v>
      </c>
      <c r="N1134" s="75">
        <f t="shared" si="139"/>
        <v>45</v>
      </c>
      <c r="O1134" s="202">
        <f t="shared" si="140"/>
        <v>0</v>
      </c>
      <c r="P1134" s="199">
        <f t="shared" si="137"/>
        <v>0</v>
      </c>
      <c r="Q1134" s="203">
        <f t="shared" si="141"/>
        <v>44.800000000001774</v>
      </c>
      <c r="R1134" s="203" t="s">
        <v>55</v>
      </c>
      <c r="S1134" s="201">
        <f t="shared" si="142"/>
        <v>1.676576527852891E-2</v>
      </c>
    </row>
    <row r="1135" spans="1:19">
      <c r="A1135" s="196">
        <v>41613</v>
      </c>
      <c r="B1135" s="122">
        <v>18.790001</v>
      </c>
      <c r="C1135" s="122">
        <v>19.049999</v>
      </c>
      <c r="D1135" s="122">
        <v>18.329999999999998</v>
      </c>
      <c r="E1135" s="122">
        <v>18.379999000000002</v>
      </c>
      <c r="F1135" s="122">
        <v>13.818386</v>
      </c>
      <c r="G1135" s="197">
        <v>113300</v>
      </c>
      <c r="H1135" s="198">
        <f>IF(AND(E1134&gt;=H1134,E1135&gt;=E1134),E1134*(1+'Trading Model'!$E$13),IF(AND(E1135&lt;E1134,E1134&gt;=H1134),E1135*(1+'Trading Model'!$E$13),H1134))</f>
        <v>27.698998950000004</v>
      </c>
      <c r="I1135" s="198">
        <f>IF(K1135&gt;0,E1135*(1-'Trading Model'!E1145),IF(E1135&lt;I1134,I1134*(1-'Trading Model'!$E$14),I1134))</f>
        <v>8.9840153609188427</v>
      </c>
      <c r="J1135" s="198">
        <f t="shared" si="143"/>
        <v>0</v>
      </c>
      <c r="K1135" s="198">
        <f t="shared" si="138"/>
        <v>0</v>
      </c>
      <c r="L1135" s="198">
        <f>COUNTIF(J1135:K1135,"&lt;&gt;0")*-'Trading Model'!$E$15</f>
        <v>0</v>
      </c>
      <c r="M1135" s="198">
        <f t="shared" si="136"/>
        <v>0</v>
      </c>
      <c r="N1135" s="75">
        <f t="shared" si="139"/>
        <v>45</v>
      </c>
      <c r="O1135" s="202">
        <f t="shared" si="140"/>
        <v>0</v>
      </c>
      <c r="P1135" s="199">
        <f t="shared" si="137"/>
        <v>0</v>
      </c>
      <c r="Q1135" s="203">
        <f t="shared" si="141"/>
        <v>44.700000000001772</v>
      </c>
      <c r="R1135" s="203" t="s">
        <v>55</v>
      </c>
      <c r="S1135" s="201">
        <f t="shared" si="142"/>
        <v>-2.2340426720235396E-2</v>
      </c>
    </row>
    <row r="1136" spans="1:19">
      <c r="A1136" s="196">
        <v>41614</v>
      </c>
      <c r="B1136" s="122">
        <v>18.600000000000001</v>
      </c>
      <c r="C1136" s="122">
        <v>18.73</v>
      </c>
      <c r="D1136" s="122">
        <v>18.34</v>
      </c>
      <c r="E1136" s="122">
        <v>18.34</v>
      </c>
      <c r="F1136" s="122">
        <v>13.788314</v>
      </c>
      <c r="G1136" s="197">
        <v>157500</v>
      </c>
      <c r="H1136" s="198">
        <f>IF(AND(E1135&gt;=H1135,E1136&gt;=E1135),E1135*(1+'Trading Model'!$E$13),IF(AND(E1136&lt;E1135,E1135&gt;=H1135),E1136*(1+'Trading Model'!$E$13),H1135))</f>
        <v>27.698998950000004</v>
      </c>
      <c r="I1136" s="198">
        <f>IF(K1136&gt;0,E1136*(1-'Trading Model'!E1146),IF(E1136&lt;I1135,I1135*(1-'Trading Model'!$E$14),I1135))</f>
        <v>8.9840153609188427</v>
      </c>
      <c r="J1136" s="198">
        <f t="shared" si="143"/>
        <v>0</v>
      </c>
      <c r="K1136" s="198">
        <f t="shared" si="138"/>
        <v>0</v>
      </c>
      <c r="L1136" s="198">
        <f>COUNTIF(J1136:K1136,"&lt;&gt;0")*-'Trading Model'!$E$15</f>
        <v>0</v>
      </c>
      <c r="M1136" s="198">
        <f t="shared" si="136"/>
        <v>0</v>
      </c>
      <c r="N1136" s="75">
        <f t="shared" si="139"/>
        <v>45</v>
      </c>
      <c r="O1136" s="202">
        <f t="shared" si="140"/>
        <v>0</v>
      </c>
      <c r="P1136" s="199">
        <f t="shared" si="137"/>
        <v>0</v>
      </c>
      <c r="Q1136" s="203">
        <f t="shared" si="141"/>
        <v>44.600000000001771</v>
      </c>
      <c r="R1136" s="203" t="s">
        <v>55</v>
      </c>
      <c r="S1136" s="201">
        <f t="shared" si="142"/>
        <v>-2.1762242750938965E-3</v>
      </c>
    </row>
    <row r="1137" spans="1:19">
      <c r="A1137" s="196">
        <v>41617</v>
      </c>
      <c r="B1137" s="122">
        <v>18.34</v>
      </c>
      <c r="C1137" s="122">
        <v>18.920000000000002</v>
      </c>
      <c r="D1137" s="122">
        <v>17.739999999999998</v>
      </c>
      <c r="E1137" s="122">
        <v>18.809999000000001</v>
      </c>
      <c r="F1137" s="122">
        <v>14.141666000000001</v>
      </c>
      <c r="G1137" s="197">
        <v>381800</v>
      </c>
      <c r="H1137" s="198">
        <f>IF(AND(E1136&gt;=H1136,E1137&gt;=E1136),E1136*(1+'Trading Model'!$E$13),IF(AND(E1137&lt;E1136,E1136&gt;=H1136),E1137*(1+'Trading Model'!$E$13),H1136))</f>
        <v>27.698998950000004</v>
      </c>
      <c r="I1137" s="198">
        <f>IF(K1137&gt;0,E1137*(1-'Trading Model'!E1147),IF(E1137&lt;I1136,I1136*(1-'Trading Model'!$E$14),I1136))</f>
        <v>8.9840153609188427</v>
      </c>
      <c r="J1137" s="198">
        <f t="shared" si="143"/>
        <v>0</v>
      </c>
      <c r="K1137" s="198">
        <f t="shared" si="138"/>
        <v>0</v>
      </c>
      <c r="L1137" s="198">
        <f>COUNTIF(J1137:K1137,"&lt;&gt;0")*-'Trading Model'!$E$15</f>
        <v>0</v>
      </c>
      <c r="M1137" s="198">
        <f t="shared" si="136"/>
        <v>0</v>
      </c>
      <c r="N1137" s="75">
        <f t="shared" si="139"/>
        <v>45</v>
      </c>
      <c r="O1137" s="202">
        <f t="shared" si="140"/>
        <v>0</v>
      </c>
      <c r="P1137" s="199">
        <f t="shared" si="137"/>
        <v>0</v>
      </c>
      <c r="Q1137" s="203">
        <f t="shared" si="141"/>
        <v>44.600000000001771</v>
      </c>
      <c r="R1137" s="201">
        <f>E1137/B1133-1</f>
        <v>-2.7907028423772573E-2</v>
      </c>
      <c r="S1137" s="201">
        <f t="shared" si="142"/>
        <v>2.5626990185387166E-2</v>
      </c>
    </row>
    <row r="1138" spans="1:19">
      <c r="A1138" s="196">
        <v>41618</v>
      </c>
      <c r="B1138" s="122">
        <v>18.77</v>
      </c>
      <c r="C1138" s="122">
        <v>18.809999000000001</v>
      </c>
      <c r="D1138" s="122">
        <v>18.34</v>
      </c>
      <c r="E1138" s="122">
        <v>18.610001</v>
      </c>
      <c r="F1138" s="122">
        <v>13.991303</v>
      </c>
      <c r="G1138" s="197">
        <v>124500</v>
      </c>
      <c r="H1138" s="198">
        <f>IF(AND(E1137&gt;=H1137,E1138&gt;=E1137),E1137*(1+'Trading Model'!$E$13),IF(AND(E1138&lt;E1137,E1137&gt;=H1137),E1138*(1+'Trading Model'!$E$13),H1137))</f>
        <v>27.698998950000004</v>
      </c>
      <c r="I1138" s="198">
        <f>IF(K1138&gt;0,E1138*(1-'Trading Model'!E1148),IF(E1138&lt;I1137,I1137*(1-'Trading Model'!$E$14),I1137))</f>
        <v>8.9840153609188427</v>
      </c>
      <c r="J1138" s="198">
        <f t="shared" si="143"/>
        <v>0</v>
      </c>
      <c r="K1138" s="198">
        <f t="shared" si="138"/>
        <v>0</v>
      </c>
      <c r="L1138" s="198">
        <f>COUNTIF(J1138:K1138,"&lt;&gt;0")*-'Trading Model'!$E$15</f>
        <v>0</v>
      </c>
      <c r="M1138" s="198">
        <f t="shared" si="136"/>
        <v>0</v>
      </c>
      <c r="N1138" s="75">
        <f t="shared" si="139"/>
        <v>45</v>
      </c>
      <c r="O1138" s="202">
        <f t="shared" si="140"/>
        <v>0</v>
      </c>
      <c r="P1138" s="199">
        <f t="shared" si="137"/>
        <v>0</v>
      </c>
      <c r="Q1138" s="203">
        <f t="shared" si="141"/>
        <v>44.500000000001769</v>
      </c>
      <c r="R1138" s="160" t="s">
        <v>55</v>
      </c>
      <c r="S1138" s="201">
        <f t="shared" si="142"/>
        <v>-1.0632536450427277E-2</v>
      </c>
    </row>
    <row r="1139" spans="1:19">
      <c r="A1139" s="196">
        <v>41619</v>
      </c>
      <c r="B1139" s="122">
        <v>18.48</v>
      </c>
      <c r="C1139" s="122">
        <v>18.48</v>
      </c>
      <c r="D1139" s="122">
        <v>17.760000000000002</v>
      </c>
      <c r="E1139" s="122">
        <v>18.02</v>
      </c>
      <c r="F1139" s="122">
        <v>13.54773</v>
      </c>
      <c r="G1139" s="197">
        <v>168000</v>
      </c>
      <c r="H1139" s="198">
        <f>IF(AND(E1138&gt;=H1138,E1139&gt;=E1138),E1138*(1+'Trading Model'!$E$13),IF(AND(E1139&lt;E1138,E1138&gt;=H1138),E1139*(1+'Trading Model'!$E$13),H1138))</f>
        <v>27.698998950000004</v>
      </c>
      <c r="I1139" s="198">
        <f>IF(K1139&gt;0,E1139*(1-'Trading Model'!E1149),IF(E1139&lt;I1138,I1138*(1-'Trading Model'!$E$14),I1138))</f>
        <v>8.9840153609188427</v>
      </c>
      <c r="J1139" s="198">
        <f t="shared" si="143"/>
        <v>0</v>
      </c>
      <c r="K1139" s="198">
        <f t="shared" si="138"/>
        <v>0</v>
      </c>
      <c r="L1139" s="198">
        <f>COUNTIF(J1139:K1139,"&lt;&gt;0")*-'Trading Model'!$E$15</f>
        <v>0</v>
      </c>
      <c r="M1139" s="198">
        <f t="shared" si="136"/>
        <v>0</v>
      </c>
      <c r="N1139" s="75">
        <f t="shared" si="139"/>
        <v>45</v>
      </c>
      <c r="O1139" s="202">
        <f t="shared" si="140"/>
        <v>0</v>
      </c>
      <c r="P1139" s="199">
        <f t="shared" si="137"/>
        <v>0</v>
      </c>
      <c r="Q1139" s="203">
        <f t="shared" si="141"/>
        <v>44.400000000001768</v>
      </c>
      <c r="R1139" s="203" t="s">
        <v>55</v>
      </c>
      <c r="S1139" s="201">
        <f t="shared" si="142"/>
        <v>-3.1703437307714299E-2</v>
      </c>
    </row>
    <row r="1140" spans="1:19">
      <c r="A1140" s="196">
        <v>41620</v>
      </c>
      <c r="B1140" s="122">
        <v>17.889999</v>
      </c>
      <c r="C1140" s="122">
        <v>18.16</v>
      </c>
      <c r="D1140" s="122">
        <v>17.73</v>
      </c>
      <c r="E1140" s="122">
        <v>18.149999999999999</v>
      </c>
      <c r="F1140" s="122">
        <v>13.645466000000001</v>
      </c>
      <c r="G1140" s="197">
        <v>175800</v>
      </c>
      <c r="H1140" s="198">
        <f>IF(AND(E1139&gt;=H1139,E1140&gt;=E1139),E1139*(1+'Trading Model'!$E$13),IF(AND(E1140&lt;E1139,E1139&gt;=H1139),E1140*(1+'Trading Model'!$E$13),H1139))</f>
        <v>27.698998950000004</v>
      </c>
      <c r="I1140" s="198">
        <f>IF(K1140&gt;0,E1140*(1-'Trading Model'!E1150),IF(E1140&lt;I1139,I1139*(1-'Trading Model'!$E$14),I1139))</f>
        <v>8.9840153609188427</v>
      </c>
      <c r="J1140" s="198">
        <f t="shared" si="143"/>
        <v>0</v>
      </c>
      <c r="K1140" s="198">
        <f t="shared" si="138"/>
        <v>0</v>
      </c>
      <c r="L1140" s="198">
        <f>COUNTIF(J1140:K1140,"&lt;&gt;0")*-'Trading Model'!$E$15</f>
        <v>0</v>
      </c>
      <c r="M1140" s="198">
        <f t="shared" si="136"/>
        <v>0</v>
      </c>
      <c r="N1140" s="75">
        <f t="shared" si="139"/>
        <v>45</v>
      </c>
      <c r="O1140" s="202">
        <f t="shared" si="140"/>
        <v>0</v>
      </c>
      <c r="P1140" s="199">
        <f t="shared" si="137"/>
        <v>0</v>
      </c>
      <c r="Q1140" s="203">
        <f t="shared" si="141"/>
        <v>44.400000000001768</v>
      </c>
      <c r="R1140" s="203" t="s">
        <v>55</v>
      </c>
      <c r="S1140" s="201">
        <f t="shared" si="142"/>
        <v>7.2142064372917591E-3</v>
      </c>
    </row>
    <row r="1141" spans="1:19">
      <c r="A1141" s="196">
        <v>41621</v>
      </c>
      <c r="B1141" s="122">
        <v>18.149999999999999</v>
      </c>
      <c r="C1141" s="122">
        <v>18.530000999999999</v>
      </c>
      <c r="D1141" s="122">
        <v>17.82</v>
      </c>
      <c r="E1141" s="122">
        <v>18.360001</v>
      </c>
      <c r="F1141" s="122">
        <v>13.803349000000001</v>
      </c>
      <c r="G1141" s="197">
        <v>231900</v>
      </c>
      <c r="H1141" s="198">
        <f>IF(AND(E1140&gt;=H1140,E1141&gt;=E1140),E1140*(1+'Trading Model'!$E$13),IF(AND(E1141&lt;E1140,E1140&gt;=H1140),E1141*(1+'Trading Model'!$E$13),H1140))</f>
        <v>27.698998950000004</v>
      </c>
      <c r="I1141" s="198">
        <f>IF(K1141&gt;0,E1141*(1-'Trading Model'!E1151),IF(E1141&lt;I1140,I1140*(1-'Trading Model'!$E$14),I1140))</f>
        <v>8.9840153609188427</v>
      </c>
      <c r="J1141" s="198">
        <f t="shared" si="143"/>
        <v>0</v>
      </c>
      <c r="K1141" s="198">
        <f t="shared" si="138"/>
        <v>0</v>
      </c>
      <c r="L1141" s="198">
        <f>COUNTIF(J1141:K1141,"&lt;&gt;0")*-'Trading Model'!$E$15</f>
        <v>0</v>
      </c>
      <c r="M1141" s="198">
        <f t="shared" si="136"/>
        <v>0</v>
      </c>
      <c r="N1141" s="75">
        <f t="shared" si="139"/>
        <v>45</v>
      </c>
      <c r="O1141" s="202">
        <f t="shared" si="140"/>
        <v>0</v>
      </c>
      <c r="P1141" s="199">
        <f t="shared" si="137"/>
        <v>0</v>
      </c>
      <c r="Q1141" s="203">
        <f t="shared" si="141"/>
        <v>44.400000000001768</v>
      </c>
      <c r="R1141" s="203" t="s">
        <v>55</v>
      </c>
      <c r="S1141" s="201">
        <f t="shared" si="142"/>
        <v>1.1570303030303153E-2</v>
      </c>
    </row>
    <row r="1142" spans="1:19">
      <c r="A1142" s="196">
        <v>41624</v>
      </c>
      <c r="B1142" s="122">
        <v>18.260000000000002</v>
      </c>
      <c r="C1142" s="122">
        <v>18.670000000000002</v>
      </c>
      <c r="D1142" s="122">
        <v>17.879999000000002</v>
      </c>
      <c r="E1142" s="122">
        <v>18.100000000000001</v>
      </c>
      <c r="F1142" s="122">
        <v>13.607877</v>
      </c>
      <c r="G1142" s="197">
        <v>180000</v>
      </c>
      <c r="H1142" s="198">
        <f>IF(AND(E1141&gt;=H1141,E1142&gt;=E1141),E1141*(1+'Trading Model'!$E$13),IF(AND(E1142&lt;E1141,E1141&gt;=H1141),E1142*(1+'Trading Model'!$E$13),H1141))</f>
        <v>27.698998950000004</v>
      </c>
      <c r="I1142" s="198">
        <f>IF(K1142&gt;0,E1142*(1-'Trading Model'!E1152),IF(E1142&lt;I1141,I1141*(1-'Trading Model'!$E$14),I1141))</f>
        <v>8.9840153609188427</v>
      </c>
      <c r="J1142" s="198">
        <f t="shared" si="143"/>
        <v>0</v>
      </c>
      <c r="K1142" s="198">
        <f t="shared" si="138"/>
        <v>0</v>
      </c>
      <c r="L1142" s="198">
        <f>COUNTIF(J1142:K1142,"&lt;&gt;0")*-'Trading Model'!$E$15</f>
        <v>0</v>
      </c>
      <c r="M1142" s="198">
        <f t="shared" si="136"/>
        <v>0</v>
      </c>
      <c r="N1142" s="75">
        <f t="shared" si="139"/>
        <v>45</v>
      </c>
      <c r="O1142" s="202">
        <f t="shared" si="140"/>
        <v>0</v>
      </c>
      <c r="P1142" s="199">
        <f t="shared" si="137"/>
        <v>0</v>
      </c>
      <c r="Q1142" s="203">
        <f t="shared" si="141"/>
        <v>44.300000000001766</v>
      </c>
      <c r="R1142" s="201">
        <f>E1142/B1138-1</f>
        <v>-3.5695258391049478E-2</v>
      </c>
      <c r="S1142" s="201">
        <f t="shared" si="142"/>
        <v>-1.416127373849263E-2</v>
      </c>
    </row>
    <row r="1143" spans="1:19">
      <c r="A1143" s="196">
        <v>41625</v>
      </c>
      <c r="B1143" s="122">
        <v>18.049999</v>
      </c>
      <c r="C1143" s="122">
        <v>18.719999000000001</v>
      </c>
      <c r="D1143" s="122">
        <v>18.010000000000002</v>
      </c>
      <c r="E1143" s="122">
        <v>18.579999999999998</v>
      </c>
      <c r="F1143" s="122">
        <v>13.968749000000001</v>
      </c>
      <c r="G1143" s="197">
        <v>184500</v>
      </c>
      <c r="H1143" s="198">
        <f>IF(AND(E1142&gt;=H1142,E1143&gt;=E1142),E1142*(1+'Trading Model'!$E$13),IF(AND(E1143&lt;E1142,E1142&gt;=H1142),E1143*(1+'Trading Model'!$E$13),H1142))</f>
        <v>27.698998950000004</v>
      </c>
      <c r="I1143" s="198">
        <f>IF(K1143&gt;0,E1143*(1-'Trading Model'!E1153),IF(E1143&lt;I1142,I1142*(1-'Trading Model'!$E$14),I1142))</f>
        <v>8.9840153609188427</v>
      </c>
      <c r="J1143" s="198">
        <f t="shared" si="143"/>
        <v>0</v>
      </c>
      <c r="K1143" s="198">
        <f t="shared" si="138"/>
        <v>0</v>
      </c>
      <c r="L1143" s="198">
        <f>COUNTIF(J1143:K1143,"&lt;&gt;0")*-'Trading Model'!$E$15</f>
        <v>0</v>
      </c>
      <c r="M1143" s="198">
        <f t="shared" si="136"/>
        <v>0</v>
      </c>
      <c r="N1143" s="75">
        <f t="shared" si="139"/>
        <v>45</v>
      </c>
      <c r="O1143" s="202">
        <f t="shared" si="140"/>
        <v>0</v>
      </c>
      <c r="P1143" s="199">
        <f t="shared" si="137"/>
        <v>0</v>
      </c>
      <c r="Q1143" s="203">
        <f t="shared" si="141"/>
        <v>44.300000000001766</v>
      </c>
      <c r="R1143" s="160" t="s">
        <v>55</v>
      </c>
      <c r="S1143" s="201">
        <f t="shared" si="142"/>
        <v>2.6519337016574385E-2</v>
      </c>
    </row>
    <row r="1144" spans="1:19">
      <c r="A1144" s="196">
        <v>41626</v>
      </c>
      <c r="B1144" s="122">
        <v>18.59</v>
      </c>
      <c r="C1144" s="122">
        <v>18.780000999999999</v>
      </c>
      <c r="D1144" s="122">
        <v>18.139999</v>
      </c>
      <c r="E1144" s="122">
        <v>18.579999999999998</v>
      </c>
      <c r="F1144" s="122">
        <v>13.968749000000001</v>
      </c>
      <c r="G1144" s="197">
        <v>143600</v>
      </c>
      <c r="H1144" s="198">
        <f>IF(AND(E1143&gt;=H1143,E1144&gt;=E1143),E1143*(1+'Trading Model'!$E$13),IF(AND(E1144&lt;E1143,E1143&gt;=H1143),E1144*(1+'Trading Model'!$E$13),H1143))</f>
        <v>27.698998950000004</v>
      </c>
      <c r="I1144" s="198">
        <f>IF(K1144&gt;0,E1144*(1-'Trading Model'!E1154),IF(E1144&lt;I1143,I1143*(1-'Trading Model'!$E$14),I1143))</f>
        <v>8.9840153609188427</v>
      </c>
      <c r="J1144" s="198">
        <f t="shared" si="143"/>
        <v>0</v>
      </c>
      <c r="K1144" s="198">
        <f t="shared" si="138"/>
        <v>0</v>
      </c>
      <c r="L1144" s="198">
        <f>COUNTIF(J1144:K1144,"&lt;&gt;0")*-'Trading Model'!$E$15</f>
        <v>0</v>
      </c>
      <c r="M1144" s="198">
        <f t="shared" si="136"/>
        <v>0</v>
      </c>
      <c r="N1144" s="75">
        <f t="shared" si="139"/>
        <v>45</v>
      </c>
      <c r="O1144" s="202">
        <f t="shared" si="140"/>
        <v>0</v>
      </c>
      <c r="P1144" s="199">
        <f t="shared" si="137"/>
        <v>0</v>
      </c>
      <c r="Q1144" s="203">
        <f t="shared" si="141"/>
        <v>44.300000000001766</v>
      </c>
      <c r="R1144" s="203" t="s">
        <v>55</v>
      </c>
      <c r="S1144" s="201">
        <f t="shared" si="142"/>
        <v>0</v>
      </c>
    </row>
    <row r="1145" spans="1:19">
      <c r="A1145" s="196">
        <v>41627</v>
      </c>
      <c r="B1145" s="122">
        <v>18.360001</v>
      </c>
      <c r="C1145" s="122">
        <v>18.670000000000002</v>
      </c>
      <c r="D1145" s="122">
        <v>18.299999</v>
      </c>
      <c r="E1145" s="122">
        <v>18.43</v>
      </c>
      <c r="F1145" s="122">
        <v>13.855974</v>
      </c>
      <c r="G1145" s="197">
        <v>145200</v>
      </c>
      <c r="H1145" s="198">
        <f>IF(AND(E1144&gt;=H1144,E1145&gt;=E1144),E1144*(1+'Trading Model'!$E$13),IF(AND(E1145&lt;E1144,E1144&gt;=H1144),E1145*(1+'Trading Model'!$E$13),H1144))</f>
        <v>27.698998950000004</v>
      </c>
      <c r="I1145" s="198">
        <f>IF(K1145&gt;0,E1145*(1-'Trading Model'!E1155),IF(E1145&lt;I1144,I1144*(1-'Trading Model'!$E$14),I1144))</f>
        <v>8.9840153609188427</v>
      </c>
      <c r="J1145" s="198">
        <f t="shared" si="143"/>
        <v>0</v>
      </c>
      <c r="K1145" s="198">
        <f t="shared" si="138"/>
        <v>0</v>
      </c>
      <c r="L1145" s="198">
        <f>COUNTIF(J1145:K1145,"&lt;&gt;0")*-'Trading Model'!$E$15</f>
        <v>0</v>
      </c>
      <c r="M1145" s="198">
        <f t="shared" si="136"/>
        <v>0</v>
      </c>
      <c r="N1145" s="75">
        <f t="shared" si="139"/>
        <v>45</v>
      </c>
      <c r="O1145" s="202">
        <f t="shared" si="140"/>
        <v>0</v>
      </c>
      <c r="P1145" s="199">
        <f t="shared" si="137"/>
        <v>0</v>
      </c>
      <c r="Q1145" s="203">
        <f t="shared" si="141"/>
        <v>44.200000000001765</v>
      </c>
      <c r="R1145" s="203" t="s">
        <v>55</v>
      </c>
      <c r="S1145" s="201">
        <f t="shared" si="142"/>
        <v>-8.0731969860063924E-3</v>
      </c>
    </row>
    <row r="1146" spans="1:19">
      <c r="A1146" s="196">
        <v>41628</v>
      </c>
      <c r="B1146" s="122">
        <v>18.399999999999999</v>
      </c>
      <c r="C1146" s="122">
        <v>18.440000999999999</v>
      </c>
      <c r="D1146" s="122">
        <v>17.709999</v>
      </c>
      <c r="E1146" s="122">
        <v>17.899999999999999</v>
      </c>
      <c r="F1146" s="122">
        <v>13.457513000000001</v>
      </c>
      <c r="G1146" s="197">
        <v>226800</v>
      </c>
      <c r="H1146" s="198">
        <f>IF(AND(E1145&gt;=H1145,E1146&gt;=E1145),E1145*(1+'Trading Model'!$E$13),IF(AND(E1146&lt;E1145,E1145&gt;=H1145),E1146*(1+'Trading Model'!$E$13),H1145))</f>
        <v>27.698998950000004</v>
      </c>
      <c r="I1146" s="198">
        <f>IF(K1146&gt;0,E1146*(1-'Trading Model'!E1156),IF(E1146&lt;I1145,I1145*(1-'Trading Model'!$E$14),I1145))</f>
        <v>8.9840153609188427</v>
      </c>
      <c r="J1146" s="198">
        <f t="shared" si="143"/>
        <v>0</v>
      </c>
      <c r="K1146" s="198">
        <f t="shared" si="138"/>
        <v>0</v>
      </c>
      <c r="L1146" s="198">
        <f>COUNTIF(J1146:K1146,"&lt;&gt;0")*-'Trading Model'!$E$15</f>
        <v>0</v>
      </c>
      <c r="M1146" s="198">
        <f t="shared" si="136"/>
        <v>0</v>
      </c>
      <c r="N1146" s="75">
        <f t="shared" si="139"/>
        <v>45</v>
      </c>
      <c r="O1146" s="202">
        <f t="shared" si="140"/>
        <v>0</v>
      </c>
      <c r="P1146" s="199">
        <f t="shared" si="137"/>
        <v>0</v>
      </c>
      <c r="Q1146" s="203">
        <f t="shared" si="141"/>
        <v>44.100000000001764</v>
      </c>
      <c r="R1146" s="203" t="s">
        <v>55</v>
      </c>
      <c r="S1146" s="201">
        <f t="shared" si="142"/>
        <v>-2.8757460661964274E-2</v>
      </c>
    </row>
    <row r="1147" spans="1:19">
      <c r="A1147" s="196">
        <v>41631</v>
      </c>
      <c r="B1147" s="122">
        <v>17.549999</v>
      </c>
      <c r="C1147" s="122">
        <v>18.129999000000002</v>
      </c>
      <c r="D1147" s="122">
        <v>17.450001</v>
      </c>
      <c r="E1147" s="122">
        <v>17.950001</v>
      </c>
      <c r="F1147" s="122">
        <v>14.123995000000001</v>
      </c>
      <c r="G1147" s="197">
        <v>184100</v>
      </c>
      <c r="H1147" s="198">
        <f>IF(AND(E1146&gt;=H1146,E1147&gt;=E1146),E1146*(1+'Trading Model'!$E$13),IF(AND(E1147&lt;E1146,E1146&gt;=H1146),E1147*(1+'Trading Model'!$E$13),H1146))</f>
        <v>27.698998950000004</v>
      </c>
      <c r="I1147" s="198">
        <f>IF(K1147&gt;0,E1147*(1-'Trading Model'!E1157),IF(E1147&lt;I1146,I1146*(1-'Trading Model'!$E$14),I1146))</f>
        <v>8.9840153609188427</v>
      </c>
      <c r="J1147" s="198">
        <f t="shared" si="143"/>
        <v>0</v>
      </c>
      <c r="K1147" s="198">
        <f t="shared" si="138"/>
        <v>0</v>
      </c>
      <c r="L1147" s="198">
        <f>COUNTIF(J1147:K1147,"&lt;&gt;0")*-'Trading Model'!$E$15</f>
        <v>0</v>
      </c>
      <c r="M1147" s="198">
        <f t="shared" si="136"/>
        <v>0</v>
      </c>
      <c r="N1147" s="75">
        <f t="shared" si="139"/>
        <v>45</v>
      </c>
      <c r="O1147" s="202">
        <f t="shared" si="140"/>
        <v>0.79701900000000003</v>
      </c>
      <c r="P1147" s="199">
        <f t="shared" si="137"/>
        <v>0.79701900000000003</v>
      </c>
      <c r="Q1147" s="203">
        <f t="shared" si="141"/>
        <v>44.100000000001764</v>
      </c>
      <c r="R1147" s="201">
        <f>E1147/B1143-1</f>
        <v>-5.5400557085902857E-3</v>
      </c>
      <c r="S1147" s="201">
        <f t="shared" si="142"/>
        <v>2.7933519553073882E-3</v>
      </c>
    </row>
    <row r="1148" spans="1:19">
      <c r="A1148" s="196">
        <v>41632</v>
      </c>
      <c r="B1148" s="122">
        <v>17.879999000000002</v>
      </c>
      <c r="C1148" s="122">
        <v>18.010000000000002</v>
      </c>
      <c r="D1148" s="122">
        <v>17.399999999999999</v>
      </c>
      <c r="E1148" s="122">
        <v>17.5</v>
      </c>
      <c r="F1148" s="122">
        <v>13.769909</v>
      </c>
      <c r="G1148" s="197">
        <v>59900</v>
      </c>
      <c r="H1148" s="198">
        <f>IF(AND(E1147&gt;=H1147,E1148&gt;=E1147),E1147*(1+'Trading Model'!$E$13),IF(AND(E1148&lt;E1147,E1147&gt;=H1147),E1148*(1+'Trading Model'!$E$13),H1147))</f>
        <v>27.698998950000004</v>
      </c>
      <c r="I1148" s="198">
        <f>IF(K1148&gt;0,E1148*(1-'Trading Model'!E1158),IF(E1148&lt;I1147,I1147*(1-'Trading Model'!$E$14),I1147))</f>
        <v>8.9840153609188427</v>
      </c>
      <c r="J1148" s="198">
        <f t="shared" si="143"/>
        <v>0</v>
      </c>
      <c r="K1148" s="198">
        <f t="shared" si="138"/>
        <v>0</v>
      </c>
      <c r="L1148" s="198">
        <f>COUNTIF(J1148:K1148,"&lt;&gt;0")*-'Trading Model'!$E$15</f>
        <v>0</v>
      </c>
      <c r="M1148" s="198">
        <f t="shared" si="136"/>
        <v>0</v>
      </c>
      <c r="N1148" s="75">
        <f t="shared" si="139"/>
        <v>45</v>
      </c>
      <c r="O1148" s="202">
        <f t="shared" si="140"/>
        <v>0</v>
      </c>
      <c r="P1148" s="199">
        <f t="shared" si="137"/>
        <v>0</v>
      </c>
      <c r="Q1148" s="203">
        <f t="shared" si="141"/>
        <v>44.000000000001762</v>
      </c>
      <c r="R1148" s="160" t="s">
        <v>55</v>
      </c>
      <c r="S1148" s="201">
        <f t="shared" si="142"/>
        <v>-2.5069692196674542E-2</v>
      </c>
    </row>
    <row r="1149" spans="1:19">
      <c r="A1149" s="196">
        <v>41634</v>
      </c>
      <c r="B1149" s="122">
        <v>17.5</v>
      </c>
      <c r="C1149" s="122">
        <v>17.670000000000002</v>
      </c>
      <c r="D1149" s="122">
        <v>17.139999</v>
      </c>
      <c r="E1149" s="122">
        <v>17.469999000000001</v>
      </c>
      <c r="F1149" s="122">
        <v>13.746304</v>
      </c>
      <c r="G1149" s="197">
        <v>107300</v>
      </c>
      <c r="H1149" s="198">
        <f>IF(AND(E1148&gt;=H1148,E1149&gt;=E1148),E1148*(1+'Trading Model'!$E$13),IF(AND(E1149&lt;E1148,E1148&gt;=H1148),E1149*(1+'Trading Model'!$E$13),H1148))</f>
        <v>27.698998950000004</v>
      </c>
      <c r="I1149" s="198">
        <f>IF(K1149&gt;0,E1149*(1-'Trading Model'!E1159),IF(E1149&lt;I1148,I1148*(1-'Trading Model'!$E$14),I1148))</f>
        <v>8.9840153609188427</v>
      </c>
      <c r="J1149" s="198">
        <f t="shared" si="143"/>
        <v>0</v>
      </c>
      <c r="K1149" s="198">
        <f t="shared" si="138"/>
        <v>0</v>
      </c>
      <c r="L1149" s="198">
        <f>COUNTIF(J1149:K1149,"&lt;&gt;0")*-'Trading Model'!$E$15</f>
        <v>0</v>
      </c>
      <c r="M1149" s="198">
        <f t="shared" si="136"/>
        <v>0</v>
      </c>
      <c r="N1149" s="75">
        <f t="shared" si="139"/>
        <v>45</v>
      </c>
      <c r="O1149" s="202">
        <f t="shared" si="140"/>
        <v>0</v>
      </c>
      <c r="P1149" s="199">
        <f t="shared" si="137"/>
        <v>0</v>
      </c>
      <c r="Q1149" s="203">
        <f t="shared" si="141"/>
        <v>43.900000000001761</v>
      </c>
      <c r="R1149" s="203" t="s">
        <v>55</v>
      </c>
      <c r="S1149" s="201">
        <f t="shared" si="142"/>
        <v>-1.714342857142781E-3</v>
      </c>
    </row>
    <row r="1150" spans="1:19">
      <c r="A1150" s="196">
        <v>41635</v>
      </c>
      <c r="B1150" s="122">
        <v>17.459999</v>
      </c>
      <c r="C1150" s="122">
        <v>17.850000000000001</v>
      </c>
      <c r="D1150" s="122">
        <v>17.27</v>
      </c>
      <c r="E1150" s="122">
        <v>17.809999000000001</v>
      </c>
      <c r="F1150" s="122">
        <v>14.013831</v>
      </c>
      <c r="G1150" s="197">
        <v>134600</v>
      </c>
      <c r="H1150" s="198">
        <f>IF(AND(E1149&gt;=H1149,E1150&gt;=E1149),E1149*(1+'Trading Model'!$E$13),IF(AND(E1150&lt;E1149,E1149&gt;=H1149),E1150*(1+'Trading Model'!$E$13),H1149))</f>
        <v>27.698998950000004</v>
      </c>
      <c r="I1150" s="198">
        <f>IF(K1150&gt;0,E1150*(1-'Trading Model'!E1160),IF(E1150&lt;I1149,I1149*(1-'Trading Model'!$E$14),I1149))</f>
        <v>8.9840153609188427</v>
      </c>
      <c r="J1150" s="198">
        <f t="shared" si="143"/>
        <v>0</v>
      </c>
      <c r="K1150" s="198">
        <f t="shared" si="138"/>
        <v>0</v>
      </c>
      <c r="L1150" s="198">
        <f>COUNTIF(J1150:K1150,"&lt;&gt;0")*-'Trading Model'!$E$15</f>
        <v>0</v>
      </c>
      <c r="M1150" s="198">
        <f t="shared" si="136"/>
        <v>0</v>
      </c>
      <c r="N1150" s="75">
        <f t="shared" si="139"/>
        <v>45</v>
      </c>
      <c r="O1150" s="202">
        <f t="shared" si="140"/>
        <v>0</v>
      </c>
      <c r="P1150" s="199">
        <f t="shared" si="137"/>
        <v>0</v>
      </c>
      <c r="Q1150" s="203">
        <f t="shared" si="141"/>
        <v>43.900000000001761</v>
      </c>
      <c r="R1150" s="203" t="s">
        <v>55</v>
      </c>
      <c r="S1150" s="201">
        <f t="shared" si="142"/>
        <v>1.9461935859298007E-2</v>
      </c>
    </row>
    <row r="1151" spans="1:19">
      <c r="A1151" s="196">
        <v>41638</v>
      </c>
      <c r="B1151" s="122">
        <v>17.709999</v>
      </c>
      <c r="C1151" s="122">
        <v>17.940000999999999</v>
      </c>
      <c r="D1151" s="122">
        <v>17</v>
      </c>
      <c r="E1151" s="122">
        <v>17.100000000000001</v>
      </c>
      <c r="F1151" s="122">
        <v>13.455168</v>
      </c>
      <c r="G1151" s="197">
        <v>196900</v>
      </c>
      <c r="H1151" s="198">
        <f>IF(AND(E1150&gt;=H1150,E1151&gt;=E1150),E1150*(1+'Trading Model'!$E$13),IF(AND(E1151&lt;E1150,E1150&gt;=H1150),E1151*(1+'Trading Model'!$E$13),H1150))</f>
        <v>27.698998950000004</v>
      </c>
      <c r="I1151" s="198">
        <f>IF(K1151&gt;0,E1151*(1-'Trading Model'!E1161),IF(E1151&lt;I1150,I1150*(1-'Trading Model'!$E$14),I1150))</f>
        <v>8.9840153609188427</v>
      </c>
      <c r="J1151" s="198">
        <f t="shared" si="143"/>
        <v>0</v>
      </c>
      <c r="K1151" s="198">
        <f t="shared" si="138"/>
        <v>0</v>
      </c>
      <c r="L1151" s="198">
        <f>COUNTIF(J1151:K1151,"&lt;&gt;0")*-'Trading Model'!$E$15</f>
        <v>0</v>
      </c>
      <c r="M1151" s="198">
        <f t="shared" si="136"/>
        <v>0</v>
      </c>
      <c r="N1151" s="75">
        <f t="shared" si="139"/>
        <v>45</v>
      </c>
      <c r="O1151" s="202">
        <f t="shared" si="140"/>
        <v>0</v>
      </c>
      <c r="P1151" s="199">
        <f t="shared" si="137"/>
        <v>0</v>
      </c>
      <c r="Q1151" s="203">
        <f t="shared" si="141"/>
        <v>43.800000000001759</v>
      </c>
      <c r="R1151" s="203" t="s">
        <v>55</v>
      </c>
      <c r="S1151" s="201">
        <f t="shared" si="142"/>
        <v>-3.9865190334934852E-2</v>
      </c>
    </row>
    <row r="1152" spans="1:19">
      <c r="A1152" s="196">
        <v>41639</v>
      </c>
      <c r="B1152" s="122">
        <v>17.170000000000002</v>
      </c>
      <c r="C1152" s="122">
        <v>17.52</v>
      </c>
      <c r="D1152" s="122">
        <v>17.149999999999999</v>
      </c>
      <c r="E1152" s="122">
        <v>17.239999999999998</v>
      </c>
      <c r="F1152" s="122">
        <v>13.565327</v>
      </c>
      <c r="G1152" s="197">
        <v>84600</v>
      </c>
      <c r="H1152" s="198">
        <f>IF(AND(E1151&gt;=H1151,E1152&gt;=E1151),E1151*(1+'Trading Model'!$E$13),IF(AND(E1152&lt;E1151,E1151&gt;=H1151),E1152*(1+'Trading Model'!$E$13),H1151))</f>
        <v>27.698998950000004</v>
      </c>
      <c r="I1152" s="198">
        <f>IF(K1152&gt;0,E1152*(1-'Trading Model'!E1162),IF(E1152&lt;I1151,I1151*(1-'Trading Model'!$E$14),I1151))</f>
        <v>8.9840153609188427</v>
      </c>
      <c r="J1152" s="198">
        <f t="shared" si="143"/>
        <v>0</v>
      </c>
      <c r="K1152" s="198">
        <f t="shared" si="138"/>
        <v>0</v>
      </c>
      <c r="L1152" s="198">
        <f>COUNTIF(J1152:K1152,"&lt;&gt;0")*-'Trading Model'!$E$15</f>
        <v>0</v>
      </c>
      <c r="M1152" s="198">
        <f t="shared" si="136"/>
        <v>0</v>
      </c>
      <c r="N1152" s="75">
        <f t="shared" si="139"/>
        <v>45</v>
      </c>
      <c r="O1152" s="202">
        <f t="shared" si="140"/>
        <v>0</v>
      </c>
      <c r="P1152" s="199">
        <f t="shared" si="137"/>
        <v>0</v>
      </c>
      <c r="Q1152" s="203">
        <f t="shared" si="141"/>
        <v>43.800000000001759</v>
      </c>
      <c r="R1152" s="201">
        <f>E1152/B1148-1</f>
        <v>-3.5794129518687545E-2</v>
      </c>
      <c r="S1152" s="201">
        <f t="shared" si="142"/>
        <v>8.187134502923854E-3</v>
      </c>
    </row>
    <row r="1153" spans="1:19">
      <c r="A1153" s="196">
        <v>41641</v>
      </c>
      <c r="B1153" s="122">
        <v>17.110001</v>
      </c>
      <c r="C1153" s="122">
        <v>17.120000999999998</v>
      </c>
      <c r="D1153" s="122">
        <v>15.84</v>
      </c>
      <c r="E1153" s="122">
        <v>16.219999000000001</v>
      </c>
      <c r="F1153" s="122">
        <v>12.762737</v>
      </c>
      <c r="G1153" s="197">
        <v>627100</v>
      </c>
      <c r="H1153" s="198">
        <f>IF(AND(E1152&gt;=H1152,E1153&gt;=E1152),E1152*(1+'Trading Model'!$E$13),IF(AND(E1153&lt;E1152,E1152&gt;=H1152),E1153*(1+'Trading Model'!$E$13),H1152))</f>
        <v>27.698998950000004</v>
      </c>
      <c r="I1153" s="198">
        <f>IF(K1153&gt;0,E1153*(1-'Trading Model'!E1163),IF(E1153&lt;I1152,I1152*(1-'Trading Model'!$E$14),I1152))</f>
        <v>8.9840153609188427</v>
      </c>
      <c r="J1153" s="198">
        <f t="shared" si="143"/>
        <v>0</v>
      </c>
      <c r="K1153" s="198">
        <f t="shared" si="138"/>
        <v>0</v>
      </c>
      <c r="L1153" s="198">
        <f>COUNTIF(J1153:K1153,"&lt;&gt;0")*-'Trading Model'!$E$15</f>
        <v>0</v>
      </c>
      <c r="M1153" s="198">
        <f t="shared" si="136"/>
        <v>0</v>
      </c>
      <c r="N1153" s="75">
        <f t="shared" si="139"/>
        <v>45</v>
      </c>
      <c r="O1153" s="202">
        <f t="shared" si="140"/>
        <v>0</v>
      </c>
      <c r="P1153" s="199">
        <f t="shared" si="137"/>
        <v>0</v>
      </c>
      <c r="Q1153" s="203">
        <f t="shared" si="141"/>
        <v>43.700000000001758</v>
      </c>
      <c r="R1153" s="160" t="s">
        <v>55</v>
      </c>
      <c r="S1153" s="201">
        <f t="shared" si="142"/>
        <v>-5.9164791183294541E-2</v>
      </c>
    </row>
    <row r="1154" spans="1:19">
      <c r="A1154" s="196">
        <v>41642</v>
      </c>
      <c r="B1154" s="122">
        <v>16.290001</v>
      </c>
      <c r="C1154" s="122">
        <v>16.639999</v>
      </c>
      <c r="D1154" s="122">
        <v>16</v>
      </c>
      <c r="E1154" s="122">
        <v>16.209999</v>
      </c>
      <c r="F1154" s="122">
        <v>12.754868999999999</v>
      </c>
      <c r="G1154" s="197">
        <v>170700</v>
      </c>
      <c r="H1154" s="198">
        <f>IF(AND(E1153&gt;=H1153,E1154&gt;=E1153),E1153*(1+'Trading Model'!$E$13),IF(AND(E1154&lt;E1153,E1153&gt;=H1153),E1154*(1+'Trading Model'!$E$13),H1153))</f>
        <v>27.698998950000004</v>
      </c>
      <c r="I1154" s="198">
        <f>IF(K1154&gt;0,E1154*(1-'Trading Model'!E1164),IF(E1154&lt;I1153,I1153*(1-'Trading Model'!$E$14),I1153))</f>
        <v>8.9840153609188427</v>
      </c>
      <c r="J1154" s="198">
        <f t="shared" si="143"/>
        <v>0</v>
      </c>
      <c r="K1154" s="198">
        <f t="shared" si="138"/>
        <v>0</v>
      </c>
      <c r="L1154" s="198">
        <f>COUNTIF(J1154:K1154,"&lt;&gt;0")*-'Trading Model'!$E$15</f>
        <v>0</v>
      </c>
      <c r="M1154" s="198">
        <f t="shared" si="136"/>
        <v>0</v>
      </c>
      <c r="N1154" s="75">
        <f t="shared" si="139"/>
        <v>45</v>
      </c>
      <c r="O1154" s="202">
        <f t="shared" si="140"/>
        <v>0</v>
      </c>
      <c r="P1154" s="199">
        <f t="shared" si="137"/>
        <v>0</v>
      </c>
      <c r="Q1154" s="203">
        <f t="shared" si="141"/>
        <v>43.600000000001756</v>
      </c>
      <c r="R1154" s="203" t="s">
        <v>55</v>
      </c>
      <c r="S1154" s="201">
        <f t="shared" si="142"/>
        <v>-6.1652284935420631E-4</v>
      </c>
    </row>
    <row r="1155" spans="1:19">
      <c r="A1155" s="196">
        <v>41645</v>
      </c>
      <c r="B1155" s="122">
        <v>16.260000000000002</v>
      </c>
      <c r="C1155" s="122">
        <v>16.360001</v>
      </c>
      <c r="D1155" s="122">
        <v>15.57</v>
      </c>
      <c r="E1155" s="122">
        <v>15.91</v>
      </c>
      <c r="F1155" s="122">
        <v>12.518813</v>
      </c>
      <c r="G1155" s="197">
        <v>540800</v>
      </c>
      <c r="H1155" s="198">
        <f>IF(AND(E1154&gt;=H1154,E1155&gt;=E1154),E1154*(1+'Trading Model'!$E$13),IF(AND(E1155&lt;E1154,E1154&gt;=H1154),E1155*(1+'Trading Model'!$E$13),H1154))</f>
        <v>27.698998950000004</v>
      </c>
      <c r="I1155" s="198">
        <f>IF(K1155&gt;0,E1155*(1-'Trading Model'!E1165),IF(E1155&lt;I1154,I1154*(1-'Trading Model'!$E$14),I1154))</f>
        <v>8.9840153609188427</v>
      </c>
      <c r="J1155" s="198">
        <f t="shared" si="143"/>
        <v>0</v>
      </c>
      <c r="K1155" s="198">
        <f t="shared" si="138"/>
        <v>0</v>
      </c>
      <c r="L1155" s="198">
        <f>COUNTIF(J1155:K1155,"&lt;&gt;0")*-'Trading Model'!$E$15</f>
        <v>0</v>
      </c>
      <c r="M1155" s="198">
        <f t="shared" ref="M1155:M1218" si="144">SUM(J1155:L1155)</f>
        <v>0</v>
      </c>
      <c r="N1155" s="75">
        <f t="shared" si="139"/>
        <v>45</v>
      </c>
      <c r="O1155" s="202">
        <f t="shared" si="140"/>
        <v>0</v>
      </c>
      <c r="P1155" s="199">
        <f t="shared" ref="P1155:P1218" si="145">IFERROR(VLOOKUP(A1155,Dividends,2,FALSE),$U$1)</f>
        <v>0</v>
      </c>
      <c r="Q1155" s="203">
        <f t="shared" si="141"/>
        <v>43.500000000001755</v>
      </c>
      <c r="R1155" s="203" t="s">
        <v>55</v>
      </c>
      <c r="S1155" s="201">
        <f t="shared" si="142"/>
        <v>-1.8507033837571463E-2</v>
      </c>
    </row>
    <row r="1156" spans="1:19">
      <c r="A1156" s="196">
        <v>41646</v>
      </c>
      <c r="B1156" s="122">
        <v>16.030000999999999</v>
      </c>
      <c r="C1156" s="122">
        <v>16.610001</v>
      </c>
      <c r="D1156" s="122">
        <v>16.030000999999999</v>
      </c>
      <c r="E1156" s="122">
        <v>16.559999000000001</v>
      </c>
      <c r="F1156" s="122">
        <v>13.030265999999999</v>
      </c>
      <c r="G1156" s="197">
        <v>252900</v>
      </c>
      <c r="H1156" s="198">
        <f>IF(AND(E1155&gt;=H1155,E1156&gt;=E1155),E1155*(1+'Trading Model'!$E$13),IF(AND(E1156&lt;E1155,E1155&gt;=H1155),E1156*(1+'Trading Model'!$E$13),H1155))</f>
        <v>27.698998950000004</v>
      </c>
      <c r="I1156" s="198">
        <f>IF(K1156&gt;0,E1156*(1-'Trading Model'!E1166),IF(E1156&lt;I1155,I1155*(1-'Trading Model'!$E$14),I1155))</f>
        <v>8.9840153609188427</v>
      </c>
      <c r="J1156" s="198">
        <f t="shared" si="143"/>
        <v>0</v>
      </c>
      <c r="K1156" s="198">
        <f t="shared" ref="K1156:K1219" si="146">IF(E1156&gt;=H1156,E1156,0)</f>
        <v>0</v>
      </c>
      <c r="L1156" s="198">
        <f>COUNTIF(J1156:K1156,"&lt;&gt;0")*-'Trading Model'!$E$15</f>
        <v>0</v>
      </c>
      <c r="M1156" s="198">
        <f t="shared" si="144"/>
        <v>0</v>
      </c>
      <c r="N1156" s="75">
        <f t="shared" ref="N1156:N1219" si="147">IF(AND(J1156&lt;0,K1156&gt;0),N1155,(IF(J1156&lt;0,N1155+1,IF(K1156&gt;0,N1155+1,N1155))))</f>
        <v>45</v>
      </c>
      <c r="O1156" s="202">
        <f t="shared" ref="O1156:O1219" si="148">P1156</f>
        <v>0</v>
      </c>
      <c r="P1156" s="199">
        <f t="shared" si="145"/>
        <v>0</v>
      </c>
      <c r="Q1156" s="203">
        <f t="shared" ref="Q1156:Q1219" si="149">IF(E1156&lt;E1155,Q1155-0.1,Q1155)</f>
        <v>43.500000000001755</v>
      </c>
      <c r="R1156" s="203" t="s">
        <v>55</v>
      </c>
      <c r="S1156" s="201">
        <f t="shared" ref="S1156:S1219" si="150">E1156/E1155-1</f>
        <v>4.0854745443117624E-2</v>
      </c>
    </row>
    <row r="1157" spans="1:19">
      <c r="A1157" s="196">
        <v>41647</v>
      </c>
      <c r="B1157" s="122">
        <v>16.540001</v>
      </c>
      <c r="C1157" s="122">
        <v>16.809999000000001</v>
      </c>
      <c r="D1157" s="122">
        <v>16.440000999999999</v>
      </c>
      <c r="E1157" s="122">
        <v>16.489999999999998</v>
      </c>
      <c r="F1157" s="122">
        <v>12.975187999999999</v>
      </c>
      <c r="G1157" s="197">
        <v>148000</v>
      </c>
      <c r="H1157" s="198">
        <f>IF(AND(E1156&gt;=H1156,E1157&gt;=E1156),E1156*(1+'Trading Model'!$E$13),IF(AND(E1157&lt;E1156,E1156&gt;=H1156),E1157*(1+'Trading Model'!$E$13),H1156))</f>
        <v>27.698998950000004</v>
      </c>
      <c r="I1157" s="198">
        <f>IF(K1157&gt;0,E1157*(1-'Trading Model'!E1167),IF(E1157&lt;I1156,I1156*(1-'Trading Model'!$E$14),I1156))</f>
        <v>8.9840153609188427</v>
      </c>
      <c r="J1157" s="198">
        <f t="shared" ref="J1157:J1220" si="151">IF(E1157&gt;=H1157,-E1157,IF(E1157&lt;=I1156,-E1157,0))</f>
        <v>0</v>
      </c>
      <c r="K1157" s="198">
        <f t="shared" si="146"/>
        <v>0</v>
      </c>
      <c r="L1157" s="198">
        <f>COUNTIF(J1157:K1157,"&lt;&gt;0")*-'Trading Model'!$E$15</f>
        <v>0</v>
      </c>
      <c r="M1157" s="198">
        <f t="shared" si="144"/>
        <v>0</v>
      </c>
      <c r="N1157" s="75">
        <f t="shared" si="147"/>
        <v>45</v>
      </c>
      <c r="O1157" s="202">
        <f t="shared" si="148"/>
        <v>0</v>
      </c>
      <c r="P1157" s="199">
        <f t="shared" si="145"/>
        <v>0</v>
      </c>
      <c r="Q1157" s="203">
        <f t="shared" si="149"/>
        <v>43.400000000001754</v>
      </c>
      <c r="R1157" s="201">
        <f>E1157/B1153-1</f>
        <v>-3.6236175556038974E-2</v>
      </c>
      <c r="S1157" s="201">
        <f t="shared" si="150"/>
        <v>-4.2269930088765229E-3</v>
      </c>
    </row>
    <row r="1158" spans="1:19">
      <c r="A1158" s="196">
        <v>41648</v>
      </c>
      <c r="B1158" s="122">
        <v>16.389999</v>
      </c>
      <c r="C1158" s="122">
        <v>16.48</v>
      </c>
      <c r="D1158" s="122">
        <v>15.93</v>
      </c>
      <c r="E1158" s="122">
        <v>16.48</v>
      </c>
      <c r="F1158" s="122">
        <v>12.967320000000001</v>
      </c>
      <c r="G1158" s="197">
        <v>205800</v>
      </c>
      <c r="H1158" s="198">
        <f>IF(AND(E1157&gt;=H1157,E1158&gt;=E1157),E1157*(1+'Trading Model'!$E$13),IF(AND(E1158&lt;E1157,E1157&gt;=H1157),E1158*(1+'Trading Model'!$E$13),H1157))</f>
        <v>27.698998950000004</v>
      </c>
      <c r="I1158" s="198">
        <f>IF(K1158&gt;0,E1158*(1-'Trading Model'!E1168),IF(E1158&lt;I1157,I1157*(1-'Trading Model'!$E$14),I1157))</f>
        <v>8.9840153609188427</v>
      </c>
      <c r="J1158" s="198">
        <f t="shared" si="151"/>
        <v>0</v>
      </c>
      <c r="K1158" s="198">
        <f t="shared" si="146"/>
        <v>0</v>
      </c>
      <c r="L1158" s="198">
        <f>COUNTIF(J1158:K1158,"&lt;&gt;0")*-'Trading Model'!$E$15</f>
        <v>0</v>
      </c>
      <c r="M1158" s="198">
        <f t="shared" si="144"/>
        <v>0</v>
      </c>
      <c r="N1158" s="75">
        <f t="shared" si="147"/>
        <v>45</v>
      </c>
      <c r="O1158" s="202">
        <f t="shared" si="148"/>
        <v>0</v>
      </c>
      <c r="P1158" s="199">
        <f t="shared" si="145"/>
        <v>0</v>
      </c>
      <c r="Q1158" s="203">
        <f t="shared" si="149"/>
        <v>43.300000000001752</v>
      </c>
      <c r="R1158" s="160" t="s">
        <v>55</v>
      </c>
      <c r="S1158" s="201">
        <f t="shared" si="150"/>
        <v>-6.0642813826550235E-4</v>
      </c>
    </row>
    <row r="1159" spans="1:19">
      <c r="A1159" s="196">
        <v>41649</v>
      </c>
      <c r="B1159" s="122">
        <v>16.57</v>
      </c>
      <c r="C1159" s="122">
        <v>16.66</v>
      </c>
      <c r="D1159" s="122">
        <v>16.32</v>
      </c>
      <c r="E1159" s="122">
        <v>16.48</v>
      </c>
      <c r="F1159" s="122">
        <v>12.967320000000001</v>
      </c>
      <c r="G1159" s="197">
        <v>114900</v>
      </c>
      <c r="H1159" s="198">
        <f>IF(AND(E1158&gt;=H1158,E1159&gt;=E1158),E1158*(1+'Trading Model'!$E$13),IF(AND(E1159&lt;E1158,E1158&gt;=H1158),E1159*(1+'Trading Model'!$E$13),H1158))</f>
        <v>27.698998950000004</v>
      </c>
      <c r="I1159" s="198">
        <f>IF(K1159&gt;0,E1159*(1-'Trading Model'!E1169),IF(E1159&lt;I1158,I1158*(1-'Trading Model'!$E$14),I1158))</f>
        <v>8.9840153609188427</v>
      </c>
      <c r="J1159" s="198">
        <f t="shared" si="151"/>
        <v>0</v>
      </c>
      <c r="K1159" s="198">
        <f t="shared" si="146"/>
        <v>0</v>
      </c>
      <c r="L1159" s="198">
        <f>COUNTIF(J1159:K1159,"&lt;&gt;0")*-'Trading Model'!$E$15</f>
        <v>0</v>
      </c>
      <c r="M1159" s="198">
        <f t="shared" si="144"/>
        <v>0</v>
      </c>
      <c r="N1159" s="75">
        <f t="shared" si="147"/>
        <v>45</v>
      </c>
      <c r="O1159" s="202">
        <f t="shared" si="148"/>
        <v>0</v>
      </c>
      <c r="P1159" s="199">
        <f t="shared" si="145"/>
        <v>0</v>
      </c>
      <c r="Q1159" s="203">
        <f t="shared" si="149"/>
        <v>43.300000000001752</v>
      </c>
      <c r="R1159" s="203" t="s">
        <v>55</v>
      </c>
      <c r="S1159" s="201">
        <f t="shared" si="150"/>
        <v>0</v>
      </c>
    </row>
    <row r="1160" spans="1:19">
      <c r="A1160" s="196">
        <v>41652</v>
      </c>
      <c r="B1160" s="122">
        <v>16.379999000000002</v>
      </c>
      <c r="C1160" s="122">
        <v>17.91</v>
      </c>
      <c r="D1160" s="122">
        <v>16.350000000000001</v>
      </c>
      <c r="E1160" s="122">
        <v>17.190000999999999</v>
      </c>
      <c r="F1160" s="122">
        <v>13.525985</v>
      </c>
      <c r="G1160" s="197">
        <v>358100</v>
      </c>
      <c r="H1160" s="198">
        <f>IF(AND(E1159&gt;=H1159,E1160&gt;=E1159),E1159*(1+'Trading Model'!$E$13),IF(AND(E1160&lt;E1159,E1159&gt;=H1159),E1160*(1+'Trading Model'!$E$13),H1159))</f>
        <v>27.698998950000004</v>
      </c>
      <c r="I1160" s="198">
        <f>IF(K1160&gt;0,E1160*(1-'Trading Model'!E1170),IF(E1160&lt;I1159,I1159*(1-'Trading Model'!$E$14),I1159))</f>
        <v>8.9840153609188427</v>
      </c>
      <c r="J1160" s="198">
        <f t="shared" si="151"/>
        <v>0</v>
      </c>
      <c r="K1160" s="198">
        <f t="shared" si="146"/>
        <v>0</v>
      </c>
      <c r="L1160" s="198">
        <f>COUNTIF(J1160:K1160,"&lt;&gt;0")*-'Trading Model'!$E$15</f>
        <v>0</v>
      </c>
      <c r="M1160" s="198">
        <f t="shared" si="144"/>
        <v>0</v>
      </c>
      <c r="N1160" s="75">
        <f t="shared" si="147"/>
        <v>45</v>
      </c>
      <c r="O1160" s="202">
        <f t="shared" si="148"/>
        <v>0</v>
      </c>
      <c r="P1160" s="199">
        <f t="shared" si="145"/>
        <v>0</v>
      </c>
      <c r="Q1160" s="203">
        <f t="shared" si="149"/>
        <v>43.300000000001752</v>
      </c>
      <c r="R1160" s="203" t="s">
        <v>55</v>
      </c>
      <c r="S1160" s="201">
        <f t="shared" si="150"/>
        <v>4.3082584951456226E-2</v>
      </c>
    </row>
    <row r="1161" spans="1:19">
      <c r="A1161" s="196">
        <v>41653</v>
      </c>
      <c r="B1161" s="122">
        <v>17.260000000000002</v>
      </c>
      <c r="C1161" s="122">
        <v>17.540001</v>
      </c>
      <c r="D1161" s="122">
        <v>17.260000000000002</v>
      </c>
      <c r="E1161" s="122">
        <v>17.450001</v>
      </c>
      <c r="F1161" s="122">
        <v>13.730563</v>
      </c>
      <c r="G1161" s="197">
        <v>228500</v>
      </c>
      <c r="H1161" s="198">
        <f>IF(AND(E1160&gt;=H1160,E1161&gt;=E1160),E1160*(1+'Trading Model'!$E$13),IF(AND(E1161&lt;E1160,E1160&gt;=H1160),E1161*(1+'Trading Model'!$E$13),H1160))</f>
        <v>27.698998950000004</v>
      </c>
      <c r="I1161" s="198">
        <f>IF(K1161&gt;0,E1161*(1-'Trading Model'!E1171),IF(E1161&lt;I1160,I1160*(1-'Trading Model'!$E$14),I1160))</f>
        <v>8.9840153609188427</v>
      </c>
      <c r="J1161" s="198">
        <f t="shared" si="151"/>
        <v>0</v>
      </c>
      <c r="K1161" s="198">
        <f t="shared" si="146"/>
        <v>0</v>
      </c>
      <c r="L1161" s="198">
        <f>COUNTIF(J1161:K1161,"&lt;&gt;0")*-'Trading Model'!$E$15</f>
        <v>0</v>
      </c>
      <c r="M1161" s="198">
        <f t="shared" si="144"/>
        <v>0</v>
      </c>
      <c r="N1161" s="75">
        <f t="shared" si="147"/>
        <v>45</v>
      </c>
      <c r="O1161" s="202">
        <f t="shared" si="148"/>
        <v>0</v>
      </c>
      <c r="P1161" s="199">
        <f t="shared" si="145"/>
        <v>0</v>
      </c>
      <c r="Q1161" s="203">
        <f t="shared" si="149"/>
        <v>43.300000000001752</v>
      </c>
      <c r="R1161" s="203" t="s">
        <v>55</v>
      </c>
      <c r="S1161" s="201">
        <f t="shared" si="150"/>
        <v>1.5125071836819659E-2</v>
      </c>
    </row>
    <row r="1162" spans="1:19">
      <c r="A1162" s="196">
        <v>41654</v>
      </c>
      <c r="B1162" s="122">
        <v>17.579999999999998</v>
      </c>
      <c r="C1162" s="122">
        <v>17.739999999999998</v>
      </c>
      <c r="D1162" s="122">
        <v>17.350000000000001</v>
      </c>
      <c r="E1162" s="122">
        <v>17.68</v>
      </c>
      <c r="F1162" s="122">
        <v>13.911541</v>
      </c>
      <c r="G1162" s="197">
        <v>170300</v>
      </c>
      <c r="H1162" s="198">
        <f>IF(AND(E1161&gt;=H1161,E1162&gt;=E1161),E1161*(1+'Trading Model'!$E$13),IF(AND(E1162&lt;E1161,E1161&gt;=H1161),E1162*(1+'Trading Model'!$E$13),H1161))</f>
        <v>27.698998950000004</v>
      </c>
      <c r="I1162" s="198">
        <f>IF(K1162&gt;0,E1162*(1-'Trading Model'!E1172),IF(E1162&lt;I1161,I1161*(1-'Trading Model'!$E$14),I1161))</f>
        <v>8.9840153609188427</v>
      </c>
      <c r="J1162" s="198">
        <f t="shared" si="151"/>
        <v>0</v>
      </c>
      <c r="K1162" s="198">
        <f t="shared" si="146"/>
        <v>0</v>
      </c>
      <c r="L1162" s="198">
        <f>COUNTIF(J1162:K1162,"&lt;&gt;0")*-'Trading Model'!$E$15</f>
        <v>0</v>
      </c>
      <c r="M1162" s="198">
        <f t="shared" si="144"/>
        <v>0</v>
      </c>
      <c r="N1162" s="75">
        <f t="shared" si="147"/>
        <v>45</v>
      </c>
      <c r="O1162" s="202">
        <f t="shared" si="148"/>
        <v>0</v>
      </c>
      <c r="P1162" s="199">
        <f t="shared" si="145"/>
        <v>0</v>
      </c>
      <c r="Q1162" s="203">
        <f t="shared" si="149"/>
        <v>43.300000000001752</v>
      </c>
      <c r="R1162" s="201">
        <f>E1162/B1158-1</f>
        <v>7.8706594185881329E-2</v>
      </c>
      <c r="S1162" s="201">
        <f t="shared" si="150"/>
        <v>1.3180457697394843E-2</v>
      </c>
    </row>
    <row r="1163" spans="1:19">
      <c r="A1163" s="196">
        <v>41655</v>
      </c>
      <c r="B1163" s="122">
        <v>17.700001</v>
      </c>
      <c r="C1163" s="122">
        <v>17.920000000000002</v>
      </c>
      <c r="D1163" s="122">
        <v>17.639999</v>
      </c>
      <c r="E1163" s="122">
        <v>17.850000000000001</v>
      </c>
      <c r="F1163" s="122">
        <v>14.045306</v>
      </c>
      <c r="G1163" s="197">
        <v>135900</v>
      </c>
      <c r="H1163" s="198">
        <f>IF(AND(E1162&gt;=H1162,E1163&gt;=E1162),E1162*(1+'Trading Model'!$E$13),IF(AND(E1163&lt;E1162,E1162&gt;=H1162),E1163*(1+'Trading Model'!$E$13),H1162))</f>
        <v>27.698998950000004</v>
      </c>
      <c r="I1163" s="198">
        <f>IF(K1163&gt;0,E1163*(1-'Trading Model'!E1173),IF(E1163&lt;I1162,I1162*(1-'Trading Model'!$E$14),I1162))</f>
        <v>8.9840153609188427</v>
      </c>
      <c r="J1163" s="198">
        <f t="shared" si="151"/>
        <v>0</v>
      </c>
      <c r="K1163" s="198">
        <f t="shared" si="146"/>
        <v>0</v>
      </c>
      <c r="L1163" s="198">
        <f>COUNTIF(J1163:K1163,"&lt;&gt;0")*-'Trading Model'!$E$15</f>
        <v>0</v>
      </c>
      <c r="M1163" s="198">
        <f t="shared" si="144"/>
        <v>0</v>
      </c>
      <c r="N1163" s="75">
        <f t="shared" si="147"/>
        <v>45</v>
      </c>
      <c r="O1163" s="202">
        <f t="shared" si="148"/>
        <v>0</v>
      </c>
      <c r="P1163" s="199">
        <f t="shared" si="145"/>
        <v>0</v>
      </c>
      <c r="Q1163" s="203">
        <f t="shared" si="149"/>
        <v>43.300000000001752</v>
      </c>
      <c r="R1163" s="160" t="s">
        <v>55</v>
      </c>
      <c r="S1163" s="201">
        <f t="shared" si="150"/>
        <v>9.6153846153848033E-3</v>
      </c>
    </row>
    <row r="1164" spans="1:19">
      <c r="A1164" s="196">
        <v>41656</v>
      </c>
      <c r="B1164" s="122">
        <v>17.91</v>
      </c>
      <c r="C1164" s="122">
        <v>17.950001</v>
      </c>
      <c r="D1164" s="122">
        <v>17.469999000000001</v>
      </c>
      <c r="E1164" s="122">
        <v>17.629999000000002</v>
      </c>
      <c r="F1164" s="122">
        <v>13.872199999999999</v>
      </c>
      <c r="G1164" s="197">
        <v>262900</v>
      </c>
      <c r="H1164" s="198">
        <f>IF(AND(E1163&gt;=H1163,E1164&gt;=E1163),E1163*(1+'Trading Model'!$E$13),IF(AND(E1164&lt;E1163,E1163&gt;=H1163),E1164*(1+'Trading Model'!$E$13),H1163))</f>
        <v>27.698998950000004</v>
      </c>
      <c r="I1164" s="198">
        <f>IF(K1164&gt;0,E1164*(1-'Trading Model'!E1174),IF(E1164&lt;I1163,I1163*(1-'Trading Model'!$E$14),I1163))</f>
        <v>8.9840153609188427</v>
      </c>
      <c r="J1164" s="198">
        <f t="shared" si="151"/>
        <v>0</v>
      </c>
      <c r="K1164" s="198">
        <f t="shared" si="146"/>
        <v>0</v>
      </c>
      <c r="L1164" s="198">
        <f>COUNTIF(J1164:K1164,"&lt;&gt;0")*-'Trading Model'!$E$15</f>
        <v>0</v>
      </c>
      <c r="M1164" s="198">
        <f t="shared" si="144"/>
        <v>0</v>
      </c>
      <c r="N1164" s="75">
        <f t="shared" si="147"/>
        <v>45</v>
      </c>
      <c r="O1164" s="202">
        <f t="shared" si="148"/>
        <v>0</v>
      </c>
      <c r="P1164" s="199">
        <f t="shared" si="145"/>
        <v>0</v>
      </c>
      <c r="Q1164" s="203">
        <f t="shared" si="149"/>
        <v>43.200000000001751</v>
      </c>
      <c r="R1164" s="203" t="s">
        <v>55</v>
      </c>
      <c r="S1164" s="201">
        <f t="shared" si="150"/>
        <v>-1.2324985994397797E-2</v>
      </c>
    </row>
    <row r="1165" spans="1:19">
      <c r="A1165" s="196">
        <v>41660</v>
      </c>
      <c r="B1165" s="122">
        <v>17.48</v>
      </c>
      <c r="C1165" s="122">
        <v>17.870000999999998</v>
      </c>
      <c r="D1165" s="122">
        <v>17.389999</v>
      </c>
      <c r="E1165" s="122">
        <v>17.780000999999999</v>
      </c>
      <c r="F1165" s="122">
        <v>13.990228999999999</v>
      </c>
      <c r="G1165" s="197">
        <v>136100</v>
      </c>
      <c r="H1165" s="198">
        <f>IF(AND(E1164&gt;=H1164,E1165&gt;=E1164),E1164*(1+'Trading Model'!$E$13),IF(AND(E1165&lt;E1164,E1164&gt;=H1164),E1165*(1+'Trading Model'!$E$13),H1164))</f>
        <v>27.698998950000004</v>
      </c>
      <c r="I1165" s="198">
        <f>IF(K1165&gt;0,E1165*(1-'Trading Model'!E1175),IF(E1165&lt;I1164,I1164*(1-'Trading Model'!$E$14),I1164))</f>
        <v>8.9840153609188427</v>
      </c>
      <c r="J1165" s="198">
        <f t="shared" si="151"/>
        <v>0</v>
      </c>
      <c r="K1165" s="198">
        <f t="shared" si="146"/>
        <v>0</v>
      </c>
      <c r="L1165" s="198">
        <f>COUNTIF(J1165:K1165,"&lt;&gt;0")*-'Trading Model'!$E$15</f>
        <v>0</v>
      </c>
      <c r="M1165" s="198">
        <f t="shared" si="144"/>
        <v>0</v>
      </c>
      <c r="N1165" s="75">
        <f t="shared" si="147"/>
        <v>45</v>
      </c>
      <c r="O1165" s="202">
        <f t="shared" si="148"/>
        <v>0</v>
      </c>
      <c r="P1165" s="199">
        <f t="shared" si="145"/>
        <v>0</v>
      </c>
      <c r="Q1165" s="203">
        <f t="shared" si="149"/>
        <v>43.200000000001751</v>
      </c>
      <c r="R1165" s="203" t="s">
        <v>55</v>
      </c>
      <c r="S1165" s="201">
        <f t="shared" si="150"/>
        <v>8.5083385427302538E-3</v>
      </c>
    </row>
    <row r="1166" spans="1:19">
      <c r="A1166" s="196">
        <v>41661</v>
      </c>
      <c r="B1166" s="122">
        <v>17.780000999999999</v>
      </c>
      <c r="C1166" s="122">
        <v>17.850000000000001</v>
      </c>
      <c r="D1166" s="122">
        <v>17.290001</v>
      </c>
      <c r="E1166" s="122">
        <v>17.73</v>
      </c>
      <c r="F1166" s="122">
        <v>13.950886000000001</v>
      </c>
      <c r="G1166" s="197">
        <v>129300</v>
      </c>
      <c r="H1166" s="198">
        <f>IF(AND(E1165&gt;=H1165,E1166&gt;=E1165),E1165*(1+'Trading Model'!$E$13),IF(AND(E1166&lt;E1165,E1165&gt;=H1165),E1166*(1+'Trading Model'!$E$13),H1165))</f>
        <v>27.698998950000004</v>
      </c>
      <c r="I1166" s="198">
        <f>IF(K1166&gt;0,E1166*(1-'Trading Model'!E1176),IF(E1166&lt;I1165,I1165*(1-'Trading Model'!$E$14),I1165))</f>
        <v>8.9840153609188427</v>
      </c>
      <c r="J1166" s="198">
        <f t="shared" si="151"/>
        <v>0</v>
      </c>
      <c r="K1166" s="198">
        <f t="shared" si="146"/>
        <v>0</v>
      </c>
      <c r="L1166" s="198">
        <f>COUNTIF(J1166:K1166,"&lt;&gt;0")*-'Trading Model'!$E$15</f>
        <v>0</v>
      </c>
      <c r="M1166" s="198">
        <f t="shared" si="144"/>
        <v>0</v>
      </c>
      <c r="N1166" s="75">
        <f t="shared" si="147"/>
        <v>45</v>
      </c>
      <c r="O1166" s="202">
        <f t="shared" si="148"/>
        <v>0</v>
      </c>
      <c r="P1166" s="199">
        <f t="shared" si="145"/>
        <v>0</v>
      </c>
      <c r="Q1166" s="203">
        <f t="shared" si="149"/>
        <v>43.100000000001749</v>
      </c>
      <c r="R1166" s="203" t="s">
        <v>55</v>
      </c>
      <c r="S1166" s="201">
        <f t="shared" si="150"/>
        <v>-2.8122045662426487E-3</v>
      </c>
    </row>
    <row r="1167" spans="1:19">
      <c r="A1167" s="196">
        <v>41662</v>
      </c>
      <c r="B1167" s="122">
        <v>17.59</v>
      </c>
      <c r="C1167" s="122">
        <v>17.649999999999999</v>
      </c>
      <c r="D1167" s="122">
        <v>16.190000999999999</v>
      </c>
      <c r="E1167" s="122">
        <v>16.299999</v>
      </c>
      <c r="F1167" s="122">
        <v>12.825685999999999</v>
      </c>
      <c r="G1167" s="197">
        <v>450500</v>
      </c>
      <c r="H1167" s="198">
        <f>IF(AND(E1166&gt;=H1166,E1167&gt;=E1166),E1166*(1+'Trading Model'!$E$13),IF(AND(E1167&lt;E1166,E1166&gt;=H1166),E1167*(1+'Trading Model'!$E$13),H1166))</f>
        <v>27.698998950000004</v>
      </c>
      <c r="I1167" s="198">
        <f>IF(K1167&gt;0,E1167*(1-'Trading Model'!E1177),IF(E1167&lt;I1166,I1166*(1-'Trading Model'!$E$14),I1166))</f>
        <v>8.9840153609188427</v>
      </c>
      <c r="J1167" s="198">
        <f t="shared" si="151"/>
        <v>0</v>
      </c>
      <c r="K1167" s="198">
        <f t="shared" si="146"/>
        <v>0</v>
      </c>
      <c r="L1167" s="198">
        <f>COUNTIF(J1167:K1167,"&lt;&gt;0")*-'Trading Model'!$E$15</f>
        <v>0</v>
      </c>
      <c r="M1167" s="198">
        <f t="shared" si="144"/>
        <v>0</v>
      </c>
      <c r="N1167" s="75">
        <f t="shared" si="147"/>
        <v>45</v>
      </c>
      <c r="O1167" s="202">
        <f t="shared" si="148"/>
        <v>0</v>
      </c>
      <c r="P1167" s="199">
        <f t="shared" si="145"/>
        <v>0</v>
      </c>
      <c r="Q1167" s="203">
        <f t="shared" si="149"/>
        <v>43.000000000001748</v>
      </c>
      <c r="R1167" s="201">
        <f>E1167/B1163-1</f>
        <v>-7.9096153723381191E-2</v>
      </c>
      <c r="S1167" s="201">
        <f t="shared" si="150"/>
        <v>-8.0654314720812192E-2</v>
      </c>
    </row>
    <row r="1168" spans="1:19">
      <c r="A1168" s="196">
        <v>41663</v>
      </c>
      <c r="B1168" s="122">
        <v>16.120000999999998</v>
      </c>
      <c r="C1168" s="122">
        <v>16.84</v>
      </c>
      <c r="D1168" s="122">
        <v>15.03</v>
      </c>
      <c r="E1168" s="122">
        <v>15.09</v>
      </c>
      <c r="F1168" s="122">
        <v>11.873595</v>
      </c>
      <c r="G1168" s="197">
        <v>464200</v>
      </c>
      <c r="H1168" s="198">
        <f>IF(AND(E1167&gt;=H1167,E1168&gt;=E1167),E1167*(1+'Trading Model'!$E$13),IF(AND(E1168&lt;E1167,E1167&gt;=H1167),E1168*(1+'Trading Model'!$E$13),H1167))</f>
        <v>27.698998950000004</v>
      </c>
      <c r="I1168" s="198">
        <f>IF(K1168&gt;0,E1168*(1-'Trading Model'!E1178),IF(E1168&lt;I1167,I1167*(1-'Trading Model'!$E$14),I1167))</f>
        <v>8.9840153609188427</v>
      </c>
      <c r="J1168" s="198">
        <f t="shared" si="151"/>
        <v>0</v>
      </c>
      <c r="K1168" s="198">
        <f t="shared" si="146"/>
        <v>0</v>
      </c>
      <c r="L1168" s="198">
        <f>COUNTIF(J1168:K1168,"&lt;&gt;0")*-'Trading Model'!$E$15</f>
        <v>0</v>
      </c>
      <c r="M1168" s="198">
        <f t="shared" si="144"/>
        <v>0</v>
      </c>
      <c r="N1168" s="75">
        <f t="shared" si="147"/>
        <v>45</v>
      </c>
      <c r="O1168" s="202">
        <f t="shared" si="148"/>
        <v>0</v>
      </c>
      <c r="P1168" s="199">
        <f t="shared" si="145"/>
        <v>0</v>
      </c>
      <c r="Q1168" s="203">
        <f t="shared" si="149"/>
        <v>42.900000000001747</v>
      </c>
      <c r="R1168" s="160" t="s">
        <v>55</v>
      </c>
      <c r="S1168" s="201">
        <f t="shared" si="150"/>
        <v>-7.4233072038838777E-2</v>
      </c>
    </row>
    <row r="1169" spans="1:19">
      <c r="A1169" s="196">
        <v>41666</v>
      </c>
      <c r="B1169" s="122">
        <v>15.14</v>
      </c>
      <c r="C1169" s="122">
        <v>15.36</v>
      </c>
      <c r="D1169" s="122">
        <v>13.93</v>
      </c>
      <c r="E1169" s="122">
        <v>14.78</v>
      </c>
      <c r="F1169" s="122">
        <v>11.629671</v>
      </c>
      <c r="G1169" s="197">
        <v>521700</v>
      </c>
      <c r="H1169" s="198">
        <f>IF(AND(E1168&gt;=H1168,E1169&gt;=E1168),E1168*(1+'Trading Model'!$E$13),IF(AND(E1169&lt;E1168,E1168&gt;=H1168),E1169*(1+'Trading Model'!$E$13),H1168))</f>
        <v>27.698998950000004</v>
      </c>
      <c r="I1169" s="198">
        <f>IF(K1169&gt;0,E1169*(1-'Trading Model'!E1179),IF(E1169&lt;I1168,I1168*(1-'Trading Model'!$E$14),I1168))</f>
        <v>8.9840153609188427</v>
      </c>
      <c r="J1169" s="198">
        <f t="shared" si="151"/>
        <v>0</v>
      </c>
      <c r="K1169" s="198">
        <f t="shared" si="146"/>
        <v>0</v>
      </c>
      <c r="L1169" s="198">
        <f>COUNTIF(J1169:K1169,"&lt;&gt;0")*-'Trading Model'!$E$15</f>
        <v>0</v>
      </c>
      <c r="M1169" s="198">
        <f t="shared" si="144"/>
        <v>0</v>
      </c>
      <c r="N1169" s="75">
        <f t="shared" si="147"/>
        <v>45</v>
      </c>
      <c r="O1169" s="202">
        <f t="shared" si="148"/>
        <v>0</v>
      </c>
      <c r="P1169" s="199">
        <f t="shared" si="145"/>
        <v>0</v>
      </c>
      <c r="Q1169" s="203">
        <f t="shared" si="149"/>
        <v>42.800000000001745</v>
      </c>
      <c r="R1169" s="203" t="s">
        <v>55</v>
      </c>
      <c r="S1169" s="201">
        <f t="shared" si="150"/>
        <v>-2.0543406229290961E-2</v>
      </c>
    </row>
    <row r="1170" spans="1:19">
      <c r="A1170" s="196">
        <v>41667</v>
      </c>
      <c r="B1170" s="122">
        <v>14.76</v>
      </c>
      <c r="C1170" s="122">
        <v>15.32</v>
      </c>
      <c r="D1170" s="122">
        <v>14.58</v>
      </c>
      <c r="E1170" s="122">
        <v>15.3</v>
      </c>
      <c r="F1170" s="122">
        <v>12.038835000000001</v>
      </c>
      <c r="G1170" s="197">
        <v>274500</v>
      </c>
      <c r="H1170" s="198">
        <f>IF(AND(E1169&gt;=H1169,E1170&gt;=E1169),E1169*(1+'Trading Model'!$E$13),IF(AND(E1170&lt;E1169,E1169&gt;=H1169),E1170*(1+'Trading Model'!$E$13),H1169))</f>
        <v>27.698998950000004</v>
      </c>
      <c r="I1170" s="198">
        <f>IF(K1170&gt;0,E1170*(1-'Trading Model'!E1180),IF(E1170&lt;I1169,I1169*(1-'Trading Model'!$E$14),I1169))</f>
        <v>8.9840153609188427</v>
      </c>
      <c r="J1170" s="198">
        <f t="shared" si="151"/>
        <v>0</v>
      </c>
      <c r="K1170" s="198">
        <f t="shared" si="146"/>
        <v>0</v>
      </c>
      <c r="L1170" s="198">
        <f>COUNTIF(J1170:K1170,"&lt;&gt;0")*-'Trading Model'!$E$15</f>
        <v>0</v>
      </c>
      <c r="M1170" s="198">
        <f t="shared" si="144"/>
        <v>0</v>
      </c>
      <c r="N1170" s="75">
        <f t="shared" si="147"/>
        <v>45</v>
      </c>
      <c r="O1170" s="202">
        <f t="shared" si="148"/>
        <v>0</v>
      </c>
      <c r="P1170" s="199">
        <f t="shared" si="145"/>
        <v>0</v>
      </c>
      <c r="Q1170" s="203">
        <f t="shared" si="149"/>
        <v>42.800000000001745</v>
      </c>
      <c r="R1170" s="203" t="s">
        <v>55</v>
      </c>
      <c r="S1170" s="201">
        <f t="shared" si="150"/>
        <v>3.5182679296346553E-2</v>
      </c>
    </row>
    <row r="1171" spans="1:19">
      <c r="A1171" s="196">
        <v>41668</v>
      </c>
      <c r="B1171" s="122">
        <v>15.09</v>
      </c>
      <c r="C1171" s="122">
        <v>15.15</v>
      </c>
      <c r="D1171" s="122">
        <v>14.68</v>
      </c>
      <c r="E1171" s="122">
        <v>14.89</v>
      </c>
      <c r="F1171" s="122">
        <v>11.716225</v>
      </c>
      <c r="G1171" s="197">
        <v>143600</v>
      </c>
      <c r="H1171" s="198">
        <f>IF(AND(E1170&gt;=H1170,E1171&gt;=E1170),E1170*(1+'Trading Model'!$E$13),IF(AND(E1171&lt;E1170,E1170&gt;=H1170),E1171*(1+'Trading Model'!$E$13),H1170))</f>
        <v>27.698998950000004</v>
      </c>
      <c r="I1171" s="198">
        <f>IF(K1171&gt;0,E1171*(1-'Trading Model'!E1181),IF(E1171&lt;I1170,I1170*(1-'Trading Model'!$E$14),I1170))</f>
        <v>8.9840153609188427</v>
      </c>
      <c r="J1171" s="198">
        <f t="shared" si="151"/>
        <v>0</v>
      </c>
      <c r="K1171" s="198">
        <f t="shared" si="146"/>
        <v>0</v>
      </c>
      <c r="L1171" s="198">
        <f>COUNTIF(J1171:K1171,"&lt;&gt;0")*-'Trading Model'!$E$15</f>
        <v>0</v>
      </c>
      <c r="M1171" s="198">
        <f t="shared" si="144"/>
        <v>0</v>
      </c>
      <c r="N1171" s="75">
        <f t="shared" si="147"/>
        <v>45</v>
      </c>
      <c r="O1171" s="202">
        <f t="shared" si="148"/>
        <v>0</v>
      </c>
      <c r="P1171" s="199">
        <f t="shared" si="145"/>
        <v>0</v>
      </c>
      <c r="Q1171" s="203">
        <f t="shared" si="149"/>
        <v>42.700000000001744</v>
      </c>
      <c r="R1171" s="203" t="s">
        <v>55</v>
      </c>
      <c r="S1171" s="201">
        <f t="shared" si="150"/>
        <v>-2.6797385620915048E-2</v>
      </c>
    </row>
    <row r="1172" spans="1:19">
      <c r="A1172" s="196">
        <v>41669</v>
      </c>
      <c r="B1172" s="122">
        <v>14.86</v>
      </c>
      <c r="C1172" s="122">
        <v>15.33</v>
      </c>
      <c r="D1172" s="122">
        <v>14.84</v>
      </c>
      <c r="E1172" s="122">
        <v>15.29</v>
      </c>
      <c r="F1172" s="122">
        <v>12.030965</v>
      </c>
      <c r="G1172" s="197">
        <v>147900</v>
      </c>
      <c r="H1172" s="198">
        <f>IF(AND(E1171&gt;=H1171,E1172&gt;=E1171),E1171*(1+'Trading Model'!$E$13),IF(AND(E1172&lt;E1171,E1171&gt;=H1171),E1172*(1+'Trading Model'!$E$13),H1171))</f>
        <v>27.698998950000004</v>
      </c>
      <c r="I1172" s="198">
        <f>IF(K1172&gt;0,E1172*(1-'Trading Model'!E1182),IF(E1172&lt;I1171,I1171*(1-'Trading Model'!$E$14),I1171))</f>
        <v>8.9840153609188427</v>
      </c>
      <c r="J1172" s="198">
        <f t="shared" si="151"/>
        <v>0</v>
      </c>
      <c r="K1172" s="198">
        <f t="shared" si="146"/>
        <v>0</v>
      </c>
      <c r="L1172" s="198">
        <f>COUNTIF(J1172:K1172,"&lt;&gt;0")*-'Trading Model'!$E$15</f>
        <v>0</v>
      </c>
      <c r="M1172" s="198">
        <f t="shared" si="144"/>
        <v>0</v>
      </c>
      <c r="N1172" s="75">
        <f t="shared" si="147"/>
        <v>45</v>
      </c>
      <c r="O1172" s="202">
        <f t="shared" si="148"/>
        <v>0</v>
      </c>
      <c r="P1172" s="199">
        <f t="shared" si="145"/>
        <v>0</v>
      </c>
      <c r="Q1172" s="203">
        <f t="shared" si="149"/>
        <v>42.700000000001744</v>
      </c>
      <c r="R1172" s="201">
        <f>E1172/B1168-1</f>
        <v>-5.1488892587537638E-2</v>
      </c>
      <c r="S1172" s="201">
        <f t="shared" si="150"/>
        <v>2.6863666890530435E-2</v>
      </c>
    </row>
    <row r="1173" spans="1:19">
      <c r="A1173" s="196">
        <v>41670</v>
      </c>
      <c r="B1173" s="122">
        <v>14.95</v>
      </c>
      <c r="C1173" s="122">
        <v>15.33</v>
      </c>
      <c r="D1173" s="122">
        <v>14.86</v>
      </c>
      <c r="E1173" s="122">
        <v>15.24</v>
      </c>
      <c r="F1173" s="122">
        <v>11.991622</v>
      </c>
      <c r="G1173" s="197">
        <v>153900</v>
      </c>
      <c r="H1173" s="198">
        <f>IF(AND(E1172&gt;=H1172,E1173&gt;=E1172),E1172*(1+'Trading Model'!$E$13),IF(AND(E1173&lt;E1172,E1172&gt;=H1172),E1173*(1+'Trading Model'!$E$13),H1172))</f>
        <v>27.698998950000004</v>
      </c>
      <c r="I1173" s="198">
        <f>IF(K1173&gt;0,E1173*(1-'Trading Model'!E1183),IF(E1173&lt;I1172,I1172*(1-'Trading Model'!$E$14),I1172))</f>
        <v>8.9840153609188427</v>
      </c>
      <c r="J1173" s="198">
        <f t="shared" si="151"/>
        <v>0</v>
      </c>
      <c r="K1173" s="198">
        <f t="shared" si="146"/>
        <v>0</v>
      </c>
      <c r="L1173" s="198">
        <f>COUNTIF(J1173:K1173,"&lt;&gt;0")*-'Trading Model'!$E$15</f>
        <v>0</v>
      </c>
      <c r="M1173" s="198">
        <f t="shared" si="144"/>
        <v>0</v>
      </c>
      <c r="N1173" s="75">
        <f t="shared" si="147"/>
        <v>45</v>
      </c>
      <c r="O1173" s="202">
        <f t="shared" si="148"/>
        <v>0</v>
      </c>
      <c r="P1173" s="199">
        <f t="shared" si="145"/>
        <v>0</v>
      </c>
      <c r="Q1173" s="203">
        <f t="shared" si="149"/>
        <v>42.600000000001742</v>
      </c>
      <c r="R1173" s="160" t="s">
        <v>55</v>
      </c>
      <c r="S1173" s="201">
        <f t="shared" si="150"/>
        <v>-3.2701111837801777E-3</v>
      </c>
    </row>
    <row r="1174" spans="1:19">
      <c r="A1174" s="196">
        <v>41673</v>
      </c>
      <c r="B1174" s="122">
        <v>15.3</v>
      </c>
      <c r="C1174" s="122">
        <v>15.38</v>
      </c>
      <c r="D1174" s="122">
        <v>14.6</v>
      </c>
      <c r="E1174" s="122">
        <v>15.03</v>
      </c>
      <c r="F1174" s="122">
        <v>11.826385</v>
      </c>
      <c r="G1174" s="197">
        <v>232700</v>
      </c>
      <c r="H1174" s="198">
        <f>IF(AND(E1173&gt;=H1173,E1174&gt;=E1173),E1173*(1+'Trading Model'!$E$13),IF(AND(E1174&lt;E1173,E1173&gt;=H1173),E1174*(1+'Trading Model'!$E$13),H1173))</f>
        <v>27.698998950000004</v>
      </c>
      <c r="I1174" s="198">
        <f>IF(K1174&gt;0,E1174*(1-'Trading Model'!E1184),IF(E1174&lt;I1173,I1173*(1-'Trading Model'!$E$14),I1173))</f>
        <v>8.9840153609188427</v>
      </c>
      <c r="J1174" s="198">
        <f t="shared" si="151"/>
        <v>0</v>
      </c>
      <c r="K1174" s="198">
        <f t="shared" si="146"/>
        <v>0</v>
      </c>
      <c r="L1174" s="198">
        <f>COUNTIF(J1174:K1174,"&lt;&gt;0")*-'Trading Model'!$E$15</f>
        <v>0</v>
      </c>
      <c r="M1174" s="198">
        <f t="shared" si="144"/>
        <v>0</v>
      </c>
      <c r="N1174" s="75">
        <f t="shared" si="147"/>
        <v>45</v>
      </c>
      <c r="O1174" s="202">
        <f t="shared" si="148"/>
        <v>0</v>
      </c>
      <c r="P1174" s="199">
        <f t="shared" si="145"/>
        <v>0</v>
      </c>
      <c r="Q1174" s="203">
        <f t="shared" si="149"/>
        <v>42.500000000001741</v>
      </c>
      <c r="R1174" s="203" t="s">
        <v>55</v>
      </c>
      <c r="S1174" s="201">
        <f t="shared" si="150"/>
        <v>-1.3779527559055205E-2</v>
      </c>
    </row>
    <row r="1175" spans="1:19">
      <c r="A1175" s="196">
        <v>41674</v>
      </c>
      <c r="B1175" s="122">
        <v>15.08</v>
      </c>
      <c r="C1175" s="122">
        <v>15.44</v>
      </c>
      <c r="D1175" s="122">
        <v>14.97</v>
      </c>
      <c r="E1175" s="122">
        <v>15.37</v>
      </c>
      <c r="F1175" s="122">
        <v>12.093915000000001</v>
      </c>
      <c r="G1175" s="197">
        <v>162800</v>
      </c>
      <c r="H1175" s="198">
        <f>IF(AND(E1174&gt;=H1174,E1175&gt;=E1174),E1174*(1+'Trading Model'!$E$13),IF(AND(E1175&lt;E1174,E1174&gt;=H1174),E1175*(1+'Trading Model'!$E$13),H1174))</f>
        <v>27.698998950000004</v>
      </c>
      <c r="I1175" s="198">
        <f>IF(K1175&gt;0,E1175*(1-'Trading Model'!E1185),IF(E1175&lt;I1174,I1174*(1-'Trading Model'!$E$14),I1174))</f>
        <v>8.9840153609188427</v>
      </c>
      <c r="J1175" s="198">
        <f t="shared" si="151"/>
        <v>0</v>
      </c>
      <c r="K1175" s="198">
        <f t="shared" si="146"/>
        <v>0</v>
      </c>
      <c r="L1175" s="198">
        <f>COUNTIF(J1175:K1175,"&lt;&gt;0")*-'Trading Model'!$E$15</f>
        <v>0</v>
      </c>
      <c r="M1175" s="198">
        <f t="shared" si="144"/>
        <v>0</v>
      </c>
      <c r="N1175" s="75">
        <f t="shared" si="147"/>
        <v>45</v>
      </c>
      <c r="O1175" s="202">
        <f t="shared" si="148"/>
        <v>0</v>
      </c>
      <c r="P1175" s="199">
        <f t="shared" si="145"/>
        <v>0</v>
      </c>
      <c r="Q1175" s="203">
        <f t="shared" si="149"/>
        <v>42.500000000001741</v>
      </c>
      <c r="R1175" s="203" t="s">
        <v>55</v>
      </c>
      <c r="S1175" s="201">
        <f t="shared" si="150"/>
        <v>2.2621423819028541E-2</v>
      </c>
    </row>
    <row r="1176" spans="1:19">
      <c r="A1176" s="196">
        <v>41675</v>
      </c>
      <c r="B1176" s="122">
        <v>15.5</v>
      </c>
      <c r="C1176" s="122">
        <v>15.5</v>
      </c>
      <c r="D1176" s="122">
        <v>14.89</v>
      </c>
      <c r="E1176" s="122">
        <v>15.24</v>
      </c>
      <c r="F1176" s="122">
        <v>11.991622</v>
      </c>
      <c r="G1176" s="197">
        <v>133900</v>
      </c>
      <c r="H1176" s="198">
        <f>IF(AND(E1175&gt;=H1175,E1176&gt;=E1175),E1175*(1+'Trading Model'!$E$13),IF(AND(E1176&lt;E1175,E1175&gt;=H1175),E1176*(1+'Trading Model'!$E$13),H1175))</f>
        <v>27.698998950000004</v>
      </c>
      <c r="I1176" s="198">
        <f>IF(K1176&gt;0,E1176*(1-'Trading Model'!E1186),IF(E1176&lt;I1175,I1175*(1-'Trading Model'!$E$14),I1175))</f>
        <v>8.9840153609188427</v>
      </c>
      <c r="J1176" s="198">
        <f t="shared" si="151"/>
        <v>0</v>
      </c>
      <c r="K1176" s="198">
        <f t="shared" si="146"/>
        <v>0</v>
      </c>
      <c r="L1176" s="198">
        <f>COUNTIF(J1176:K1176,"&lt;&gt;0")*-'Trading Model'!$E$15</f>
        <v>0</v>
      </c>
      <c r="M1176" s="198">
        <f t="shared" si="144"/>
        <v>0</v>
      </c>
      <c r="N1176" s="75">
        <f t="shared" si="147"/>
        <v>45</v>
      </c>
      <c r="O1176" s="202">
        <f t="shared" si="148"/>
        <v>0</v>
      </c>
      <c r="P1176" s="199">
        <f t="shared" si="145"/>
        <v>0</v>
      </c>
      <c r="Q1176" s="203">
        <f t="shared" si="149"/>
        <v>42.400000000001739</v>
      </c>
      <c r="R1176" s="203" t="s">
        <v>55</v>
      </c>
      <c r="S1176" s="201">
        <f t="shared" si="150"/>
        <v>-8.4580351333766179E-3</v>
      </c>
    </row>
    <row r="1177" spans="1:19">
      <c r="A1177" s="196">
        <v>41676</v>
      </c>
      <c r="B1177" s="122">
        <v>15.37</v>
      </c>
      <c r="C1177" s="122">
        <v>15.66</v>
      </c>
      <c r="D1177" s="122">
        <v>15.28</v>
      </c>
      <c r="E1177" s="122">
        <v>15.48</v>
      </c>
      <c r="F1177" s="122">
        <v>12.180467</v>
      </c>
      <c r="G1177" s="197">
        <v>116800</v>
      </c>
      <c r="H1177" s="198">
        <f>IF(AND(E1176&gt;=H1176,E1177&gt;=E1176),E1176*(1+'Trading Model'!$E$13),IF(AND(E1177&lt;E1176,E1176&gt;=H1176),E1177*(1+'Trading Model'!$E$13),H1176))</f>
        <v>27.698998950000004</v>
      </c>
      <c r="I1177" s="198">
        <f>IF(K1177&gt;0,E1177*(1-'Trading Model'!E1187),IF(E1177&lt;I1176,I1176*(1-'Trading Model'!$E$14),I1176))</f>
        <v>8.9840153609188427</v>
      </c>
      <c r="J1177" s="198">
        <f t="shared" si="151"/>
        <v>0</v>
      </c>
      <c r="K1177" s="198">
        <f t="shared" si="146"/>
        <v>0</v>
      </c>
      <c r="L1177" s="198">
        <f>COUNTIF(J1177:K1177,"&lt;&gt;0")*-'Trading Model'!$E$15</f>
        <v>0</v>
      </c>
      <c r="M1177" s="198">
        <f t="shared" si="144"/>
        <v>0</v>
      </c>
      <c r="N1177" s="75">
        <f t="shared" si="147"/>
        <v>45</v>
      </c>
      <c r="O1177" s="202">
        <f t="shared" si="148"/>
        <v>0</v>
      </c>
      <c r="P1177" s="199">
        <f t="shared" si="145"/>
        <v>0</v>
      </c>
      <c r="Q1177" s="203">
        <f t="shared" si="149"/>
        <v>42.400000000001739</v>
      </c>
      <c r="R1177" s="201">
        <f>E1177/B1173-1</f>
        <v>3.5451505016722562E-2</v>
      </c>
      <c r="S1177" s="201">
        <f t="shared" si="150"/>
        <v>1.5748031496062964E-2</v>
      </c>
    </row>
    <row r="1178" spans="1:19">
      <c r="A1178" s="196">
        <v>41677</v>
      </c>
      <c r="B1178" s="122">
        <v>15.5</v>
      </c>
      <c r="C1178" s="122">
        <v>15.65</v>
      </c>
      <c r="D1178" s="122">
        <v>15.37</v>
      </c>
      <c r="E1178" s="122">
        <v>15.63</v>
      </c>
      <c r="F1178" s="122">
        <v>12.298494</v>
      </c>
      <c r="G1178" s="197">
        <v>95600</v>
      </c>
      <c r="H1178" s="198">
        <f>IF(AND(E1177&gt;=H1177,E1178&gt;=E1177),E1177*(1+'Trading Model'!$E$13),IF(AND(E1178&lt;E1177,E1177&gt;=H1177),E1178*(1+'Trading Model'!$E$13),H1177))</f>
        <v>27.698998950000004</v>
      </c>
      <c r="I1178" s="198">
        <f>IF(K1178&gt;0,E1178*(1-'Trading Model'!E1188),IF(E1178&lt;I1177,I1177*(1-'Trading Model'!$E$14),I1177))</f>
        <v>8.9840153609188427</v>
      </c>
      <c r="J1178" s="198">
        <f t="shared" si="151"/>
        <v>0</v>
      </c>
      <c r="K1178" s="198">
        <f t="shared" si="146"/>
        <v>0</v>
      </c>
      <c r="L1178" s="198">
        <f>COUNTIF(J1178:K1178,"&lt;&gt;0")*-'Trading Model'!$E$15</f>
        <v>0</v>
      </c>
      <c r="M1178" s="198">
        <f t="shared" si="144"/>
        <v>0</v>
      </c>
      <c r="N1178" s="75">
        <f t="shared" si="147"/>
        <v>45</v>
      </c>
      <c r="O1178" s="202">
        <f t="shared" si="148"/>
        <v>0</v>
      </c>
      <c r="P1178" s="199">
        <f t="shared" si="145"/>
        <v>0</v>
      </c>
      <c r="Q1178" s="203">
        <f t="shared" si="149"/>
        <v>42.400000000001739</v>
      </c>
      <c r="R1178" s="160" t="s">
        <v>55</v>
      </c>
      <c r="S1178" s="201">
        <f t="shared" si="150"/>
        <v>9.6899224806201723E-3</v>
      </c>
    </row>
    <row r="1179" spans="1:19">
      <c r="A1179" s="196">
        <v>41680</v>
      </c>
      <c r="B1179" s="122">
        <v>15.68</v>
      </c>
      <c r="C1179" s="122">
        <v>15.68</v>
      </c>
      <c r="D1179" s="122">
        <v>15.08</v>
      </c>
      <c r="E1179" s="122">
        <v>15.19</v>
      </c>
      <c r="F1179" s="122">
        <v>11.952280999999999</v>
      </c>
      <c r="G1179" s="197">
        <v>100000</v>
      </c>
      <c r="H1179" s="198">
        <f>IF(AND(E1178&gt;=H1178,E1179&gt;=E1178),E1178*(1+'Trading Model'!$E$13),IF(AND(E1179&lt;E1178,E1178&gt;=H1178),E1179*(1+'Trading Model'!$E$13),H1178))</f>
        <v>27.698998950000004</v>
      </c>
      <c r="I1179" s="198">
        <f>IF(K1179&gt;0,E1179*(1-'Trading Model'!E1189),IF(E1179&lt;I1178,I1178*(1-'Trading Model'!$E$14),I1178))</f>
        <v>8.9840153609188427</v>
      </c>
      <c r="J1179" s="198">
        <f t="shared" si="151"/>
        <v>0</v>
      </c>
      <c r="K1179" s="198">
        <f t="shared" si="146"/>
        <v>0</v>
      </c>
      <c r="L1179" s="198">
        <f>COUNTIF(J1179:K1179,"&lt;&gt;0")*-'Trading Model'!$E$15</f>
        <v>0</v>
      </c>
      <c r="M1179" s="198">
        <f t="shared" si="144"/>
        <v>0</v>
      </c>
      <c r="N1179" s="75">
        <f t="shared" si="147"/>
        <v>45</v>
      </c>
      <c r="O1179" s="202">
        <f t="shared" si="148"/>
        <v>0</v>
      </c>
      <c r="P1179" s="199">
        <f t="shared" si="145"/>
        <v>0</v>
      </c>
      <c r="Q1179" s="203">
        <f t="shared" si="149"/>
        <v>42.300000000001738</v>
      </c>
      <c r="R1179" s="203" t="s">
        <v>55</v>
      </c>
      <c r="S1179" s="201">
        <f t="shared" si="150"/>
        <v>-2.8150991682661664E-2</v>
      </c>
    </row>
    <row r="1180" spans="1:19">
      <c r="A1180" s="196">
        <v>41681</v>
      </c>
      <c r="B1180" s="122">
        <v>15.16</v>
      </c>
      <c r="C1180" s="122">
        <v>15.4</v>
      </c>
      <c r="D1180" s="122">
        <v>14.95</v>
      </c>
      <c r="E1180" s="122">
        <v>15.2</v>
      </c>
      <c r="F1180" s="122">
        <v>11.960150000000001</v>
      </c>
      <c r="G1180" s="197">
        <v>188900</v>
      </c>
      <c r="H1180" s="198">
        <f>IF(AND(E1179&gt;=H1179,E1180&gt;=E1179),E1179*(1+'Trading Model'!$E$13),IF(AND(E1180&lt;E1179,E1179&gt;=H1179),E1180*(1+'Trading Model'!$E$13),H1179))</f>
        <v>27.698998950000004</v>
      </c>
      <c r="I1180" s="198">
        <f>IF(K1180&gt;0,E1180*(1-'Trading Model'!E1190),IF(E1180&lt;I1179,I1179*(1-'Trading Model'!$E$14),I1179))</f>
        <v>8.9840153609188427</v>
      </c>
      <c r="J1180" s="198">
        <f t="shared" si="151"/>
        <v>0</v>
      </c>
      <c r="K1180" s="198">
        <f t="shared" si="146"/>
        <v>0</v>
      </c>
      <c r="L1180" s="198">
        <f>COUNTIF(J1180:K1180,"&lt;&gt;0")*-'Trading Model'!$E$15</f>
        <v>0</v>
      </c>
      <c r="M1180" s="198">
        <f t="shared" si="144"/>
        <v>0</v>
      </c>
      <c r="N1180" s="75">
        <f t="shared" si="147"/>
        <v>45</v>
      </c>
      <c r="O1180" s="202">
        <f t="shared" si="148"/>
        <v>0</v>
      </c>
      <c r="P1180" s="199">
        <f t="shared" si="145"/>
        <v>0</v>
      </c>
      <c r="Q1180" s="203">
        <f t="shared" si="149"/>
        <v>42.300000000001738</v>
      </c>
      <c r="R1180" s="203" t="s">
        <v>55</v>
      </c>
      <c r="S1180" s="201">
        <f t="shared" si="150"/>
        <v>6.5832784726782556E-4</v>
      </c>
    </row>
    <row r="1181" spans="1:19">
      <c r="A1181" s="196">
        <v>41682</v>
      </c>
      <c r="B1181" s="122">
        <v>15.3</v>
      </c>
      <c r="C1181" s="122">
        <v>16.469999000000001</v>
      </c>
      <c r="D1181" s="122">
        <v>15.3</v>
      </c>
      <c r="E1181" s="122">
        <v>15.97</v>
      </c>
      <c r="F1181" s="122">
        <v>12.566025</v>
      </c>
      <c r="G1181" s="197">
        <v>282500</v>
      </c>
      <c r="H1181" s="198">
        <f>IF(AND(E1180&gt;=H1180,E1181&gt;=E1180),E1180*(1+'Trading Model'!$E$13),IF(AND(E1181&lt;E1180,E1180&gt;=H1180),E1181*(1+'Trading Model'!$E$13),H1180))</f>
        <v>27.698998950000004</v>
      </c>
      <c r="I1181" s="198">
        <f>IF(K1181&gt;0,E1181*(1-'Trading Model'!E1191),IF(E1181&lt;I1180,I1180*(1-'Trading Model'!$E$14),I1180))</f>
        <v>8.9840153609188427</v>
      </c>
      <c r="J1181" s="198">
        <f t="shared" si="151"/>
        <v>0</v>
      </c>
      <c r="K1181" s="198">
        <f t="shared" si="146"/>
        <v>0</v>
      </c>
      <c r="L1181" s="198">
        <f>COUNTIF(J1181:K1181,"&lt;&gt;0")*-'Trading Model'!$E$15</f>
        <v>0</v>
      </c>
      <c r="M1181" s="198">
        <f t="shared" si="144"/>
        <v>0</v>
      </c>
      <c r="N1181" s="75">
        <f t="shared" si="147"/>
        <v>45</v>
      </c>
      <c r="O1181" s="202">
        <f t="shared" si="148"/>
        <v>0</v>
      </c>
      <c r="P1181" s="199">
        <f t="shared" si="145"/>
        <v>0</v>
      </c>
      <c r="Q1181" s="203">
        <f t="shared" si="149"/>
        <v>42.300000000001738</v>
      </c>
      <c r="R1181" s="203" t="s">
        <v>55</v>
      </c>
      <c r="S1181" s="201">
        <f t="shared" si="150"/>
        <v>5.0657894736842124E-2</v>
      </c>
    </row>
    <row r="1182" spans="1:19">
      <c r="A1182" s="196">
        <v>41683</v>
      </c>
      <c r="B1182" s="122">
        <v>15.74</v>
      </c>
      <c r="C1182" s="122">
        <v>16.200001</v>
      </c>
      <c r="D1182" s="122">
        <v>15.65</v>
      </c>
      <c r="E1182" s="122">
        <v>16.16</v>
      </c>
      <c r="F1182" s="122">
        <v>12.715527</v>
      </c>
      <c r="G1182" s="197">
        <v>146700</v>
      </c>
      <c r="H1182" s="198">
        <f>IF(AND(E1181&gt;=H1181,E1182&gt;=E1181),E1181*(1+'Trading Model'!$E$13),IF(AND(E1182&lt;E1181,E1181&gt;=H1181),E1182*(1+'Trading Model'!$E$13),H1181))</f>
        <v>27.698998950000004</v>
      </c>
      <c r="I1182" s="198">
        <f>IF(K1182&gt;0,E1182*(1-'Trading Model'!E1192),IF(E1182&lt;I1181,I1181*(1-'Trading Model'!$E$14),I1181))</f>
        <v>8.9840153609188427</v>
      </c>
      <c r="J1182" s="198">
        <f t="shared" si="151"/>
        <v>0</v>
      </c>
      <c r="K1182" s="198">
        <f t="shared" si="146"/>
        <v>0</v>
      </c>
      <c r="L1182" s="198">
        <f>COUNTIF(J1182:K1182,"&lt;&gt;0")*-'Trading Model'!$E$15</f>
        <v>0</v>
      </c>
      <c r="M1182" s="198">
        <f t="shared" si="144"/>
        <v>0</v>
      </c>
      <c r="N1182" s="75">
        <f t="shared" si="147"/>
        <v>45</v>
      </c>
      <c r="O1182" s="202">
        <f t="shared" si="148"/>
        <v>0</v>
      </c>
      <c r="P1182" s="199">
        <f t="shared" si="145"/>
        <v>0</v>
      </c>
      <c r="Q1182" s="203">
        <f t="shared" si="149"/>
        <v>42.300000000001738</v>
      </c>
      <c r="R1182" s="201">
        <f>E1182/B1178-1</f>
        <v>4.2580645161290231E-2</v>
      </c>
      <c r="S1182" s="201">
        <f t="shared" si="150"/>
        <v>1.1897307451471439E-2</v>
      </c>
    </row>
    <row r="1183" spans="1:19">
      <c r="A1183" s="196">
        <v>41684</v>
      </c>
      <c r="B1183" s="122">
        <v>16.200001</v>
      </c>
      <c r="C1183" s="122">
        <v>17.399999999999999</v>
      </c>
      <c r="D1183" s="122">
        <v>16.200001</v>
      </c>
      <c r="E1183" s="122">
        <v>17.379999000000002</v>
      </c>
      <c r="F1183" s="122">
        <v>13.675485999999999</v>
      </c>
      <c r="G1183" s="197">
        <v>310100</v>
      </c>
      <c r="H1183" s="198">
        <f>IF(AND(E1182&gt;=H1182,E1183&gt;=E1182),E1182*(1+'Trading Model'!$E$13),IF(AND(E1183&lt;E1182,E1182&gt;=H1182),E1183*(1+'Trading Model'!$E$13),H1182))</f>
        <v>27.698998950000004</v>
      </c>
      <c r="I1183" s="198">
        <f>IF(K1183&gt;0,E1183*(1-'Trading Model'!E1193),IF(E1183&lt;I1182,I1182*(1-'Trading Model'!$E$14),I1182))</f>
        <v>8.9840153609188427</v>
      </c>
      <c r="J1183" s="198">
        <f t="shared" si="151"/>
        <v>0</v>
      </c>
      <c r="K1183" s="198">
        <f t="shared" si="146"/>
        <v>0</v>
      </c>
      <c r="L1183" s="198">
        <f>COUNTIF(J1183:K1183,"&lt;&gt;0")*-'Trading Model'!$E$15</f>
        <v>0</v>
      </c>
      <c r="M1183" s="198">
        <f t="shared" si="144"/>
        <v>0</v>
      </c>
      <c r="N1183" s="75">
        <f t="shared" si="147"/>
        <v>45</v>
      </c>
      <c r="O1183" s="202">
        <f t="shared" si="148"/>
        <v>0</v>
      </c>
      <c r="P1183" s="199">
        <f t="shared" si="145"/>
        <v>0</v>
      </c>
      <c r="Q1183" s="203">
        <f t="shared" si="149"/>
        <v>42.300000000001738</v>
      </c>
      <c r="R1183" s="160" t="s">
        <v>55</v>
      </c>
      <c r="S1183" s="201">
        <f t="shared" si="150"/>
        <v>7.5494987623762499E-2</v>
      </c>
    </row>
    <row r="1184" spans="1:19">
      <c r="A1184" s="196">
        <v>41688</v>
      </c>
      <c r="B1184" s="122">
        <v>17.239999999999998</v>
      </c>
      <c r="C1184" s="122">
        <v>17.350000000000001</v>
      </c>
      <c r="D1184" s="122">
        <v>16.799999</v>
      </c>
      <c r="E1184" s="122">
        <v>17.16</v>
      </c>
      <c r="F1184" s="122">
        <v>13.502378</v>
      </c>
      <c r="G1184" s="197">
        <v>203800</v>
      </c>
      <c r="H1184" s="198">
        <f>IF(AND(E1183&gt;=H1183,E1184&gt;=E1183),E1183*(1+'Trading Model'!$E$13),IF(AND(E1184&lt;E1183,E1183&gt;=H1183),E1184*(1+'Trading Model'!$E$13),H1183))</f>
        <v>27.698998950000004</v>
      </c>
      <c r="I1184" s="198">
        <f>IF(K1184&gt;0,E1184*(1-'Trading Model'!E1194),IF(E1184&lt;I1183,I1183*(1-'Trading Model'!$E$14),I1183))</f>
        <v>8.9840153609188427</v>
      </c>
      <c r="J1184" s="198">
        <f t="shared" si="151"/>
        <v>0</v>
      </c>
      <c r="K1184" s="198">
        <f t="shared" si="146"/>
        <v>0</v>
      </c>
      <c r="L1184" s="198">
        <f>COUNTIF(J1184:K1184,"&lt;&gt;0")*-'Trading Model'!$E$15</f>
        <v>0</v>
      </c>
      <c r="M1184" s="198">
        <f t="shared" si="144"/>
        <v>0</v>
      </c>
      <c r="N1184" s="75">
        <f t="shared" si="147"/>
        <v>45</v>
      </c>
      <c r="O1184" s="202">
        <f t="shared" si="148"/>
        <v>0</v>
      </c>
      <c r="P1184" s="199">
        <f t="shared" si="145"/>
        <v>0</v>
      </c>
      <c r="Q1184" s="203">
        <f t="shared" si="149"/>
        <v>42.200000000001737</v>
      </c>
      <c r="R1184" s="203" t="s">
        <v>55</v>
      </c>
      <c r="S1184" s="201">
        <f t="shared" si="150"/>
        <v>-1.2658171039020227E-2</v>
      </c>
    </row>
    <row r="1185" spans="1:19">
      <c r="A1185" s="196">
        <v>41689</v>
      </c>
      <c r="B1185" s="122">
        <v>17.059999000000001</v>
      </c>
      <c r="C1185" s="122">
        <v>17.149999999999999</v>
      </c>
      <c r="D1185" s="122">
        <v>16.73</v>
      </c>
      <c r="E1185" s="122">
        <v>16.73</v>
      </c>
      <c r="F1185" s="122">
        <v>13.16403</v>
      </c>
      <c r="G1185" s="197">
        <v>246500</v>
      </c>
      <c r="H1185" s="198">
        <f>IF(AND(E1184&gt;=H1184,E1185&gt;=E1184),E1184*(1+'Trading Model'!$E$13),IF(AND(E1185&lt;E1184,E1184&gt;=H1184),E1185*(1+'Trading Model'!$E$13),H1184))</f>
        <v>27.698998950000004</v>
      </c>
      <c r="I1185" s="198">
        <f>IF(K1185&gt;0,E1185*(1-'Trading Model'!E1195),IF(E1185&lt;I1184,I1184*(1-'Trading Model'!$E$14),I1184))</f>
        <v>8.9840153609188427</v>
      </c>
      <c r="J1185" s="198">
        <f t="shared" si="151"/>
        <v>0</v>
      </c>
      <c r="K1185" s="198">
        <f t="shared" si="146"/>
        <v>0</v>
      </c>
      <c r="L1185" s="198">
        <f>COUNTIF(J1185:K1185,"&lt;&gt;0")*-'Trading Model'!$E$15</f>
        <v>0</v>
      </c>
      <c r="M1185" s="198">
        <f t="shared" si="144"/>
        <v>0</v>
      </c>
      <c r="N1185" s="75">
        <f t="shared" si="147"/>
        <v>45</v>
      </c>
      <c r="O1185" s="202">
        <f t="shared" si="148"/>
        <v>0</v>
      </c>
      <c r="P1185" s="199">
        <f t="shared" si="145"/>
        <v>0</v>
      </c>
      <c r="Q1185" s="203">
        <f t="shared" si="149"/>
        <v>42.100000000001735</v>
      </c>
      <c r="R1185" s="203" t="s">
        <v>55</v>
      </c>
      <c r="S1185" s="201">
        <f t="shared" si="150"/>
        <v>-2.505827505827507E-2</v>
      </c>
    </row>
    <row r="1186" spans="1:19">
      <c r="A1186" s="196">
        <v>41690</v>
      </c>
      <c r="B1186" s="122">
        <v>16.68</v>
      </c>
      <c r="C1186" s="122">
        <v>17.079999999999998</v>
      </c>
      <c r="D1186" s="122">
        <v>16.579999999999998</v>
      </c>
      <c r="E1186" s="122">
        <v>17.040001</v>
      </c>
      <c r="F1186" s="122">
        <v>13.407957</v>
      </c>
      <c r="G1186" s="197">
        <v>98300</v>
      </c>
      <c r="H1186" s="198">
        <f>IF(AND(E1185&gt;=H1185,E1186&gt;=E1185),E1185*(1+'Trading Model'!$E$13),IF(AND(E1186&lt;E1185,E1185&gt;=H1185),E1186*(1+'Trading Model'!$E$13),H1185))</f>
        <v>27.698998950000004</v>
      </c>
      <c r="I1186" s="198">
        <f>IF(K1186&gt;0,E1186*(1-'Trading Model'!E1196),IF(E1186&lt;I1185,I1185*(1-'Trading Model'!$E$14),I1185))</f>
        <v>8.9840153609188427</v>
      </c>
      <c r="J1186" s="198">
        <f t="shared" si="151"/>
        <v>0</v>
      </c>
      <c r="K1186" s="198">
        <f t="shared" si="146"/>
        <v>0</v>
      </c>
      <c r="L1186" s="198">
        <f>COUNTIF(J1186:K1186,"&lt;&gt;0")*-'Trading Model'!$E$15</f>
        <v>0</v>
      </c>
      <c r="M1186" s="198">
        <f t="shared" si="144"/>
        <v>0</v>
      </c>
      <c r="N1186" s="75">
        <f t="shared" si="147"/>
        <v>45</v>
      </c>
      <c r="O1186" s="202">
        <f t="shared" si="148"/>
        <v>0</v>
      </c>
      <c r="P1186" s="199">
        <f t="shared" si="145"/>
        <v>0</v>
      </c>
      <c r="Q1186" s="203">
        <f t="shared" si="149"/>
        <v>42.100000000001735</v>
      </c>
      <c r="R1186" s="203" t="s">
        <v>55</v>
      </c>
      <c r="S1186" s="201">
        <f t="shared" si="150"/>
        <v>1.8529647340107536E-2</v>
      </c>
    </row>
    <row r="1187" spans="1:19">
      <c r="A1187" s="196">
        <v>41691</v>
      </c>
      <c r="B1187" s="122">
        <v>17.139999</v>
      </c>
      <c r="C1187" s="122">
        <v>17.25</v>
      </c>
      <c r="D1187" s="122">
        <v>16.670000000000002</v>
      </c>
      <c r="E1187" s="122">
        <v>16.829999999999998</v>
      </c>
      <c r="F1187" s="122">
        <v>13.242717000000001</v>
      </c>
      <c r="G1187" s="197">
        <v>127600</v>
      </c>
      <c r="H1187" s="198">
        <f>IF(AND(E1186&gt;=H1186,E1187&gt;=E1186),E1186*(1+'Trading Model'!$E$13),IF(AND(E1187&lt;E1186,E1186&gt;=H1186),E1187*(1+'Trading Model'!$E$13),H1186))</f>
        <v>27.698998950000004</v>
      </c>
      <c r="I1187" s="198">
        <f>IF(K1187&gt;0,E1187*(1-'Trading Model'!E1197),IF(E1187&lt;I1186,I1186*(1-'Trading Model'!$E$14),I1186))</f>
        <v>8.9840153609188427</v>
      </c>
      <c r="J1187" s="198">
        <f t="shared" si="151"/>
        <v>0</v>
      </c>
      <c r="K1187" s="198">
        <f t="shared" si="146"/>
        <v>0</v>
      </c>
      <c r="L1187" s="198">
        <f>COUNTIF(J1187:K1187,"&lt;&gt;0")*-'Trading Model'!$E$15</f>
        <v>0</v>
      </c>
      <c r="M1187" s="198">
        <f t="shared" si="144"/>
        <v>0</v>
      </c>
      <c r="N1187" s="75">
        <f t="shared" si="147"/>
        <v>45</v>
      </c>
      <c r="O1187" s="202">
        <f t="shared" si="148"/>
        <v>0</v>
      </c>
      <c r="P1187" s="199">
        <f t="shared" si="145"/>
        <v>0</v>
      </c>
      <c r="Q1187" s="203">
        <f t="shared" si="149"/>
        <v>42.000000000001734</v>
      </c>
      <c r="R1187" s="201">
        <f>E1187/B1183-1</f>
        <v>3.8888824759949037E-2</v>
      </c>
      <c r="S1187" s="201">
        <f t="shared" si="150"/>
        <v>-1.232400162417846E-2</v>
      </c>
    </row>
    <row r="1188" spans="1:19">
      <c r="A1188" s="196">
        <v>41694</v>
      </c>
      <c r="B1188" s="122">
        <v>16.899999999999999</v>
      </c>
      <c r="C1188" s="122">
        <v>17.010000000000002</v>
      </c>
      <c r="D1188" s="122">
        <v>16.700001</v>
      </c>
      <c r="E1188" s="122">
        <v>16.98</v>
      </c>
      <c r="F1188" s="122">
        <v>13.360744</v>
      </c>
      <c r="G1188" s="197">
        <v>94900</v>
      </c>
      <c r="H1188" s="198">
        <f>IF(AND(E1187&gt;=H1187,E1188&gt;=E1187),E1187*(1+'Trading Model'!$E$13),IF(AND(E1188&lt;E1187,E1187&gt;=H1187),E1188*(1+'Trading Model'!$E$13),H1187))</f>
        <v>27.698998950000004</v>
      </c>
      <c r="I1188" s="198">
        <f>IF(K1188&gt;0,E1188*(1-'Trading Model'!E1198),IF(E1188&lt;I1187,I1187*(1-'Trading Model'!$E$14),I1187))</f>
        <v>8.9840153609188427</v>
      </c>
      <c r="J1188" s="198">
        <f t="shared" si="151"/>
        <v>0</v>
      </c>
      <c r="K1188" s="198">
        <f t="shared" si="146"/>
        <v>0</v>
      </c>
      <c r="L1188" s="198">
        <f>COUNTIF(J1188:K1188,"&lt;&gt;0")*-'Trading Model'!$E$15</f>
        <v>0</v>
      </c>
      <c r="M1188" s="198">
        <f t="shared" si="144"/>
        <v>0</v>
      </c>
      <c r="N1188" s="75">
        <f t="shared" si="147"/>
        <v>45</v>
      </c>
      <c r="O1188" s="202">
        <f t="shared" si="148"/>
        <v>0</v>
      </c>
      <c r="P1188" s="199">
        <f t="shared" si="145"/>
        <v>0</v>
      </c>
      <c r="Q1188" s="203">
        <f t="shared" si="149"/>
        <v>42.000000000001734</v>
      </c>
      <c r="R1188" s="160" t="s">
        <v>55</v>
      </c>
      <c r="S1188" s="201">
        <f t="shared" si="150"/>
        <v>8.9126559714796105E-3</v>
      </c>
    </row>
    <row r="1189" spans="1:19">
      <c r="A1189" s="196">
        <v>41695</v>
      </c>
      <c r="B1189" s="122">
        <v>17</v>
      </c>
      <c r="C1189" s="122">
        <v>17</v>
      </c>
      <c r="D1189" s="122">
        <v>16.299999</v>
      </c>
      <c r="E1189" s="122">
        <v>16.549999</v>
      </c>
      <c r="F1189" s="122">
        <v>13.022398000000001</v>
      </c>
      <c r="G1189" s="197">
        <v>141200</v>
      </c>
      <c r="H1189" s="198">
        <f>IF(AND(E1188&gt;=H1188,E1189&gt;=E1188),E1188*(1+'Trading Model'!$E$13),IF(AND(E1189&lt;E1188,E1188&gt;=H1188),E1189*(1+'Trading Model'!$E$13),H1188))</f>
        <v>27.698998950000004</v>
      </c>
      <c r="I1189" s="198">
        <f>IF(K1189&gt;0,E1189*(1-'Trading Model'!E1199),IF(E1189&lt;I1188,I1188*(1-'Trading Model'!$E$14),I1188))</f>
        <v>8.9840153609188427</v>
      </c>
      <c r="J1189" s="198">
        <f t="shared" si="151"/>
        <v>0</v>
      </c>
      <c r="K1189" s="198">
        <f t="shared" si="146"/>
        <v>0</v>
      </c>
      <c r="L1189" s="198">
        <f>COUNTIF(J1189:K1189,"&lt;&gt;0")*-'Trading Model'!$E$15</f>
        <v>0</v>
      </c>
      <c r="M1189" s="198">
        <f t="shared" si="144"/>
        <v>0</v>
      </c>
      <c r="N1189" s="75">
        <f t="shared" si="147"/>
        <v>45</v>
      </c>
      <c r="O1189" s="202">
        <f t="shared" si="148"/>
        <v>0</v>
      </c>
      <c r="P1189" s="199">
        <f t="shared" si="145"/>
        <v>0</v>
      </c>
      <c r="Q1189" s="203">
        <f t="shared" si="149"/>
        <v>41.900000000001732</v>
      </c>
      <c r="R1189" s="203" t="s">
        <v>55</v>
      </c>
      <c r="S1189" s="201">
        <f t="shared" si="150"/>
        <v>-2.5323969375736222E-2</v>
      </c>
    </row>
    <row r="1190" spans="1:19">
      <c r="A1190" s="196">
        <v>41696</v>
      </c>
      <c r="B1190" s="122">
        <v>16.510000000000002</v>
      </c>
      <c r="C1190" s="122">
        <v>16.790001</v>
      </c>
      <c r="D1190" s="122">
        <v>16.299999</v>
      </c>
      <c r="E1190" s="122">
        <v>16.48</v>
      </c>
      <c r="F1190" s="122">
        <v>12.967320000000001</v>
      </c>
      <c r="G1190" s="197">
        <v>141600</v>
      </c>
      <c r="H1190" s="198">
        <f>IF(AND(E1189&gt;=H1189,E1190&gt;=E1189),E1189*(1+'Trading Model'!$E$13),IF(AND(E1190&lt;E1189,E1189&gt;=H1189),E1190*(1+'Trading Model'!$E$13),H1189))</f>
        <v>27.698998950000004</v>
      </c>
      <c r="I1190" s="198">
        <f>IF(K1190&gt;0,E1190*(1-'Trading Model'!E1200),IF(E1190&lt;I1189,I1189*(1-'Trading Model'!$E$14),I1189))</f>
        <v>8.9840153609188427</v>
      </c>
      <c r="J1190" s="198">
        <f t="shared" si="151"/>
        <v>0</v>
      </c>
      <c r="K1190" s="198">
        <f t="shared" si="146"/>
        <v>0</v>
      </c>
      <c r="L1190" s="198">
        <f>COUNTIF(J1190:K1190,"&lt;&gt;0")*-'Trading Model'!$E$15</f>
        <v>0</v>
      </c>
      <c r="M1190" s="198">
        <f t="shared" si="144"/>
        <v>0</v>
      </c>
      <c r="N1190" s="75">
        <f t="shared" si="147"/>
        <v>45</v>
      </c>
      <c r="O1190" s="202">
        <f t="shared" si="148"/>
        <v>0</v>
      </c>
      <c r="P1190" s="199">
        <f t="shared" si="145"/>
        <v>0</v>
      </c>
      <c r="Q1190" s="203">
        <f t="shared" si="149"/>
        <v>41.800000000001731</v>
      </c>
      <c r="R1190" s="203" t="s">
        <v>55</v>
      </c>
      <c r="S1190" s="201">
        <f t="shared" si="150"/>
        <v>-4.229547083356322E-3</v>
      </c>
    </row>
    <row r="1191" spans="1:19">
      <c r="A1191" s="196">
        <v>41697</v>
      </c>
      <c r="B1191" s="122">
        <v>16.57</v>
      </c>
      <c r="C1191" s="122">
        <v>17.149999999999999</v>
      </c>
      <c r="D1191" s="122">
        <v>16.420000000000002</v>
      </c>
      <c r="E1191" s="122">
        <v>16.959999</v>
      </c>
      <c r="F1191" s="122">
        <v>13.345008999999999</v>
      </c>
      <c r="G1191" s="197">
        <v>236700</v>
      </c>
      <c r="H1191" s="198">
        <f>IF(AND(E1190&gt;=H1190,E1191&gt;=E1190),E1190*(1+'Trading Model'!$E$13),IF(AND(E1191&lt;E1190,E1190&gt;=H1190),E1191*(1+'Trading Model'!$E$13),H1190))</f>
        <v>27.698998950000004</v>
      </c>
      <c r="I1191" s="198">
        <f>IF(K1191&gt;0,E1191*(1-'Trading Model'!E1201),IF(E1191&lt;I1190,I1190*(1-'Trading Model'!$E$14),I1190))</f>
        <v>8.9840153609188427</v>
      </c>
      <c r="J1191" s="198">
        <f t="shared" si="151"/>
        <v>0</v>
      </c>
      <c r="K1191" s="198">
        <f t="shared" si="146"/>
        <v>0</v>
      </c>
      <c r="L1191" s="198">
        <f>COUNTIF(J1191:K1191,"&lt;&gt;0")*-'Trading Model'!$E$15</f>
        <v>0</v>
      </c>
      <c r="M1191" s="198">
        <f t="shared" si="144"/>
        <v>0</v>
      </c>
      <c r="N1191" s="75">
        <f t="shared" si="147"/>
        <v>45</v>
      </c>
      <c r="O1191" s="202">
        <f t="shared" si="148"/>
        <v>0</v>
      </c>
      <c r="P1191" s="199">
        <f t="shared" si="145"/>
        <v>0</v>
      </c>
      <c r="Q1191" s="203">
        <f t="shared" si="149"/>
        <v>41.800000000001731</v>
      </c>
      <c r="R1191" s="203" t="s">
        <v>55</v>
      </c>
      <c r="S1191" s="201">
        <f t="shared" si="150"/>
        <v>2.9126152912621217E-2</v>
      </c>
    </row>
    <row r="1192" spans="1:19">
      <c r="A1192" s="196">
        <v>41698</v>
      </c>
      <c r="B1192" s="122">
        <v>16.870000999999998</v>
      </c>
      <c r="C1192" s="122">
        <v>17.18</v>
      </c>
      <c r="D1192" s="122">
        <v>16.360001</v>
      </c>
      <c r="E1192" s="122">
        <v>16.93</v>
      </c>
      <c r="F1192" s="122">
        <v>13.321403</v>
      </c>
      <c r="G1192" s="197">
        <v>176900</v>
      </c>
      <c r="H1192" s="198">
        <f>IF(AND(E1191&gt;=H1191,E1192&gt;=E1191),E1191*(1+'Trading Model'!$E$13),IF(AND(E1192&lt;E1191,E1191&gt;=H1191),E1192*(1+'Trading Model'!$E$13),H1191))</f>
        <v>27.698998950000004</v>
      </c>
      <c r="I1192" s="198">
        <f>IF(K1192&gt;0,E1192*(1-'Trading Model'!E1202),IF(E1192&lt;I1191,I1191*(1-'Trading Model'!$E$14),I1191))</f>
        <v>8.9840153609188427</v>
      </c>
      <c r="J1192" s="198">
        <f t="shared" si="151"/>
        <v>0</v>
      </c>
      <c r="K1192" s="198">
        <f t="shared" si="146"/>
        <v>0</v>
      </c>
      <c r="L1192" s="198">
        <f>COUNTIF(J1192:K1192,"&lt;&gt;0")*-'Trading Model'!$E$15</f>
        <v>0</v>
      </c>
      <c r="M1192" s="198">
        <f t="shared" si="144"/>
        <v>0</v>
      </c>
      <c r="N1192" s="75">
        <f t="shared" si="147"/>
        <v>45</v>
      </c>
      <c r="O1192" s="202">
        <f t="shared" si="148"/>
        <v>0</v>
      </c>
      <c r="P1192" s="199">
        <f t="shared" si="145"/>
        <v>0</v>
      </c>
      <c r="Q1192" s="203">
        <f t="shared" si="149"/>
        <v>41.700000000001729</v>
      </c>
      <c r="R1192" s="201">
        <f>E1192/B1188-1</f>
        <v>1.7751479289942473E-3</v>
      </c>
      <c r="S1192" s="201">
        <f t="shared" si="150"/>
        <v>-1.7688090665571865E-3</v>
      </c>
    </row>
    <row r="1193" spans="1:19">
      <c r="A1193" s="196">
        <v>41701</v>
      </c>
      <c r="B1193" s="122">
        <v>16.639999</v>
      </c>
      <c r="C1193" s="122">
        <v>16.780000999999999</v>
      </c>
      <c r="D1193" s="122">
        <v>16.329999999999998</v>
      </c>
      <c r="E1193" s="122">
        <v>16.41</v>
      </c>
      <c r="F1193" s="122">
        <v>12.912240000000001</v>
      </c>
      <c r="G1193" s="197">
        <v>101800</v>
      </c>
      <c r="H1193" s="198">
        <f>IF(AND(E1192&gt;=H1192,E1193&gt;=E1192),E1192*(1+'Trading Model'!$E$13),IF(AND(E1193&lt;E1192,E1192&gt;=H1192),E1193*(1+'Trading Model'!$E$13),H1192))</f>
        <v>27.698998950000004</v>
      </c>
      <c r="I1193" s="198">
        <f>IF(K1193&gt;0,E1193*(1-'Trading Model'!E1203),IF(E1193&lt;I1192,I1192*(1-'Trading Model'!$E$14),I1192))</f>
        <v>8.9840153609188427</v>
      </c>
      <c r="J1193" s="198">
        <f t="shared" si="151"/>
        <v>0</v>
      </c>
      <c r="K1193" s="198">
        <f t="shared" si="146"/>
        <v>0</v>
      </c>
      <c r="L1193" s="198">
        <f>COUNTIF(J1193:K1193,"&lt;&gt;0")*-'Trading Model'!$E$15</f>
        <v>0</v>
      </c>
      <c r="M1193" s="198">
        <f t="shared" si="144"/>
        <v>0</v>
      </c>
      <c r="N1193" s="75">
        <f t="shared" si="147"/>
        <v>45</v>
      </c>
      <c r="O1193" s="202">
        <f t="shared" si="148"/>
        <v>0</v>
      </c>
      <c r="P1193" s="199">
        <f t="shared" si="145"/>
        <v>0</v>
      </c>
      <c r="Q1193" s="203">
        <f t="shared" si="149"/>
        <v>41.600000000001728</v>
      </c>
      <c r="R1193" s="160" t="s">
        <v>55</v>
      </c>
      <c r="S1193" s="201">
        <f t="shared" si="150"/>
        <v>-3.0714707619610149E-2</v>
      </c>
    </row>
    <row r="1194" spans="1:19">
      <c r="A1194" s="196">
        <v>41702</v>
      </c>
      <c r="B1194" s="122">
        <v>16.68</v>
      </c>
      <c r="C1194" s="122">
        <v>16.68</v>
      </c>
      <c r="D1194" s="122">
        <v>16.110001</v>
      </c>
      <c r="E1194" s="122">
        <v>16.16</v>
      </c>
      <c r="F1194" s="122">
        <v>12.715527</v>
      </c>
      <c r="G1194" s="197">
        <v>164200</v>
      </c>
      <c r="H1194" s="198">
        <f>IF(AND(E1193&gt;=H1193,E1194&gt;=E1193),E1193*(1+'Trading Model'!$E$13),IF(AND(E1194&lt;E1193,E1193&gt;=H1193),E1194*(1+'Trading Model'!$E$13),H1193))</f>
        <v>27.698998950000004</v>
      </c>
      <c r="I1194" s="198">
        <f>IF(K1194&gt;0,E1194*(1-'Trading Model'!E1204),IF(E1194&lt;I1193,I1193*(1-'Trading Model'!$E$14),I1193))</f>
        <v>8.9840153609188427</v>
      </c>
      <c r="J1194" s="198">
        <f t="shared" si="151"/>
        <v>0</v>
      </c>
      <c r="K1194" s="198">
        <f t="shared" si="146"/>
        <v>0</v>
      </c>
      <c r="L1194" s="198">
        <f>COUNTIF(J1194:K1194,"&lt;&gt;0")*-'Trading Model'!$E$15</f>
        <v>0</v>
      </c>
      <c r="M1194" s="198">
        <f t="shared" si="144"/>
        <v>0</v>
      </c>
      <c r="N1194" s="75">
        <f t="shared" si="147"/>
        <v>45</v>
      </c>
      <c r="O1194" s="202">
        <f t="shared" si="148"/>
        <v>0</v>
      </c>
      <c r="P1194" s="199">
        <f t="shared" si="145"/>
        <v>0</v>
      </c>
      <c r="Q1194" s="203">
        <f t="shared" si="149"/>
        <v>41.500000000001727</v>
      </c>
      <c r="R1194" s="203" t="s">
        <v>55</v>
      </c>
      <c r="S1194" s="201">
        <f t="shared" si="150"/>
        <v>-1.5234613040828737E-2</v>
      </c>
    </row>
    <row r="1195" spans="1:19">
      <c r="A1195" s="196">
        <v>41703</v>
      </c>
      <c r="B1195" s="122">
        <v>16.16</v>
      </c>
      <c r="C1195" s="122">
        <v>16.690000999999999</v>
      </c>
      <c r="D1195" s="122">
        <v>16.079999999999998</v>
      </c>
      <c r="E1195" s="122">
        <v>16.690000999999999</v>
      </c>
      <c r="F1195" s="122">
        <v>13.132559000000001</v>
      </c>
      <c r="G1195" s="197">
        <v>94500</v>
      </c>
      <c r="H1195" s="198">
        <f>IF(AND(E1194&gt;=H1194,E1195&gt;=E1194),E1194*(1+'Trading Model'!$E$13),IF(AND(E1195&lt;E1194,E1194&gt;=H1194),E1195*(1+'Trading Model'!$E$13),H1194))</f>
        <v>27.698998950000004</v>
      </c>
      <c r="I1195" s="198">
        <f>IF(K1195&gt;0,E1195*(1-'Trading Model'!E1205),IF(E1195&lt;I1194,I1194*(1-'Trading Model'!$E$14),I1194))</f>
        <v>8.9840153609188427</v>
      </c>
      <c r="J1195" s="198">
        <f t="shared" si="151"/>
        <v>0</v>
      </c>
      <c r="K1195" s="198">
        <f t="shared" si="146"/>
        <v>0</v>
      </c>
      <c r="L1195" s="198">
        <f>COUNTIF(J1195:K1195,"&lt;&gt;0")*-'Trading Model'!$E$15</f>
        <v>0</v>
      </c>
      <c r="M1195" s="198">
        <f t="shared" si="144"/>
        <v>0</v>
      </c>
      <c r="N1195" s="75">
        <f t="shared" si="147"/>
        <v>45</v>
      </c>
      <c r="O1195" s="202">
        <f t="shared" si="148"/>
        <v>0</v>
      </c>
      <c r="P1195" s="199">
        <f t="shared" si="145"/>
        <v>0</v>
      </c>
      <c r="Q1195" s="203">
        <f t="shared" si="149"/>
        <v>41.500000000001727</v>
      </c>
      <c r="R1195" s="203" t="s">
        <v>55</v>
      </c>
      <c r="S1195" s="201">
        <f t="shared" si="150"/>
        <v>3.2797091584158222E-2</v>
      </c>
    </row>
    <row r="1196" spans="1:19">
      <c r="A1196" s="196">
        <v>41704</v>
      </c>
      <c r="B1196" s="122">
        <v>16.82</v>
      </c>
      <c r="C1196" s="122">
        <v>17.149999999999999</v>
      </c>
      <c r="D1196" s="122">
        <v>16.639999</v>
      </c>
      <c r="E1196" s="122">
        <v>16.969999000000001</v>
      </c>
      <c r="F1196" s="122">
        <v>13.352876999999999</v>
      </c>
      <c r="G1196" s="197">
        <v>136300</v>
      </c>
      <c r="H1196" s="198">
        <f>IF(AND(E1195&gt;=H1195,E1196&gt;=E1195),E1195*(1+'Trading Model'!$E$13),IF(AND(E1196&lt;E1195,E1195&gt;=H1195),E1196*(1+'Trading Model'!$E$13),H1195))</f>
        <v>27.698998950000004</v>
      </c>
      <c r="I1196" s="198">
        <f>IF(K1196&gt;0,E1196*(1-'Trading Model'!E1206),IF(E1196&lt;I1195,I1195*(1-'Trading Model'!$E$14),I1195))</f>
        <v>8.9840153609188427</v>
      </c>
      <c r="J1196" s="198">
        <f t="shared" si="151"/>
        <v>0</v>
      </c>
      <c r="K1196" s="198">
        <f t="shared" si="146"/>
        <v>0</v>
      </c>
      <c r="L1196" s="198">
        <f>COUNTIF(J1196:K1196,"&lt;&gt;0")*-'Trading Model'!$E$15</f>
        <v>0</v>
      </c>
      <c r="M1196" s="198">
        <f t="shared" si="144"/>
        <v>0</v>
      </c>
      <c r="N1196" s="75">
        <f t="shared" si="147"/>
        <v>45</v>
      </c>
      <c r="O1196" s="202">
        <f t="shared" si="148"/>
        <v>0</v>
      </c>
      <c r="P1196" s="199">
        <f t="shared" si="145"/>
        <v>0</v>
      </c>
      <c r="Q1196" s="203">
        <f t="shared" si="149"/>
        <v>41.500000000001727</v>
      </c>
      <c r="R1196" s="203" t="s">
        <v>55</v>
      </c>
      <c r="S1196" s="201">
        <f t="shared" si="150"/>
        <v>1.6776392044554278E-2</v>
      </c>
    </row>
    <row r="1197" spans="1:19">
      <c r="A1197" s="196">
        <v>41705</v>
      </c>
      <c r="B1197" s="122">
        <v>16.93</v>
      </c>
      <c r="C1197" s="122">
        <v>17.040001</v>
      </c>
      <c r="D1197" s="122">
        <v>16.649999999999999</v>
      </c>
      <c r="E1197" s="122">
        <v>16.959999</v>
      </c>
      <c r="F1197" s="122">
        <v>13.345008999999999</v>
      </c>
      <c r="G1197" s="197">
        <v>169200</v>
      </c>
      <c r="H1197" s="198">
        <f>IF(AND(E1196&gt;=H1196,E1197&gt;=E1196),E1196*(1+'Trading Model'!$E$13),IF(AND(E1197&lt;E1196,E1196&gt;=H1196),E1197*(1+'Trading Model'!$E$13),H1196))</f>
        <v>27.698998950000004</v>
      </c>
      <c r="I1197" s="198">
        <f>IF(K1197&gt;0,E1197*(1-'Trading Model'!E1207),IF(E1197&lt;I1196,I1196*(1-'Trading Model'!$E$14),I1196))</f>
        <v>8.9840153609188427</v>
      </c>
      <c r="J1197" s="198">
        <f t="shared" si="151"/>
        <v>0</v>
      </c>
      <c r="K1197" s="198">
        <f t="shared" si="146"/>
        <v>0</v>
      </c>
      <c r="L1197" s="198">
        <f>COUNTIF(J1197:K1197,"&lt;&gt;0")*-'Trading Model'!$E$15</f>
        <v>0</v>
      </c>
      <c r="M1197" s="198">
        <f t="shared" si="144"/>
        <v>0</v>
      </c>
      <c r="N1197" s="75">
        <f t="shared" si="147"/>
        <v>45</v>
      </c>
      <c r="O1197" s="202">
        <f t="shared" si="148"/>
        <v>0</v>
      </c>
      <c r="P1197" s="199">
        <f t="shared" si="145"/>
        <v>0</v>
      </c>
      <c r="Q1197" s="203">
        <f t="shared" si="149"/>
        <v>41.400000000001725</v>
      </c>
      <c r="R1197" s="201">
        <f>E1197/B1193-1</f>
        <v>1.923077038646448E-2</v>
      </c>
      <c r="S1197" s="201">
        <f t="shared" si="150"/>
        <v>-5.8927522623908324E-4</v>
      </c>
    </row>
    <row r="1198" spans="1:19">
      <c r="A1198" s="196">
        <v>41708</v>
      </c>
      <c r="B1198" s="122">
        <v>16.780000999999999</v>
      </c>
      <c r="C1198" s="122">
        <v>16.940000999999999</v>
      </c>
      <c r="D1198" s="122">
        <v>16.549999</v>
      </c>
      <c r="E1198" s="122">
        <v>16.66</v>
      </c>
      <c r="F1198" s="122">
        <v>13.108952</v>
      </c>
      <c r="G1198" s="197">
        <v>125900</v>
      </c>
      <c r="H1198" s="198">
        <f>IF(AND(E1197&gt;=H1197,E1198&gt;=E1197),E1197*(1+'Trading Model'!$E$13),IF(AND(E1198&lt;E1197,E1197&gt;=H1197),E1198*(1+'Trading Model'!$E$13),H1197))</f>
        <v>27.698998950000004</v>
      </c>
      <c r="I1198" s="198">
        <f>IF(K1198&gt;0,E1198*(1-'Trading Model'!E1208),IF(E1198&lt;I1197,I1197*(1-'Trading Model'!$E$14),I1197))</f>
        <v>8.9840153609188427</v>
      </c>
      <c r="J1198" s="198">
        <f t="shared" si="151"/>
        <v>0</v>
      </c>
      <c r="K1198" s="198">
        <f t="shared" si="146"/>
        <v>0</v>
      </c>
      <c r="L1198" s="198">
        <f>COUNTIF(J1198:K1198,"&lt;&gt;0")*-'Trading Model'!$E$15</f>
        <v>0</v>
      </c>
      <c r="M1198" s="198">
        <f t="shared" si="144"/>
        <v>0</v>
      </c>
      <c r="N1198" s="75">
        <f t="shared" si="147"/>
        <v>45</v>
      </c>
      <c r="O1198" s="202">
        <f t="shared" si="148"/>
        <v>0</v>
      </c>
      <c r="P1198" s="199">
        <f t="shared" si="145"/>
        <v>0</v>
      </c>
      <c r="Q1198" s="203">
        <f t="shared" si="149"/>
        <v>41.300000000001724</v>
      </c>
      <c r="R1198" s="160" t="s">
        <v>55</v>
      </c>
      <c r="S1198" s="201">
        <f t="shared" si="150"/>
        <v>-1.7688621325980036E-2</v>
      </c>
    </row>
    <row r="1199" spans="1:19">
      <c r="A1199" s="196">
        <v>41709</v>
      </c>
      <c r="B1199" s="122">
        <v>16.77</v>
      </c>
      <c r="C1199" s="122">
        <v>16.77</v>
      </c>
      <c r="D1199" s="122">
        <v>16.299999</v>
      </c>
      <c r="E1199" s="122">
        <v>16.540001</v>
      </c>
      <c r="F1199" s="122">
        <v>13.014532000000001</v>
      </c>
      <c r="G1199" s="197">
        <v>163600</v>
      </c>
      <c r="H1199" s="198">
        <f>IF(AND(E1198&gt;=H1198,E1199&gt;=E1198),E1198*(1+'Trading Model'!$E$13),IF(AND(E1199&lt;E1198,E1198&gt;=H1198),E1199*(1+'Trading Model'!$E$13),H1198))</f>
        <v>27.698998950000004</v>
      </c>
      <c r="I1199" s="198">
        <f>IF(K1199&gt;0,E1199*(1-'Trading Model'!E1209),IF(E1199&lt;I1198,I1198*(1-'Trading Model'!$E$14),I1198))</f>
        <v>8.9840153609188427</v>
      </c>
      <c r="J1199" s="198">
        <f t="shared" si="151"/>
        <v>0</v>
      </c>
      <c r="K1199" s="198">
        <f t="shared" si="146"/>
        <v>0</v>
      </c>
      <c r="L1199" s="198">
        <f>COUNTIF(J1199:K1199,"&lt;&gt;0")*-'Trading Model'!$E$15</f>
        <v>0</v>
      </c>
      <c r="M1199" s="198">
        <f t="shared" si="144"/>
        <v>0</v>
      </c>
      <c r="N1199" s="75">
        <f t="shared" si="147"/>
        <v>45</v>
      </c>
      <c r="O1199" s="202">
        <f t="shared" si="148"/>
        <v>0</v>
      </c>
      <c r="P1199" s="199">
        <f t="shared" si="145"/>
        <v>0</v>
      </c>
      <c r="Q1199" s="203">
        <f t="shared" si="149"/>
        <v>41.200000000001722</v>
      </c>
      <c r="R1199" s="203" t="s">
        <v>55</v>
      </c>
      <c r="S1199" s="201">
        <f t="shared" si="150"/>
        <v>-7.2028211284513866E-3</v>
      </c>
    </row>
    <row r="1200" spans="1:19">
      <c r="A1200" s="196">
        <v>41710</v>
      </c>
      <c r="B1200" s="122">
        <v>16.41</v>
      </c>
      <c r="C1200" s="122">
        <v>16.510000000000002</v>
      </c>
      <c r="D1200" s="122">
        <v>16.149999999999999</v>
      </c>
      <c r="E1200" s="122">
        <v>16.32</v>
      </c>
      <c r="F1200" s="122">
        <v>12.841422</v>
      </c>
      <c r="G1200" s="197">
        <v>79100</v>
      </c>
      <c r="H1200" s="198">
        <f>IF(AND(E1199&gt;=H1199,E1200&gt;=E1199),E1199*(1+'Trading Model'!$E$13),IF(AND(E1200&lt;E1199,E1199&gt;=H1199),E1200*(1+'Trading Model'!$E$13),H1199))</f>
        <v>27.698998950000004</v>
      </c>
      <c r="I1200" s="198">
        <f>IF(K1200&gt;0,E1200*(1-'Trading Model'!E1210),IF(E1200&lt;I1199,I1199*(1-'Trading Model'!$E$14),I1199))</f>
        <v>8.9840153609188427</v>
      </c>
      <c r="J1200" s="198">
        <f t="shared" si="151"/>
        <v>0</v>
      </c>
      <c r="K1200" s="198">
        <f t="shared" si="146"/>
        <v>0</v>
      </c>
      <c r="L1200" s="198">
        <f>COUNTIF(J1200:K1200,"&lt;&gt;0")*-'Trading Model'!$E$15</f>
        <v>0</v>
      </c>
      <c r="M1200" s="198">
        <f t="shared" si="144"/>
        <v>0</v>
      </c>
      <c r="N1200" s="75">
        <f t="shared" si="147"/>
        <v>45</v>
      </c>
      <c r="O1200" s="202">
        <f t="shared" si="148"/>
        <v>0</v>
      </c>
      <c r="P1200" s="199">
        <f t="shared" si="145"/>
        <v>0</v>
      </c>
      <c r="Q1200" s="203">
        <f t="shared" si="149"/>
        <v>41.100000000001721</v>
      </c>
      <c r="R1200" s="203" t="s">
        <v>55</v>
      </c>
      <c r="S1200" s="201">
        <f t="shared" si="150"/>
        <v>-1.3301147926169987E-2</v>
      </c>
    </row>
    <row r="1201" spans="1:19">
      <c r="A1201" s="196">
        <v>41711</v>
      </c>
      <c r="B1201" s="122">
        <v>16.32</v>
      </c>
      <c r="C1201" s="122">
        <v>16.66</v>
      </c>
      <c r="D1201" s="122">
        <v>15.87</v>
      </c>
      <c r="E1201" s="122">
        <v>16.120000999999998</v>
      </c>
      <c r="F1201" s="122">
        <v>12.684051999999999</v>
      </c>
      <c r="G1201" s="197">
        <v>128400</v>
      </c>
      <c r="H1201" s="198">
        <f>IF(AND(E1200&gt;=H1200,E1201&gt;=E1200),E1200*(1+'Trading Model'!$E$13),IF(AND(E1201&lt;E1200,E1200&gt;=H1200),E1201*(1+'Trading Model'!$E$13),H1200))</f>
        <v>27.698998950000004</v>
      </c>
      <c r="I1201" s="198">
        <f>IF(K1201&gt;0,E1201*(1-'Trading Model'!E1211),IF(E1201&lt;I1200,I1200*(1-'Trading Model'!$E$14),I1200))</f>
        <v>8.9840153609188427</v>
      </c>
      <c r="J1201" s="198">
        <f t="shared" si="151"/>
        <v>0</v>
      </c>
      <c r="K1201" s="198">
        <f t="shared" si="146"/>
        <v>0</v>
      </c>
      <c r="L1201" s="198">
        <f>COUNTIF(J1201:K1201,"&lt;&gt;0")*-'Trading Model'!$E$15</f>
        <v>0</v>
      </c>
      <c r="M1201" s="198">
        <f t="shared" si="144"/>
        <v>0</v>
      </c>
      <c r="N1201" s="75">
        <f t="shared" si="147"/>
        <v>45</v>
      </c>
      <c r="O1201" s="202">
        <f t="shared" si="148"/>
        <v>0</v>
      </c>
      <c r="P1201" s="199">
        <f t="shared" si="145"/>
        <v>0</v>
      </c>
      <c r="Q1201" s="203">
        <f t="shared" si="149"/>
        <v>41.00000000000172</v>
      </c>
      <c r="R1201" s="203" t="s">
        <v>55</v>
      </c>
      <c r="S1201" s="201">
        <f t="shared" si="150"/>
        <v>-1.2254840686274582E-2</v>
      </c>
    </row>
    <row r="1202" spans="1:19">
      <c r="A1202" s="196">
        <v>41712</v>
      </c>
      <c r="B1202" s="122">
        <v>16.07</v>
      </c>
      <c r="C1202" s="122">
        <v>16.379999000000002</v>
      </c>
      <c r="D1202" s="122">
        <v>15.65</v>
      </c>
      <c r="E1202" s="122">
        <v>15.83</v>
      </c>
      <c r="F1202" s="122">
        <v>12.455868000000001</v>
      </c>
      <c r="G1202" s="197">
        <v>120400</v>
      </c>
      <c r="H1202" s="198">
        <f>IF(AND(E1201&gt;=H1201,E1202&gt;=E1201),E1201*(1+'Trading Model'!$E$13),IF(AND(E1202&lt;E1201,E1201&gt;=H1201),E1202*(1+'Trading Model'!$E$13),H1201))</f>
        <v>27.698998950000004</v>
      </c>
      <c r="I1202" s="198">
        <f>IF(K1202&gt;0,E1202*(1-'Trading Model'!E1212),IF(E1202&lt;I1201,I1201*(1-'Trading Model'!$E$14),I1201))</f>
        <v>8.9840153609188427</v>
      </c>
      <c r="J1202" s="198">
        <f t="shared" si="151"/>
        <v>0</v>
      </c>
      <c r="K1202" s="198">
        <f t="shared" si="146"/>
        <v>0</v>
      </c>
      <c r="L1202" s="198">
        <f>COUNTIF(J1202:K1202,"&lt;&gt;0")*-'Trading Model'!$E$15</f>
        <v>0</v>
      </c>
      <c r="M1202" s="198">
        <f t="shared" si="144"/>
        <v>0</v>
      </c>
      <c r="N1202" s="75">
        <f t="shared" si="147"/>
        <v>45</v>
      </c>
      <c r="O1202" s="202">
        <f t="shared" si="148"/>
        <v>0</v>
      </c>
      <c r="P1202" s="199">
        <f t="shared" si="145"/>
        <v>0</v>
      </c>
      <c r="Q1202" s="203">
        <f t="shared" si="149"/>
        <v>40.900000000001718</v>
      </c>
      <c r="R1202" s="201">
        <f>E1202/B1198-1</f>
        <v>-5.661507409922073E-2</v>
      </c>
      <c r="S1202" s="201">
        <f t="shared" si="150"/>
        <v>-1.7990135360413384E-2</v>
      </c>
    </row>
    <row r="1203" spans="1:19">
      <c r="A1203" s="196">
        <v>41715</v>
      </c>
      <c r="B1203" s="122">
        <v>16.02</v>
      </c>
      <c r="C1203" s="122">
        <v>16.549999</v>
      </c>
      <c r="D1203" s="122">
        <v>16.010000000000002</v>
      </c>
      <c r="E1203" s="122">
        <v>16.32</v>
      </c>
      <c r="F1203" s="122">
        <v>12.841422</v>
      </c>
      <c r="G1203" s="197">
        <v>120600</v>
      </c>
      <c r="H1203" s="198">
        <f>IF(AND(E1202&gt;=H1202,E1203&gt;=E1202),E1202*(1+'Trading Model'!$E$13),IF(AND(E1203&lt;E1202,E1202&gt;=H1202),E1203*(1+'Trading Model'!$E$13),H1202))</f>
        <v>27.698998950000004</v>
      </c>
      <c r="I1203" s="198">
        <f>IF(K1203&gt;0,E1203*(1-'Trading Model'!E1213),IF(E1203&lt;I1202,I1202*(1-'Trading Model'!$E$14),I1202))</f>
        <v>8.9840153609188427</v>
      </c>
      <c r="J1203" s="198">
        <f t="shared" si="151"/>
        <v>0</v>
      </c>
      <c r="K1203" s="198">
        <f t="shared" si="146"/>
        <v>0</v>
      </c>
      <c r="L1203" s="198">
        <f>COUNTIF(J1203:K1203,"&lt;&gt;0")*-'Trading Model'!$E$15</f>
        <v>0</v>
      </c>
      <c r="M1203" s="198">
        <f t="shared" si="144"/>
        <v>0</v>
      </c>
      <c r="N1203" s="75">
        <f t="shared" si="147"/>
        <v>45</v>
      </c>
      <c r="O1203" s="202">
        <f t="shared" si="148"/>
        <v>0</v>
      </c>
      <c r="P1203" s="199">
        <f t="shared" si="145"/>
        <v>0</v>
      </c>
      <c r="Q1203" s="203">
        <f t="shared" si="149"/>
        <v>40.900000000001718</v>
      </c>
      <c r="R1203" s="160" t="s">
        <v>55</v>
      </c>
      <c r="S1203" s="201">
        <f t="shared" si="150"/>
        <v>3.0953885028426997E-2</v>
      </c>
    </row>
    <row r="1204" spans="1:19">
      <c r="A1204" s="196">
        <v>41716</v>
      </c>
      <c r="B1204" s="122">
        <v>16.34</v>
      </c>
      <c r="C1204" s="122">
        <v>17</v>
      </c>
      <c r="D1204" s="122">
        <v>16.120000999999998</v>
      </c>
      <c r="E1204" s="122">
        <v>16.829999999999998</v>
      </c>
      <c r="F1204" s="122">
        <v>13.242717000000001</v>
      </c>
      <c r="G1204" s="197">
        <v>142200</v>
      </c>
      <c r="H1204" s="198">
        <f>IF(AND(E1203&gt;=H1203,E1204&gt;=E1203),E1203*(1+'Trading Model'!$E$13),IF(AND(E1204&lt;E1203,E1203&gt;=H1203),E1204*(1+'Trading Model'!$E$13),H1203))</f>
        <v>27.698998950000004</v>
      </c>
      <c r="I1204" s="198">
        <f>IF(K1204&gt;0,E1204*(1-'Trading Model'!E1214),IF(E1204&lt;I1203,I1203*(1-'Trading Model'!$E$14),I1203))</f>
        <v>8.9840153609188427</v>
      </c>
      <c r="J1204" s="198">
        <f t="shared" si="151"/>
        <v>0</v>
      </c>
      <c r="K1204" s="198">
        <f t="shared" si="146"/>
        <v>0</v>
      </c>
      <c r="L1204" s="198">
        <f>COUNTIF(J1204:K1204,"&lt;&gt;0")*-'Trading Model'!$E$15</f>
        <v>0</v>
      </c>
      <c r="M1204" s="198">
        <f t="shared" si="144"/>
        <v>0</v>
      </c>
      <c r="N1204" s="75">
        <f t="shared" si="147"/>
        <v>45</v>
      </c>
      <c r="O1204" s="202">
        <f t="shared" si="148"/>
        <v>0</v>
      </c>
      <c r="P1204" s="199">
        <f t="shared" si="145"/>
        <v>0</v>
      </c>
      <c r="Q1204" s="203">
        <f t="shared" si="149"/>
        <v>40.900000000001718</v>
      </c>
      <c r="R1204" s="203" t="s">
        <v>55</v>
      </c>
      <c r="S1204" s="201">
        <f t="shared" si="150"/>
        <v>3.1249999999999778E-2</v>
      </c>
    </row>
    <row r="1205" spans="1:19">
      <c r="A1205" s="196">
        <v>41717</v>
      </c>
      <c r="B1205" s="122">
        <v>16.829999999999998</v>
      </c>
      <c r="C1205" s="122">
        <v>17.629999000000002</v>
      </c>
      <c r="D1205" s="122">
        <v>16.77</v>
      </c>
      <c r="E1205" s="122">
        <v>17.049999</v>
      </c>
      <c r="F1205" s="122">
        <v>13.415822</v>
      </c>
      <c r="G1205" s="197">
        <v>249200</v>
      </c>
      <c r="H1205" s="198">
        <f>IF(AND(E1204&gt;=H1204,E1205&gt;=E1204),E1204*(1+'Trading Model'!$E$13),IF(AND(E1205&lt;E1204,E1204&gt;=H1204),E1205*(1+'Trading Model'!$E$13),H1204))</f>
        <v>27.698998950000004</v>
      </c>
      <c r="I1205" s="198">
        <f>IF(K1205&gt;0,E1205*(1-'Trading Model'!E1215),IF(E1205&lt;I1204,I1204*(1-'Trading Model'!$E$14),I1204))</f>
        <v>8.9840153609188427</v>
      </c>
      <c r="J1205" s="198">
        <f t="shared" si="151"/>
        <v>0</v>
      </c>
      <c r="K1205" s="198">
        <f t="shared" si="146"/>
        <v>0</v>
      </c>
      <c r="L1205" s="198">
        <f>COUNTIF(J1205:K1205,"&lt;&gt;0")*-'Trading Model'!$E$15</f>
        <v>0</v>
      </c>
      <c r="M1205" s="198">
        <f t="shared" si="144"/>
        <v>0</v>
      </c>
      <c r="N1205" s="75">
        <f t="shared" si="147"/>
        <v>45</v>
      </c>
      <c r="O1205" s="202">
        <f t="shared" si="148"/>
        <v>0</v>
      </c>
      <c r="P1205" s="199">
        <f t="shared" si="145"/>
        <v>0</v>
      </c>
      <c r="Q1205" s="203">
        <f t="shared" si="149"/>
        <v>40.900000000001718</v>
      </c>
      <c r="R1205" s="203" t="s">
        <v>55</v>
      </c>
      <c r="S1205" s="201">
        <f t="shared" si="150"/>
        <v>1.3071836007130244E-2</v>
      </c>
    </row>
    <row r="1206" spans="1:19">
      <c r="A1206" s="196">
        <v>41718</v>
      </c>
      <c r="B1206" s="122">
        <v>17</v>
      </c>
      <c r="C1206" s="122">
        <v>17.399999999999999</v>
      </c>
      <c r="D1206" s="122">
        <v>16.91</v>
      </c>
      <c r="E1206" s="122">
        <v>17.370000999999998</v>
      </c>
      <c r="F1206" s="122">
        <v>13.667619999999999</v>
      </c>
      <c r="G1206" s="197">
        <v>169900</v>
      </c>
      <c r="H1206" s="198">
        <f>IF(AND(E1205&gt;=H1205,E1206&gt;=E1205),E1205*(1+'Trading Model'!$E$13),IF(AND(E1206&lt;E1205,E1205&gt;=H1205),E1206*(1+'Trading Model'!$E$13),H1205))</f>
        <v>27.698998950000004</v>
      </c>
      <c r="I1206" s="198">
        <f>IF(K1206&gt;0,E1206*(1-'Trading Model'!E1216),IF(E1206&lt;I1205,I1205*(1-'Trading Model'!$E$14),I1205))</f>
        <v>8.9840153609188427</v>
      </c>
      <c r="J1206" s="198">
        <f t="shared" si="151"/>
        <v>0</v>
      </c>
      <c r="K1206" s="198">
        <f t="shared" si="146"/>
        <v>0</v>
      </c>
      <c r="L1206" s="198">
        <f>COUNTIF(J1206:K1206,"&lt;&gt;0")*-'Trading Model'!$E$15</f>
        <v>0</v>
      </c>
      <c r="M1206" s="198">
        <f t="shared" si="144"/>
        <v>0</v>
      </c>
      <c r="N1206" s="75">
        <f t="shared" si="147"/>
        <v>45</v>
      </c>
      <c r="O1206" s="202">
        <f t="shared" si="148"/>
        <v>0</v>
      </c>
      <c r="P1206" s="199">
        <f t="shared" si="145"/>
        <v>0</v>
      </c>
      <c r="Q1206" s="203">
        <f t="shared" si="149"/>
        <v>40.900000000001718</v>
      </c>
      <c r="R1206" s="203" t="s">
        <v>55</v>
      </c>
      <c r="S1206" s="201">
        <f t="shared" si="150"/>
        <v>1.8768446848589138E-2</v>
      </c>
    </row>
    <row r="1207" spans="1:19">
      <c r="A1207" s="196">
        <v>41719</v>
      </c>
      <c r="B1207" s="122">
        <v>17.600000000000001</v>
      </c>
      <c r="C1207" s="122">
        <v>17.649999999999999</v>
      </c>
      <c r="D1207" s="122">
        <v>17.110001</v>
      </c>
      <c r="E1207" s="122">
        <v>17.43</v>
      </c>
      <c r="F1207" s="122">
        <v>13.714829</v>
      </c>
      <c r="G1207" s="197">
        <v>182100</v>
      </c>
      <c r="H1207" s="198">
        <f>IF(AND(E1206&gt;=H1206,E1207&gt;=E1206),E1206*(1+'Trading Model'!$E$13),IF(AND(E1207&lt;E1206,E1206&gt;=H1206),E1207*(1+'Trading Model'!$E$13),H1206))</f>
        <v>27.698998950000004</v>
      </c>
      <c r="I1207" s="198">
        <f>IF(K1207&gt;0,E1207*(1-'Trading Model'!E1217),IF(E1207&lt;I1206,I1206*(1-'Trading Model'!$E$14),I1206))</f>
        <v>8.9840153609188427</v>
      </c>
      <c r="J1207" s="198">
        <f t="shared" si="151"/>
        <v>0</v>
      </c>
      <c r="K1207" s="198">
        <f t="shared" si="146"/>
        <v>0</v>
      </c>
      <c r="L1207" s="198">
        <f>COUNTIF(J1207:K1207,"&lt;&gt;0")*-'Trading Model'!$E$15</f>
        <v>0</v>
      </c>
      <c r="M1207" s="198">
        <f t="shared" si="144"/>
        <v>0</v>
      </c>
      <c r="N1207" s="75">
        <f t="shared" si="147"/>
        <v>45</v>
      </c>
      <c r="O1207" s="202">
        <f t="shared" si="148"/>
        <v>0</v>
      </c>
      <c r="P1207" s="199">
        <f t="shared" si="145"/>
        <v>0</v>
      </c>
      <c r="Q1207" s="203">
        <f t="shared" si="149"/>
        <v>40.900000000001718</v>
      </c>
      <c r="R1207" s="201">
        <f>E1207/B1203-1</f>
        <v>8.8014981273408344E-2</v>
      </c>
      <c r="S1207" s="201">
        <f t="shared" si="150"/>
        <v>3.4541736641235943E-3</v>
      </c>
    </row>
    <row r="1208" spans="1:19">
      <c r="A1208" s="196">
        <v>41722</v>
      </c>
      <c r="B1208" s="122">
        <v>17.510000000000002</v>
      </c>
      <c r="C1208" s="122">
        <v>17.510000000000002</v>
      </c>
      <c r="D1208" s="122">
        <v>17.02</v>
      </c>
      <c r="E1208" s="122">
        <v>17.120000999999998</v>
      </c>
      <c r="F1208" s="122">
        <v>13.470905999999999</v>
      </c>
      <c r="G1208" s="197">
        <v>108500</v>
      </c>
      <c r="H1208" s="198">
        <f>IF(AND(E1207&gt;=H1207,E1208&gt;=E1207),E1207*(1+'Trading Model'!$E$13),IF(AND(E1208&lt;E1207,E1207&gt;=H1207),E1208*(1+'Trading Model'!$E$13),H1207))</f>
        <v>27.698998950000004</v>
      </c>
      <c r="I1208" s="198">
        <f>IF(K1208&gt;0,E1208*(1-'Trading Model'!E1218),IF(E1208&lt;I1207,I1207*(1-'Trading Model'!$E$14),I1207))</f>
        <v>8.9840153609188427</v>
      </c>
      <c r="J1208" s="198">
        <f t="shared" si="151"/>
        <v>0</v>
      </c>
      <c r="K1208" s="198">
        <f t="shared" si="146"/>
        <v>0</v>
      </c>
      <c r="L1208" s="198">
        <f>COUNTIF(J1208:K1208,"&lt;&gt;0")*-'Trading Model'!$E$15</f>
        <v>0</v>
      </c>
      <c r="M1208" s="198">
        <f t="shared" si="144"/>
        <v>0</v>
      </c>
      <c r="N1208" s="75">
        <f t="shared" si="147"/>
        <v>45</v>
      </c>
      <c r="O1208" s="202">
        <f t="shared" si="148"/>
        <v>0</v>
      </c>
      <c r="P1208" s="199">
        <f t="shared" si="145"/>
        <v>0</v>
      </c>
      <c r="Q1208" s="203">
        <f t="shared" si="149"/>
        <v>40.800000000001717</v>
      </c>
      <c r="R1208" s="160" t="s">
        <v>55</v>
      </c>
      <c r="S1208" s="201">
        <f t="shared" si="150"/>
        <v>-1.7785370051635163E-2</v>
      </c>
    </row>
    <row r="1209" spans="1:19">
      <c r="A1209" s="196">
        <v>41723</v>
      </c>
      <c r="B1209" s="122">
        <v>17.25</v>
      </c>
      <c r="C1209" s="122">
        <v>17.639999</v>
      </c>
      <c r="D1209" s="122">
        <v>17.040001</v>
      </c>
      <c r="E1209" s="122">
        <v>17.559999000000001</v>
      </c>
      <c r="F1209" s="122">
        <v>13.817119999999999</v>
      </c>
      <c r="G1209" s="197">
        <v>110900</v>
      </c>
      <c r="H1209" s="198">
        <f>IF(AND(E1208&gt;=H1208,E1209&gt;=E1208),E1208*(1+'Trading Model'!$E$13),IF(AND(E1209&lt;E1208,E1208&gt;=H1208),E1209*(1+'Trading Model'!$E$13),H1208))</f>
        <v>27.698998950000004</v>
      </c>
      <c r="I1209" s="198">
        <f>IF(K1209&gt;0,E1209*(1-'Trading Model'!E1219),IF(E1209&lt;I1208,I1208*(1-'Trading Model'!$E$14),I1208))</f>
        <v>8.9840153609188427</v>
      </c>
      <c r="J1209" s="198">
        <f t="shared" si="151"/>
        <v>0</v>
      </c>
      <c r="K1209" s="198">
        <f t="shared" si="146"/>
        <v>0</v>
      </c>
      <c r="L1209" s="198">
        <f>COUNTIF(J1209:K1209,"&lt;&gt;0")*-'Trading Model'!$E$15</f>
        <v>0</v>
      </c>
      <c r="M1209" s="198">
        <f t="shared" si="144"/>
        <v>0</v>
      </c>
      <c r="N1209" s="75">
        <f t="shared" si="147"/>
        <v>45</v>
      </c>
      <c r="O1209" s="202">
        <f t="shared" si="148"/>
        <v>0</v>
      </c>
      <c r="P1209" s="199">
        <f t="shared" si="145"/>
        <v>0</v>
      </c>
      <c r="Q1209" s="203">
        <f t="shared" si="149"/>
        <v>40.800000000001717</v>
      </c>
      <c r="R1209" s="203" t="s">
        <v>55</v>
      </c>
      <c r="S1209" s="201">
        <f t="shared" si="150"/>
        <v>2.5700816255793679E-2</v>
      </c>
    </row>
    <row r="1210" spans="1:19">
      <c r="A1210" s="196">
        <v>41724</v>
      </c>
      <c r="B1210" s="122">
        <v>17.649999999999999</v>
      </c>
      <c r="C1210" s="122">
        <v>17.649999999999999</v>
      </c>
      <c r="D1210" s="122">
        <v>17.170000000000002</v>
      </c>
      <c r="E1210" s="122">
        <v>17.309999000000001</v>
      </c>
      <c r="F1210" s="122">
        <v>13.620407</v>
      </c>
      <c r="G1210" s="197">
        <v>118000</v>
      </c>
      <c r="H1210" s="198">
        <f>IF(AND(E1209&gt;=H1209,E1210&gt;=E1209),E1209*(1+'Trading Model'!$E$13),IF(AND(E1210&lt;E1209,E1209&gt;=H1209),E1210*(1+'Trading Model'!$E$13),H1209))</f>
        <v>27.698998950000004</v>
      </c>
      <c r="I1210" s="198">
        <f>IF(K1210&gt;0,E1210*(1-'Trading Model'!E1220),IF(E1210&lt;I1209,I1209*(1-'Trading Model'!$E$14),I1209))</f>
        <v>8.9840153609188427</v>
      </c>
      <c r="J1210" s="198">
        <f t="shared" si="151"/>
        <v>0</v>
      </c>
      <c r="K1210" s="198">
        <f t="shared" si="146"/>
        <v>0</v>
      </c>
      <c r="L1210" s="198">
        <f>COUNTIF(J1210:K1210,"&lt;&gt;0")*-'Trading Model'!$E$15</f>
        <v>0</v>
      </c>
      <c r="M1210" s="198">
        <f t="shared" si="144"/>
        <v>0</v>
      </c>
      <c r="N1210" s="75">
        <f t="shared" si="147"/>
        <v>45</v>
      </c>
      <c r="O1210" s="202">
        <f t="shared" si="148"/>
        <v>0</v>
      </c>
      <c r="P1210" s="199">
        <f t="shared" si="145"/>
        <v>0</v>
      </c>
      <c r="Q1210" s="203">
        <f t="shared" si="149"/>
        <v>40.700000000001715</v>
      </c>
      <c r="R1210" s="203" t="s">
        <v>55</v>
      </c>
      <c r="S1210" s="201">
        <f t="shared" si="150"/>
        <v>-1.4236902860871425E-2</v>
      </c>
    </row>
    <row r="1211" spans="1:19">
      <c r="A1211" s="196">
        <v>41725</v>
      </c>
      <c r="B1211" s="122">
        <v>17.32</v>
      </c>
      <c r="C1211" s="122">
        <v>17.77</v>
      </c>
      <c r="D1211" s="122">
        <v>17.200001</v>
      </c>
      <c r="E1211" s="122">
        <v>17.690000999999999</v>
      </c>
      <c r="F1211" s="122">
        <v>13.919411</v>
      </c>
      <c r="G1211" s="197">
        <v>281000</v>
      </c>
      <c r="H1211" s="198">
        <f>IF(AND(E1210&gt;=H1210,E1211&gt;=E1210),E1210*(1+'Trading Model'!$E$13),IF(AND(E1211&lt;E1210,E1210&gt;=H1210),E1211*(1+'Trading Model'!$E$13),H1210))</f>
        <v>27.698998950000004</v>
      </c>
      <c r="I1211" s="198">
        <f>IF(K1211&gt;0,E1211*(1-'Trading Model'!E1221),IF(E1211&lt;I1210,I1210*(1-'Trading Model'!$E$14),I1210))</f>
        <v>8.9840153609188427</v>
      </c>
      <c r="J1211" s="198">
        <f t="shared" si="151"/>
        <v>0</v>
      </c>
      <c r="K1211" s="198">
        <f t="shared" si="146"/>
        <v>0</v>
      </c>
      <c r="L1211" s="198">
        <f>COUNTIF(J1211:K1211,"&lt;&gt;0")*-'Trading Model'!$E$15</f>
        <v>0</v>
      </c>
      <c r="M1211" s="198">
        <f t="shared" si="144"/>
        <v>0</v>
      </c>
      <c r="N1211" s="75">
        <f t="shared" si="147"/>
        <v>45</v>
      </c>
      <c r="O1211" s="202">
        <f t="shared" si="148"/>
        <v>0</v>
      </c>
      <c r="P1211" s="199">
        <f t="shared" si="145"/>
        <v>0</v>
      </c>
      <c r="Q1211" s="203">
        <f t="shared" si="149"/>
        <v>40.700000000001715</v>
      </c>
      <c r="R1211" s="203" t="s">
        <v>55</v>
      </c>
      <c r="S1211" s="201">
        <f t="shared" si="150"/>
        <v>2.1952745346778935E-2</v>
      </c>
    </row>
    <row r="1212" spans="1:19">
      <c r="A1212" s="196">
        <v>41726</v>
      </c>
      <c r="B1212" s="122">
        <v>17.809999000000001</v>
      </c>
      <c r="C1212" s="122">
        <v>18.32</v>
      </c>
      <c r="D1212" s="122">
        <v>17.809999000000001</v>
      </c>
      <c r="E1212" s="122">
        <v>17.93</v>
      </c>
      <c r="F1212" s="122">
        <v>14.108255</v>
      </c>
      <c r="G1212" s="197">
        <v>217100</v>
      </c>
      <c r="H1212" s="198">
        <f>IF(AND(E1211&gt;=H1211,E1212&gt;=E1211),E1211*(1+'Trading Model'!$E$13),IF(AND(E1212&lt;E1211,E1211&gt;=H1211),E1212*(1+'Trading Model'!$E$13),H1211))</f>
        <v>27.698998950000004</v>
      </c>
      <c r="I1212" s="198">
        <f>IF(K1212&gt;0,E1212*(1-'Trading Model'!E1222),IF(E1212&lt;I1211,I1211*(1-'Trading Model'!$E$14),I1211))</f>
        <v>8.9840153609188427</v>
      </c>
      <c r="J1212" s="198">
        <f t="shared" si="151"/>
        <v>0</v>
      </c>
      <c r="K1212" s="198">
        <f t="shared" si="146"/>
        <v>0</v>
      </c>
      <c r="L1212" s="198">
        <f>COUNTIF(J1212:K1212,"&lt;&gt;0")*-'Trading Model'!$E$15</f>
        <v>0</v>
      </c>
      <c r="M1212" s="198">
        <f t="shared" si="144"/>
        <v>0</v>
      </c>
      <c r="N1212" s="75">
        <f t="shared" si="147"/>
        <v>45</v>
      </c>
      <c r="O1212" s="202">
        <f t="shared" si="148"/>
        <v>0</v>
      </c>
      <c r="P1212" s="199">
        <f t="shared" si="145"/>
        <v>0</v>
      </c>
      <c r="Q1212" s="203">
        <f t="shared" si="149"/>
        <v>40.700000000001715</v>
      </c>
      <c r="R1212" s="201">
        <f>E1212/B1208-1</f>
        <v>2.398629354654469E-2</v>
      </c>
      <c r="S1212" s="201">
        <f t="shared" si="150"/>
        <v>1.356692970226514E-2</v>
      </c>
    </row>
    <row r="1213" spans="1:19">
      <c r="A1213" s="196">
        <v>41729</v>
      </c>
      <c r="B1213" s="122">
        <v>18.219999000000001</v>
      </c>
      <c r="C1213" s="122">
        <v>19.09</v>
      </c>
      <c r="D1213" s="122">
        <v>18.18</v>
      </c>
      <c r="E1213" s="122">
        <v>19.07</v>
      </c>
      <c r="F1213" s="122">
        <v>15.005265</v>
      </c>
      <c r="G1213" s="197">
        <v>389700</v>
      </c>
      <c r="H1213" s="198">
        <f>IF(AND(E1212&gt;=H1212,E1213&gt;=E1212),E1212*(1+'Trading Model'!$E$13),IF(AND(E1213&lt;E1212,E1212&gt;=H1212),E1213*(1+'Trading Model'!$E$13),H1212))</f>
        <v>27.698998950000004</v>
      </c>
      <c r="I1213" s="198">
        <f>IF(K1213&gt;0,E1213*(1-'Trading Model'!E1223),IF(E1213&lt;I1212,I1212*(1-'Trading Model'!$E$14),I1212))</f>
        <v>8.9840153609188427</v>
      </c>
      <c r="J1213" s="198">
        <f t="shared" si="151"/>
        <v>0</v>
      </c>
      <c r="K1213" s="198">
        <f t="shared" si="146"/>
        <v>0</v>
      </c>
      <c r="L1213" s="198">
        <f>COUNTIF(J1213:K1213,"&lt;&gt;0")*-'Trading Model'!$E$15</f>
        <v>0</v>
      </c>
      <c r="M1213" s="198">
        <f t="shared" si="144"/>
        <v>0</v>
      </c>
      <c r="N1213" s="75">
        <f t="shared" si="147"/>
        <v>45</v>
      </c>
      <c r="O1213" s="202">
        <f t="shared" si="148"/>
        <v>0</v>
      </c>
      <c r="P1213" s="199">
        <f t="shared" si="145"/>
        <v>0</v>
      </c>
      <c r="Q1213" s="203">
        <f t="shared" si="149"/>
        <v>40.700000000001715</v>
      </c>
      <c r="R1213" s="160" t="s">
        <v>55</v>
      </c>
      <c r="S1213" s="201">
        <f t="shared" si="150"/>
        <v>6.3580591187953228E-2</v>
      </c>
    </row>
    <row r="1214" spans="1:19">
      <c r="A1214" s="196">
        <v>41730</v>
      </c>
      <c r="B1214" s="122">
        <v>19</v>
      </c>
      <c r="C1214" s="122">
        <v>19.170000000000002</v>
      </c>
      <c r="D1214" s="122">
        <v>18.120000999999998</v>
      </c>
      <c r="E1214" s="122">
        <v>18.420000000000002</v>
      </c>
      <c r="F1214" s="122">
        <v>14.493811000000001</v>
      </c>
      <c r="G1214" s="197">
        <v>303700</v>
      </c>
      <c r="H1214" s="198">
        <f>IF(AND(E1213&gt;=H1213,E1214&gt;=E1213),E1213*(1+'Trading Model'!$E$13),IF(AND(E1214&lt;E1213,E1213&gt;=H1213),E1214*(1+'Trading Model'!$E$13),H1213))</f>
        <v>27.698998950000004</v>
      </c>
      <c r="I1214" s="198">
        <f>IF(K1214&gt;0,E1214*(1-'Trading Model'!E1224),IF(E1214&lt;I1213,I1213*(1-'Trading Model'!$E$14),I1213))</f>
        <v>8.9840153609188427</v>
      </c>
      <c r="J1214" s="198">
        <f t="shared" si="151"/>
        <v>0</v>
      </c>
      <c r="K1214" s="198">
        <f t="shared" si="146"/>
        <v>0</v>
      </c>
      <c r="L1214" s="198">
        <f>COUNTIF(J1214:K1214,"&lt;&gt;0")*-'Trading Model'!$E$15</f>
        <v>0</v>
      </c>
      <c r="M1214" s="198">
        <f t="shared" si="144"/>
        <v>0</v>
      </c>
      <c r="N1214" s="75">
        <f t="shared" si="147"/>
        <v>45</v>
      </c>
      <c r="O1214" s="202">
        <f t="shared" si="148"/>
        <v>0</v>
      </c>
      <c r="P1214" s="199">
        <f t="shared" si="145"/>
        <v>0</v>
      </c>
      <c r="Q1214" s="203">
        <f t="shared" si="149"/>
        <v>40.600000000001714</v>
      </c>
      <c r="R1214" s="203" t="s">
        <v>55</v>
      </c>
      <c r="S1214" s="201">
        <f t="shared" si="150"/>
        <v>-3.4084950183534302E-2</v>
      </c>
    </row>
    <row r="1215" spans="1:19">
      <c r="A1215" s="196">
        <v>41731</v>
      </c>
      <c r="B1215" s="122">
        <v>18.25</v>
      </c>
      <c r="C1215" s="122">
        <v>18.399999999999999</v>
      </c>
      <c r="D1215" s="122">
        <v>17.829999999999998</v>
      </c>
      <c r="E1215" s="122">
        <v>18.389999</v>
      </c>
      <c r="F1215" s="122">
        <v>14.470207</v>
      </c>
      <c r="G1215" s="197">
        <v>213000</v>
      </c>
      <c r="H1215" s="198">
        <f>IF(AND(E1214&gt;=H1214,E1215&gt;=E1214),E1214*(1+'Trading Model'!$E$13),IF(AND(E1215&lt;E1214,E1214&gt;=H1214),E1215*(1+'Trading Model'!$E$13),H1214))</f>
        <v>27.698998950000004</v>
      </c>
      <c r="I1215" s="198">
        <f>IF(K1215&gt;0,E1215*(1-'Trading Model'!E1225),IF(E1215&lt;I1214,I1214*(1-'Trading Model'!$E$14),I1214))</f>
        <v>8.9840153609188427</v>
      </c>
      <c r="J1215" s="198">
        <f t="shared" si="151"/>
        <v>0</v>
      </c>
      <c r="K1215" s="198">
        <f t="shared" si="146"/>
        <v>0</v>
      </c>
      <c r="L1215" s="198">
        <f>COUNTIF(J1215:K1215,"&lt;&gt;0")*-'Trading Model'!$E$15</f>
        <v>0</v>
      </c>
      <c r="M1215" s="198">
        <f t="shared" si="144"/>
        <v>0</v>
      </c>
      <c r="N1215" s="75">
        <f t="shared" si="147"/>
        <v>45</v>
      </c>
      <c r="O1215" s="202">
        <f t="shared" si="148"/>
        <v>0</v>
      </c>
      <c r="P1215" s="199">
        <f t="shared" si="145"/>
        <v>0</v>
      </c>
      <c r="Q1215" s="203">
        <f t="shared" si="149"/>
        <v>40.500000000001712</v>
      </c>
      <c r="R1215" s="203" t="s">
        <v>55</v>
      </c>
      <c r="S1215" s="201">
        <f t="shared" si="150"/>
        <v>-1.6287187839306716E-3</v>
      </c>
    </row>
    <row r="1216" spans="1:19">
      <c r="A1216" s="196">
        <v>41732</v>
      </c>
      <c r="B1216" s="122">
        <v>18.260000000000002</v>
      </c>
      <c r="C1216" s="122">
        <v>18.260000000000002</v>
      </c>
      <c r="D1216" s="122">
        <v>17.799999</v>
      </c>
      <c r="E1216" s="122">
        <v>17.98</v>
      </c>
      <c r="F1216" s="122">
        <v>14.147598</v>
      </c>
      <c r="G1216" s="197">
        <v>216300</v>
      </c>
      <c r="H1216" s="198">
        <f>IF(AND(E1215&gt;=H1215,E1216&gt;=E1215),E1215*(1+'Trading Model'!$E$13),IF(AND(E1216&lt;E1215,E1215&gt;=H1215),E1216*(1+'Trading Model'!$E$13),H1215))</f>
        <v>27.698998950000004</v>
      </c>
      <c r="I1216" s="198">
        <f>IF(K1216&gt;0,E1216*(1-'Trading Model'!E1226),IF(E1216&lt;I1215,I1215*(1-'Trading Model'!$E$14),I1215))</f>
        <v>8.9840153609188427</v>
      </c>
      <c r="J1216" s="198">
        <f t="shared" si="151"/>
        <v>0</v>
      </c>
      <c r="K1216" s="198">
        <f t="shared" si="146"/>
        <v>0</v>
      </c>
      <c r="L1216" s="198">
        <f>COUNTIF(J1216:K1216,"&lt;&gt;0")*-'Trading Model'!$E$15</f>
        <v>0</v>
      </c>
      <c r="M1216" s="198">
        <f t="shared" si="144"/>
        <v>0</v>
      </c>
      <c r="N1216" s="75">
        <f t="shared" si="147"/>
        <v>45</v>
      </c>
      <c r="O1216" s="202">
        <f t="shared" si="148"/>
        <v>0</v>
      </c>
      <c r="P1216" s="199">
        <f t="shared" si="145"/>
        <v>0</v>
      </c>
      <c r="Q1216" s="203">
        <f t="shared" si="149"/>
        <v>40.400000000001711</v>
      </c>
      <c r="R1216" s="203" t="s">
        <v>55</v>
      </c>
      <c r="S1216" s="201">
        <f t="shared" si="150"/>
        <v>-2.2294672229182799E-2</v>
      </c>
    </row>
    <row r="1217" spans="1:19">
      <c r="A1217" s="196">
        <v>41733</v>
      </c>
      <c r="B1217" s="122">
        <v>18.239999999999998</v>
      </c>
      <c r="C1217" s="122">
        <v>18.239999999999998</v>
      </c>
      <c r="D1217" s="122">
        <v>17.860001</v>
      </c>
      <c r="E1217" s="122">
        <v>18.110001</v>
      </c>
      <c r="F1217" s="122">
        <v>14.249889</v>
      </c>
      <c r="G1217" s="197">
        <v>229400</v>
      </c>
      <c r="H1217" s="198">
        <f>IF(AND(E1216&gt;=H1216,E1217&gt;=E1216),E1216*(1+'Trading Model'!$E$13),IF(AND(E1217&lt;E1216,E1216&gt;=H1216),E1217*(1+'Trading Model'!$E$13),H1216))</f>
        <v>27.698998950000004</v>
      </c>
      <c r="I1217" s="198">
        <f>IF(K1217&gt;0,E1217*(1-'Trading Model'!E1227),IF(E1217&lt;I1216,I1216*(1-'Trading Model'!$E$14),I1216))</f>
        <v>8.9840153609188427</v>
      </c>
      <c r="J1217" s="198">
        <f t="shared" si="151"/>
        <v>0</v>
      </c>
      <c r="K1217" s="198">
        <f t="shared" si="146"/>
        <v>0</v>
      </c>
      <c r="L1217" s="198">
        <f>COUNTIF(J1217:K1217,"&lt;&gt;0")*-'Trading Model'!$E$15</f>
        <v>0</v>
      </c>
      <c r="M1217" s="198">
        <f t="shared" si="144"/>
        <v>0</v>
      </c>
      <c r="N1217" s="75">
        <f t="shared" si="147"/>
        <v>45</v>
      </c>
      <c r="O1217" s="202">
        <f t="shared" si="148"/>
        <v>0</v>
      </c>
      <c r="P1217" s="199">
        <f t="shared" si="145"/>
        <v>0</v>
      </c>
      <c r="Q1217" s="203">
        <f t="shared" si="149"/>
        <v>40.400000000001711</v>
      </c>
      <c r="R1217" s="201">
        <f>E1217/B1213-1</f>
        <v>-6.0372121864551431E-3</v>
      </c>
      <c r="S1217" s="201">
        <f t="shared" si="150"/>
        <v>7.2303114571745652E-3</v>
      </c>
    </row>
    <row r="1218" spans="1:19">
      <c r="A1218" s="196">
        <v>41736</v>
      </c>
      <c r="B1218" s="122">
        <v>18.18</v>
      </c>
      <c r="C1218" s="122">
        <v>18.18</v>
      </c>
      <c r="D1218" s="122">
        <v>17.459999</v>
      </c>
      <c r="E1218" s="122">
        <v>17.77</v>
      </c>
      <c r="F1218" s="122">
        <v>13.982358</v>
      </c>
      <c r="G1218" s="197">
        <v>202700</v>
      </c>
      <c r="H1218" s="198">
        <f>IF(AND(E1217&gt;=H1217,E1218&gt;=E1217),E1217*(1+'Trading Model'!$E$13),IF(AND(E1218&lt;E1217,E1217&gt;=H1217),E1218*(1+'Trading Model'!$E$13),H1217))</f>
        <v>27.698998950000004</v>
      </c>
      <c r="I1218" s="198">
        <f>IF(K1218&gt;0,E1218*(1-'Trading Model'!E1228),IF(E1218&lt;I1217,I1217*(1-'Trading Model'!$E$14),I1217))</f>
        <v>8.9840153609188427</v>
      </c>
      <c r="J1218" s="198">
        <f t="shared" si="151"/>
        <v>0</v>
      </c>
      <c r="K1218" s="198">
        <f t="shared" si="146"/>
        <v>0</v>
      </c>
      <c r="L1218" s="198">
        <f>COUNTIF(J1218:K1218,"&lt;&gt;0")*-'Trading Model'!$E$15</f>
        <v>0</v>
      </c>
      <c r="M1218" s="198">
        <f t="shared" si="144"/>
        <v>0</v>
      </c>
      <c r="N1218" s="75">
        <f t="shared" si="147"/>
        <v>45</v>
      </c>
      <c r="O1218" s="202">
        <f t="shared" si="148"/>
        <v>0</v>
      </c>
      <c r="P1218" s="199">
        <f t="shared" si="145"/>
        <v>0</v>
      </c>
      <c r="Q1218" s="203">
        <f t="shared" si="149"/>
        <v>40.30000000000171</v>
      </c>
      <c r="R1218" s="160" t="s">
        <v>55</v>
      </c>
      <c r="S1218" s="201">
        <f t="shared" si="150"/>
        <v>-1.8774212105234112E-2</v>
      </c>
    </row>
    <row r="1219" spans="1:19">
      <c r="A1219" s="196">
        <v>41737</v>
      </c>
      <c r="B1219" s="122">
        <v>17.610001</v>
      </c>
      <c r="C1219" s="122">
        <v>17.91</v>
      </c>
      <c r="D1219" s="122">
        <v>17.260000000000002</v>
      </c>
      <c r="E1219" s="122">
        <v>17.84</v>
      </c>
      <c r="F1219" s="122">
        <v>14.037438</v>
      </c>
      <c r="G1219" s="197">
        <v>186000</v>
      </c>
      <c r="H1219" s="198">
        <f>IF(AND(E1218&gt;=H1218,E1219&gt;=E1218),E1218*(1+'Trading Model'!$E$13),IF(AND(E1219&lt;E1218,E1218&gt;=H1218),E1219*(1+'Trading Model'!$E$13),H1218))</f>
        <v>27.698998950000004</v>
      </c>
      <c r="I1219" s="198">
        <f>IF(K1219&gt;0,E1219*(1-'Trading Model'!E1229),IF(E1219&lt;I1218,I1218*(1-'Trading Model'!$E$14),I1218))</f>
        <v>8.9840153609188427</v>
      </c>
      <c r="J1219" s="198">
        <f t="shared" si="151"/>
        <v>0</v>
      </c>
      <c r="K1219" s="198">
        <f t="shared" si="146"/>
        <v>0</v>
      </c>
      <c r="L1219" s="198">
        <f>COUNTIF(J1219:K1219,"&lt;&gt;0")*-'Trading Model'!$E$15</f>
        <v>0</v>
      </c>
      <c r="M1219" s="198">
        <f t="shared" ref="M1219:M1282" si="152">SUM(J1219:L1219)</f>
        <v>0</v>
      </c>
      <c r="N1219" s="75">
        <f t="shared" si="147"/>
        <v>45</v>
      </c>
      <c r="O1219" s="202">
        <f t="shared" si="148"/>
        <v>0</v>
      </c>
      <c r="P1219" s="199">
        <f t="shared" ref="P1219:P1282" si="153">IFERROR(VLOOKUP(A1219,Dividends,2,FALSE),$U$1)</f>
        <v>0</v>
      </c>
      <c r="Q1219" s="203">
        <f t="shared" si="149"/>
        <v>40.30000000000171</v>
      </c>
      <c r="R1219" s="203" t="s">
        <v>55</v>
      </c>
      <c r="S1219" s="201">
        <f t="shared" si="150"/>
        <v>3.9392234102419987E-3</v>
      </c>
    </row>
    <row r="1220" spans="1:19">
      <c r="A1220" s="196">
        <v>41738</v>
      </c>
      <c r="B1220" s="122">
        <v>17.899999999999999</v>
      </c>
      <c r="C1220" s="122">
        <v>18.350000000000001</v>
      </c>
      <c r="D1220" s="122">
        <v>17.760000000000002</v>
      </c>
      <c r="E1220" s="122">
        <v>18.34</v>
      </c>
      <c r="F1220" s="122">
        <v>14.430865000000001</v>
      </c>
      <c r="G1220" s="197">
        <v>213000</v>
      </c>
      <c r="H1220" s="198">
        <f>IF(AND(E1219&gt;=H1219,E1220&gt;=E1219),E1219*(1+'Trading Model'!$E$13),IF(AND(E1220&lt;E1219,E1219&gt;=H1219),E1220*(1+'Trading Model'!$E$13),H1219))</f>
        <v>27.698998950000004</v>
      </c>
      <c r="I1220" s="198">
        <f>IF(K1220&gt;0,E1220*(1-'Trading Model'!E1230),IF(E1220&lt;I1219,I1219*(1-'Trading Model'!$E$14),I1219))</f>
        <v>8.9840153609188427</v>
      </c>
      <c r="J1220" s="198">
        <f t="shared" si="151"/>
        <v>0</v>
      </c>
      <c r="K1220" s="198">
        <f t="shared" ref="K1220:K1283" si="154">IF(E1220&gt;=H1220,E1220,0)</f>
        <v>0</v>
      </c>
      <c r="L1220" s="198">
        <f>COUNTIF(J1220:K1220,"&lt;&gt;0")*-'Trading Model'!$E$15</f>
        <v>0</v>
      </c>
      <c r="M1220" s="198">
        <f t="shared" si="152"/>
        <v>0</v>
      </c>
      <c r="N1220" s="75">
        <f t="shared" ref="N1220:N1283" si="155">IF(AND(J1220&lt;0,K1220&gt;0),N1219,(IF(J1220&lt;0,N1219+1,IF(K1220&gt;0,N1219+1,N1219))))</f>
        <v>45</v>
      </c>
      <c r="O1220" s="202">
        <f t="shared" ref="O1220:O1283" si="156">P1220</f>
        <v>0</v>
      </c>
      <c r="P1220" s="199">
        <f t="shared" si="153"/>
        <v>0</v>
      </c>
      <c r="Q1220" s="203">
        <f t="shared" ref="Q1220:Q1283" si="157">IF(E1220&lt;E1219,Q1219-0.1,Q1219)</f>
        <v>40.30000000000171</v>
      </c>
      <c r="R1220" s="203" t="s">
        <v>55</v>
      </c>
      <c r="S1220" s="201">
        <f t="shared" ref="S1220:S1283" si="158">E1220/E1219-1</f>
        <v>2.8026905829596327E-2</v>
      </c>
    </row>
    <row r="1221" spans="1:19">
      <c r="A1221" s="196">
        <v>41739</v>
      </c>
      <c r="B1221" s="122">
        <v>18.370000999999998</v>
      </c>
      <c r="C1221" s="122">
        <v>19.079999999999998</v>
      </c>
      <c r="D1221" s="122">
        <v>18.34</v>
      </c>
      <c r="E1221" s="122">
        <v>18.989999999999998</v>
      </c>
      <c r="F1221" s="122">
        <v>14.942316999999999</v>
      </c>
      <c r="G1221" s="197">
        <v>384500</v>
      </c>
      <c r="H1221" s="198">
        <f>IF(AND(E1220&gt;=H1220,E1221&gt;=E1220),E1220*(1+'Trading Model'!$E$13),IF(AND(E1221&lt;E1220,E1220&gt;=H1220),E1221*(1+'Trading Model'!$E$13),H1220))</f>
        <v>27.698998950000004</v>
      </c>
      <c r="I1221" s="198">
        <f>IF(K1221&gt;0,E1221*(1-'Trading Model'!E1231),IF(E1221&lt;I1220,I1220*(1-'Trading Model'!$E$14),I1220))</f>
        <v>8.9840153609188427</v>
      </c>
      <c r="J1221" s="198">
        <f t="shared" ref="J1221:J1284" si="159">IF(E1221&gt;=H1221,-E1221,IF(E1221&lt;=I1220,-E1221,0))</f>
        <v>0</v>
      </c>
      <c r="K1221" s="198">
        <f t="shared" si="154"/>
        <v>0</v>
      </c>
      <c r="L1221" s="198">
        <f>COUNTIF(J1221:K1221,"&lt;&gt;0")*-'Trading Model'!$E$15</f>
        <v>0</v>
      </c>
      <c r="M1221" s="198">
        <f t="shared" si="152"/>
        <v>0</v>
      </c>
      <c r="N1221" s="75">
        <f t="shared" si="155"/>
        <v>45</v>
      </c>
      <c r="O1221" s="202">
        <f t="shared" si="156"/>
        <v>0</v>
      </c>
      <c r="P1221" s="199">
        <f t="shared" si="153"/>
        <v>0</v>
      </c>
      <c r="Q1221" s="203">
        <f t="shared" si="157"/>
        <v>40.30000000000171</v>
      </c>
      <c r="R1221" s="203" t="s">
        <v>55</v>
      </c>
      <c r="S1221" s="201">
        <f t="shared" si="158"/>
        <v>3.5441657579062147E-2</v>
      </c>
    </row>
    <row r="1222" spans="1:19">
      <c r="A1222" s="196">
        <v>41740</v>
      </c>
      <c r="B1222" s="122">
        <v>18.799999</v>
      </c>
      <c r="C1222" s="122">
        <v>18.989999999999998</v>
      </c>
      <c r="D1222" s="122">
        <v>18.59</v>
      </c>
      <c r="E1222" s="122">
        <v>18.899999999999999</v>
      </c>
      <c r="F1222" s="122">
        <v>14.871505000000001</v>
      </c>
      <c r="G1222" s="197">
        <v>232100</v>
      </c>
      <c r="H1222" s="198">
        <f>IF(AND(E1221&gt;=H1221,E1222&gt;=E1221),E1221*(1+'Trading Model'!$E$13),IF(AND(E1222&lt;E1221,E1221&gt;=H1221),E1222*(1+'Trading Model'!$E$13),H1221))</f>
        <v>27.698998950000004</v>
      </c>
      <c r="I1222" s="198">
        <f>IF(K1222&gt;0,E1222*(1-'Trading Model'!E1232),IF(E1222&lt;I1221,I1221*(1-'Trading Model'!$E$14),I1221))</f>
        <v>8.9840153609188427</v>
      </c>
      <c r="J1222" s="198">
        <f t="shared" si="159"/>
        <v>0</v>
      </c>
      <c r="K1222" s="198">
        <f t="shared" si="154"/>
        <v>0</v>
      </c>
      <c r="L1222" s="198">
        <f>COUNTIF(J1222:K1222,"&lt;&gt;0")*-'Trading Model'!$E$15</f>
        <v>0</v>
      </c>
      <c r="M1222" s="198">
        <f t="shared" si="152"/>
        <v>0</v>
      </c>
      <c r="N1222" s="75">
        <f t="shared" si="155"/>
        <v>45</v>
      </c>
      <c r="O1222" s="202">
        <f t="shared" si="156"/>
        <v>0</v>
      </c>
      <c r="P1222" s="199">
        <f t="shared" si="153"/>
        <v>0</v>
      </c>
      <c r="Q1222" s="203">
        <f t="shared" si="157"/>
        <v>40.200000000001708</v>
      </c>
      <c r="R1222" s="201">
        <f>E1222/B1218-1</f>
        <v>3.9603960396039639E-2</v>
      </c>
      <c r="S1222" s="201">
        <f t="shared" si="158"/>
        <v>-4.7393364928909332E-3</v>
      </c>
    </row>
    <row r="1223" spans="1:19">
      <c r="A1223" s="196">
        <v>41743</v>
      </c>
      <c r="B1223" s="122">
        <v>19</v>
      </c>
      <c r="C1223" s="122">
        <v>19.450001</v>
      </c>
      <c r="D1223" s="122">
        <v>18.760000000000002</v>
      </c>
      <c r="E1223" s="122">
        <v>19.290001</v>
      </c>
      <c r="F1223" s="122">
        <v>15.178371</v>
      </c>
      <c r="G1223" s="197">
        <v>183900</v>
      </c>
      <c r="H1223" s="198">
        <f>IF(AND(E1222&gt;=H1222,E1223&gt;=E1222),E1222*(1+'Trading Model'!$E$13),IF(AND(E1223&lt;E1222,E1222&gt;=H1222),E1223*(1+'Trading Model'!$E$13),H1222))</f>
        <v>27.698998950000004</v>
      </c>
      <c r="I1223" s="198">
        <f>IF(K1223&gt;0,E1223*(1-'Trading Model'!E1233),IF(E1223&lt;I1222,I1222*(1-'Trading Model'!$E$14),I1222))</f>
        <v>8.9840153609188427</v>
      </c>
      <c r="J1223" s="198">
        <f t="shared" si="159"/>
        <v>0</v>
      </c>
      <c r="K1223" s="198">
        <f t="shared" si="154"/>
        <v>0</v>
      </c>
      <c r="L1223" s="198">
        <f>COUNTIF(J1223:K1223,"&lt;&gt;0")*-'Trading Model'!$E$15</f>
        <v>0</v>
      </c>
      <c r="M1223" s="198">
        <f t="shared" si="152"/>
        <v>0</v>
      </c>
      <c r="N1223" s="75">
        <f t="shared" si="155"/>
        <v>45</v>
      </c>
      <c r="O1223" s="202">
        <f t="shared" si="156"/>
        <v>0</v>
      </c>
      <c r="P1223" s="199">
        <f t="shared" si="153"/>
        <v>0</v>
      </c>
      <c r="Q1223" s="203">
        <f t="shared" si="157"/>
        <v>40.200000000001708</v>
      </c>
      <c r="R1223" s="160" t="s">
        <v>55</v>
      </c>
      <c r="S1223" s="201">
        <f t="shared" si="158"/>
        <v>2.0634973544973567E-2</v>
      </c>
    </row>
    <row r="1224" spans="1:19">
      <c r="A1224" s="196">
        <v>41744</v>
      </c>
      <c r="B1224" s="122">
        <v>19.309999000000001</v>
      </c>
      <c r="C1224" s="122">
        <v>19.32</v>
      </c>
      <c r="D1224" s="122">
        <v>18.75</v>
      </c>
      <c r="E1224" s="122">
        <v>18.959999</v>
      </c>
      <c r="F1224" s="122">
        <v>14.918713</v>
      </c>
      <c r="G1224" s="197">
        <v>240500</v>
      </c>
      <c r="H1224" s="198">
        <f>IF(AND(E1223&gt;=H1223,E1224&gt;=E1223),E1223*(1+'Trading Model'!$E$13),IF(AND(E1224&lt;E1223,E1223&gt;=H1223),E1224*(1+'Trading Model'!$E$13),H1223))</f>
        <v>27.698998950000004</v>
      </c>
      <c r="I1224" s="198">
        <f>IF(K1224&gt;0,E1224*(1-'Trading Model'!E1234),IF(E1224&lt;I1223,I1223*(1-'Trading Model'!$E$14),I1223))</f>
        <v>8.9840153609188427</v>
      </c>
      <c r="J1224" s="198">
        <f t="shared" si="159"/>
        <v>0</v>
      </c>
      <c r="K1224" s="198">
        <f t="shared" si="154"/>
        <v>0</v>
      </c>
      <c r="L1224" s="198">
        <f>COUNTIF(J1224:K1224,"&lt;&gt;0")*-'Trading Model'!$E$15</f>
        <v>0</v>
      </c>
      <c r="M1224" s="198">
        <f t="shared" si="152"/>
        <v>0</v>
      </c>
      <c r="N1224" s="75">
        <f t="shared" si="155"/>
        <v>45</v>
      </c>
      <c r="O1224" s="202">
        <f t="shared" si="156"/>
        <v>0</v>
      </c>
      <c r="P1224" s="199">
        <f t="shared" si="153"/>
        <v>0</v>
      </c>
      <c r="Q1224" s="203">
        <f t="shared" si="157"/>
        <v>40.100000000001707</v>
      </c>
      <c r="R1224" s="203" t="s">
        <v>55</v>
      </c>
      <c r="S1224" s="201">
        <f t="shared" si="158"/>
        <v>-1.7107412280590317E-2</v>
      </c>
    </row>
    <row r="1225" spans="1:19">
      <c r="A1225" s="196">
        <v>41745</v>
      </c>
      <c r="B1225" s="122">
        <v>19.079999999999998</v>
      </c>
      <c r="C1225" s="122">
        <v>19.329999999999998</v>
      </c>
      <c r="D1225" s="122">
        <v>19.010000000000002</v>
      </c>
      <c r="E1225" s="122">
        <v>19.329999999999998</v>
      </c>
      <c r="F1225" s="122">
        <v>15.209846000000001</v>
      </c>
      <c r="G1225" s="197">
        <v>94500</v>
      </c>
      <c r="H1225" s="198">
        <f>IF(AND(E1224&gt;=H1224,E1225&gt;=E1224),E1224*(1+'Trading Model'!$E$13),IF(AND(E1225&lt;E1224,E1224&gt;=H1224),E1225*(1+'Trading Model'!$E$13),H1224))</f>
        <v>27.698998950000004</v>
      </c>
      <c r="I1225" s="198">
        <f>IF(K1225&gt;0,E1225*(1-'Trading Model'!E1235),IF(E1225&lt;I1224,I1224*(1-'Trading Model'!$E$14),I1224))</f>
        <v>8.9840153609188427</v>
      </c>
      <c r="J1225" s="198">
        <f t="shared" si="159"/>
        <v>0</v>
      </c>
      <c r="K1225" s="198">
        <f t="shared" si="154"/>
        <v>0</v>
      </c>
      <c r="L1225" s="198">
        <f>COUNTIF(J1225:K1225,"&lt;&gt;0")*-'Trading Model'!$E$15</f>
        <v>0</v>
      </c>
      <c r="M1225" s="198">
        <f t="shared" si="152"/>
        <v>0</v>
      </c>
      <c r="N1225" s="75">
        <f t="shared" si="155"/>
        <v>45</v>
      </c>
      <c r="O1225" s="202">
        <f t="shared" si="156"/>
        <v>0</v>
      </c>
      <c r="P1225" s="199">
        <f t="shared" si="153"/>
        <v>0</v>
      </c>
      <c r="Q1225" s="203">
        <f t="shared" si="157"/>
        <v>40.100000000001707</v>
      </c>
      <c r="R1225" s="203" t="s">
        <v>55</v>
      </c>
      <c r="S1225" s="201">
        <f t="shared" si="158"/>
        <v>1.9514821704368135E-2</v>
      </c>
    </row>
    <row r="1226" spans="1:19">
      <c r="A1226" s="196">
        <v>41746</v>
      </c>
      <c r="B1226" s="122">
        <v>19.420000000000002</v>
      </c>
      <c r="C1226" s="122">
        <v>19.579999999999998</v>
      </c>
      <c r="D1226" s="122">
        <v>19.100000000000001</v>
      </c>
      <c r="E1226" s="122">
        <v>19.469999000000001</v>
      </c>
      <c r="F1226" s="122">
        <v>15.320007</v>
      </c>
      <c r="G1226" s="197">
        <v>101900</v>
      </c>
      <c r="H1226" s="198">
        <f>IF(AND(E1225&gt;=H1225,E1226&gt;=E1225),E1225*(1+'Trading Model'!$E$13),IF(AND(E1226&lt;E1225,E1225&gt;=H1225),E1226*(1+'Trading Model'!$E$13),H1225))</f>
        <v>27.698998950000004</v>
      </c>
      <c r="I1226" s="198">
        <f>IF(K1226&gt;0,E1226*(1-'Trading Model'!E1236),IF(E1226&lt;I1225,I1225*(1-'Trading Model'!$E$14),I1225))</f>
        <v>8.9840153609188427</v>
      </c>
      <c r="J1226" s="198">
        <f t="shared" si="159"/>
        <v>0</v>
      </c>
      <c r="K1226" s="198">
        <f t="shared" si="154"/>
        <v>0</v>
      </c>
      <c r="L1226" s="198">
        <f>COUNTIF(J1226:K1226,"&lt;&gt;0")*-'Trading Model'!$E$15</f>
        <v>0</v>
      </c>
      <c r="M1226" s="198">
        <f t="shared" si="152"/>
        <v>0</v>
      </c>
      <c r="N1226" s="75">
        <f t="shared" si="155"/>
        <v>45</v>
      </c>
      <c r="O1226" s="202">
        <f t="shared" si="156"/>
        <v>0</v>
      </c>
      <c r="P1226" s="199">
        <f t="shared" si="153"/>
        <v>0</v>
      </c>
      <c r="Q1226" s="203">
        <f t="shared" si="157"/>
        <v>40.100000000001707</v>
      </c>
      <c r="R1226" s="203" t="s">
        <v>55</v>
      </c>
      <c r="S1226" s="201">
        <f t="shared" si="158"/>
        <v>7.2425763062597959E-3</v>
      </c>
    </row>
    <row r="1227" spans="1:19">
      <c r="A1227" s="196">
        <v>41750</v>
      </c>
      <c r="B1227" s="122">
        <v>19.52</v>
      </c>
      <c r="C1227" s="122">
        <v>19.620000999999998</v>
      </c>
      <c r="D1227" s="122">
        <v>19.190000999999999</v>
      </c>
      <c r="E1227" s="122">
        <v>19.43</v>
      </c>
      <c r="F1227" s="122">
        <v>15.288532</v>
      </c>
      <c r="G1227" s="197">
        <v>176500</v>
      </c>
      <c r="H1227" s="198">
        <f>IF(AND(E1226&gt;=H1226,E1227&gt;=E1226),E1226*(1+'Trading Model'!$E$13),IF(AND(E1227&lt;E1226,E1226&gt;=H1226),E1227*(1+'Trading Model'!$E$13),H1226))</f>
        <v>27.698998950000004</v>
      </c>
      <c r="I1227" s="198">
        <f>IF(K1227&gt;0,E1227*(1-'Trading Model'!E1237),IF(E1227&lt;I1226,I1226*(1-'Trading Model'!$E$14),I1226))</f>
        <v>8.9840153609188427</v>
      </c>
      <c r="J1227" s="198">
        <f t="shared" si="159"/>
        <v>0</v>
      </c>
      <c r="K1227" s="198">
        <f t="shared" si="154"/>
        <v>0</v>
      </c>
      <c r="L1227" s="198">
        <f>COUNTIF(J1227:K1227,"&lt;&gt;0")*-'Trading Model'!$E$15</f>
        <v>0</v>
      </c>
      <c r="M1227" s="198">
        <f t="shared" si="152"/>
        <v>0</v>
      </c>
      <c r="N1227" s="75">
        <f t="shared" si="155"/>
        <v>45</v>
      </c>
      <c r="O1227" s="202">
        <f t="shared" si="156"/>
        <v>0</v>
      </c>
      <c r="P1227" s="199">
        <f t="shared" si="153"/>
        <v>0</v>
      </c>
      <c r="Q1227" s="203">
        <f t="shared" si="157"/>
        <v>40.000000000001705</v>
      </c>
      <c r="R1227" s="201">
        <f>E1227/B1223-1</f>
        <v>2.2631578947368336E-2</v>
      </c>
      <c r="S1227" s="201">
        <f t="shared" si="158"/>
        <v>-2.0543914768563765E-3</v>
      </c>
    </row>
    <row r="1228" spans="1:19">
      <c r="A1228" s="196">
        <v>41751</v>
      </c>
      <c r="B1228" s="122">
        <v>19.620000999999998</v>
      </c>
      <c r="C1228" s="122">
        <v>19.799999</v>
      </c>
      <c r="D1228" s="122">
        <v>19.549999</v>
      </c>
      <c r="E1228" s="122">
        <v>19.75</v>
      </c>
      <c r="F1228" s="122">
        <v>15.540323000000001</v>
      </c>
      <c r="G1228" s="197">
        <v>216600</v>
      </c>
      <c r="H1228" s="198">
        <f>IF(AND(E1227&gt;=H1227,E1228&gt;=E1227),E1227*(1+'Trading Model'!$E$13),IF(AND(E1228&lt;E1227,E1227&gt;=H1227),E1228*(1+'Trading Model'!$E$13),H1227))</f>
        <v>27.698998950000004</v>
      </c>
      <c r="I1228" s="198">
        <f>IF(K1228&gt;0,E1228*(1-'Trading Model'!E1238),IF(E1228&lt;I1227,I1227*(1-'Trading Model'!$E$14),I1227))</f>
        <v>8.9840153609188427</v>
      </c>
      <c r="J1228" s="198">
        <f t="shared" si="159"/>
        <v>0</v>
      </c>
      <c r="K1228" s="198">
        <f t="shared" si="154"/>
        <v>0</v>
      </c>
      <c r="L1228" s="198">
        <f>COUNTIF(J1228:K1228,"&lt;&gt;0")*-'Trading Model'!$E$15</f>
        <v>0</v>
      </c>
      <c r="M1228" s="198">
        <f t="shared" si="152"/>
        <v>0</v>
      </c>
      <c r="N1228" s="75">
        <f t="shared" si="155"/>
        <v>45</v>
      </c>
      <c r="O1228" s="202">
        <f t="shared" si="156"/>
        <v>0</v>
      </c>
      <c r="P1228" s="199">
        <f t="shared" si="153"/>
        <v>0</v>
      </c>
      <c r="Q1228" s="203">
        <f t="shared" si="157"/>
        <v>40.000000000001705</v>
      </c>
      <c r="R1228" s="160" t="s">
        <v>55</v>
      </c>
      <c r="S1228" s="201">
        <f t="shared" si="158"/>
        <v>1.6469377251672634E-2</v>
      </c>
    </row>
    <row r="1229" spans="1:19">
      <c r="A1229" s="196">
        <v>41752</v>
      </c>
      <c r="B1229" s="122">
        <v>19.68</v>
      </c>
      <c r="C1229" s="122">
        <v>20.399999999999999</v>
      </c>
      <c r="D1229" s="122">
        <v>19.440000999999999</v>
      </c>
      <c r="E1229" s="122">
        <v>19.879999000000002</v>
      </c>
      <c r="F1229" s="122">
        <v>15.642616</v>
      </c>
      <c r="G1229" s="197">
        <v>192400</v>
      </c>
      <c r="H1229" s="198">
        <f>IF(AND(E1228&gt;=H1228,E1229&gt;=E1228),E1228*(1+'Trading Model'!$E$13),IF(AND(E1229&lt;E1228,E1228&gt;=H1228),E1229*(1+'Trading Model'!$E$13),H1228))</f>
        <v>27.698998950000004</v>
      </c>
      <c r="I1229" s="198">
        <f>IF(K1229&gt;0,E1229*(1-'Trading Model'!E1239),IF(E1229&lt;I1228,I1228*(1-'Trading Model'!$E$14),I1228))</f>
        <v>8.9840153609188427</v>
      </c>
      <c r="J1229" s="198">
        <f t="shared" si="159"/>
        <v>0</v>
      </c>
      <c r="K1229" s="198">
        <f t="shared" si="154"/>
        <v>0</v>
      </c>
      <c r="L1229" s="198">
        <f>COUNTIF(J1229:K1229,"&lt;&gt;0")*-'Trading Model'!$E$15</f>
        <v>0</v>
      </c>
      <c r="M1229" s="198">
        <f t="shared" si="152"/>
        <v>0</v>
      </c>
      <c r="N1229" s="75">
        <f t="shared" si="155"/>
        <v>45</v>
      </c>
      <c r="O1229" s="202">
        <f t="shared" si="156"/>
        <v>0</v>
      </c>
      <c r="P1229" s="199">
        <f t="shared" si="153"/>
        <v>0</v>
      </c>
      <c r="Q1229" s="203">
        <f t="shared" si="157"/>
        <v>40.000000000001705</v>
      </c>
      <c r="R1229" s="203" t="s">
        <v>55</v>
      </c>
      <c r="S1229" s="201">
        <f t="shared" si="158"/>
        <v>6.582227848101363E-3</v>
      </c>
    </row>
    <row r="1230" spans="1:19">
      <c r="A1230" s="196">
        <v>41753</v>
      </c>
      <c r="B1230" s="122">
        <v>19.98</v>
      </c>
      <c r="C1230" s="122">
        <v>20.280000999999999</v>
      </c>
      <c r="D1230" s="122">
        <v>19.510000000000002</v>
      </c>
      <c r="E1230" s="122">
        <v>19.600000000000001</v>
      </c>
      <c r="F1230" s="122">
        <v>15.422299000000001</v>
      </c>
      <c r="G1230" s="197">
        <v>194600</v>
      </c>
      <c r="H1230" s="198">
        <f>IF(AND(E1229&gt;=H1229,E1230&gt;=E1229),E1229*(1+'Trading Model'!$E$13),IF(AND(E1230&lt;E1229,E1229&gt;=H1229),E1230*(1+'Trading Model'!$E$13),H1229))</f>
        <v>27.698998950000004</v>
      </c>
      <c r="I1230" s="198">
        <f>IF(K1230&gt;0,E1230*(1-'Trading Model'!E1240),IF(E1230&lt;I1229,I1229*(1-'Trading Model'!$E$14),I1229))</f>
        <v>8.9840153609188427</v>
      </c>
      <c r="J1230" s="198">
        <f t="shared" si="159"/>
        <v>0</v>
      </c>
      <c r="K1230" s="198">
        <f t="shared" si="154"/>
        <v>0</v>
      </c>
      <c r="L1230" s="198">
        <f>COUNTIF(J1230:K1230,"&lt;&gt;0")*-'Trading Model'!$E$15</f>
        <v>0</v>
      </c>
      <c r="M1230" s="198">
        <f t="shared" si="152"/>
        <v>0</v>
      </c>
      <c r="N1230" s="75">
        <f t="shared" si="155"/>
        <v>45</v>
      </c>
      <c r="O1230" s="202">
        <f t="shared" si="156"/>
        <v>0</v>
      </c>
      <c r="P1230" s="199">
        <f t="shared" si="153"/>
        <v>0</v>
      </c>
      <c r="Q1230" s="203">
        <f t="shared" si="157"/>
        <v>39.900000000001704</v>
      </c>
      <c r="R1230" s="203" t="s">
        <v>55</v>
      </c>
      <c r="S1230" s="201">
        <f t="shared" si="158"/>
        <v>-1.4084457448916399E-2</v>
      </c>
    </row>
    <row r="1231" spans="1:19">
      <c r="A1231" s="196">
        <v>41754</v>
      </c>
      <c r="B1231" s="122">
        <v>19.549999</v>
      </c>
      <c r="C1231" s="122">
        <v>19.549999</v>
      </c>
      <c r="D1231" s="122">
        <v>19.030000999999999</v>
      </c>
      <c r="E1231" s="122">
        <v>19.399999999999999</v>
      </c>
      <c r="F1231" s="122">
        <v>15.264927</v>
      </c>
      <c r="G1231" s="197">
        <v>136000</v>
      </c>
      <c r="H1231" s="198">
        <f>IF(AND(E1230&gt;=H1230,E1231&gt;=E1230),E1230*(1+'Trading Model'!$E$13),IF(AND(E1231&lt;E1230,E1230&gt;=H1230),E1231*(1+'Trading Model'!$E$13),H1230))</f>
        <v>27.698998950000004</v>
      </c>
      <c r="I1231" s="198">
        <f>IF(K1231&gt;0,E1231*(1-'Trading Model'!E1241),IF(E1231&lt;I1230,I1230*(1-'Trading Model'!$E$14),I1230))</f>
        <v>8.9840153609188427</v>
      </c>
      <c r="J1231" s="198">
        <f t="shared" si="159"/>
        <v>0</v>
      </c>
      <c r="K1231" s="198">
        <f t="shared" si="154"/>
        <v>0</v>
      </c>
      <c r="L1231" s="198">
        <f>COUNTIF(J1231:K1231,"&lt;&gt;0")*-'Trading Model'!$E$15</f>
        <v>0</v>
      </c>
      <c r="M1231" s="198">
        <f t="shared" si="152"/>
        <v>0</v>
      </c>
      <c r="N1231" s="75">
        <f t="shared" si="155"/>
        <v>45</v>
      </c>
      <c r="O1231" s="202">
        <f t="shared" si="156"/>
        <v>0</v>
      </c>
      <c r="P1231" s="199">
        <f t="shared" si="153"/>
        <v>0</v>
      </c>
      <c r="Q1231" s="203">
        <f t="shared" si="157"/>
        <v>39.800000000001702</v>
      </c>
      <c r="R1231" s="203" t="s">
        <v>55</v>
      </c>
      <c r="S1231" s="201">
        <f t="shared" si="158"/>
        <v>-1.0204081632653184E-2</v>
      </c>
    </row>
    <row r="1232" spans="1:19">
      <c r="A1232" s="196">
        <v>41757</v>
      </c>
      <c r="B1232" s="122">
        <v>19.399999999999999</v>
      </c>
      <c r="C1232" s="122">
        <v>20.540001</v>
      </c>
      <c r="D1232" s="122">
        <v>19.399999999999999</v>
      </c>
      <c r="E1232" s="122">
        <v>20.49</v>
      </c>
      <c r="F1232" s="122">
        <v>16.122595</v>
      </c>
      <c r="G1232" s="197">
        <v>244100</v>
      </c>
      <c r="H1232" s="198">
        <f>IF(AND(E1231&gt;=H1231,E1232&gt;=E1231),E1231*(1+'Trading Model'!$E$13),IF(AND(E1232&lt;E1231,E1231&gt;=H1231),E1232*(1+'Trading Model'!$E$13),H1231))</f>
        <v>27.698998950000004</v>
      </c>
      <c r="I1232" s="198">
        <f>IF(K1232&gt;0,E1232*(1-'Trading Model'!E1242),IF(E1232&lt;I1231,I1231*(1-'Trading Model'!$E$14),I1231))</f>
        <v>8.9840153609188427</v>
      </c>
      <c r="J1232" s="198">
        <f t="shared" si="159"/>
        <v>0</v>
      </c>
      <c r="K1232" s="198">
        <f t="shared" si="154"/>
        <v>0</v>
      </c>
      <c r="L1232" s="198">
        <f>COUNTIF(J1232:K1232,"&lt;&gt;0")*-'Trading Model'!$E$15</f>
        <v>0</v>
      </c>
      <c r="M1232" s="198">
        <f t="shared" si="152"/>
        <v>0</v>
      </c>
      <c r="N1232" s="75">
        <f t="shared" si="155"/>
        <v>45</v>
      </c>
      <c r="O1232" s="202">
        <f t="shared" si="156"/>
        <v>0</v>
      </c>
      <c r="P1232" s="199">
        <f t="shared" si="153"/>
        <v>0</v>
      </c>
      <c r="Q1232" s="203">
        <f t="shared" si="157"/>
        <v>39.800000000001702</v>
      </c>
      <c r="R1232" s="201">
        <f>E1232/B1228-1</f>
        <v>4.4342454416796517E-2</v>
      </c>
      <c r="S1232" s="201">
        <f t="shared" si="158"/>
        <v>5.6185567010309301E-2</v>
      </c>
    </row>
    <row r="1233" spans="1:19">
      <c r="A1233" s="196">
        <v>41758</v>
      </c>
      <c r="B1233" s="122">
        <v>20.540001</v>
      </c>
      <c r="C1233" s="122">
        <v>20.98</v>
      </c>
      <c r="D1233" s="122">
        <v>19.969999000000001</v>
      </c>
      <c r="E1233" s="122">
        <v>20.09</v>
      </c>
      <c r="F1233" s="122">
        <v>15.807853</v>
      </c>
      <c r="G1233" s="197">
        <v>198900</v>
      </c>
      <c r="H1233" s="198">
        <f>IF(AND(E1232&gt;=H1232,E1233&gt;=E1232),E1232*(1+'Trading Model'!$E$13),IF(AND(E1233&lt;E1232,E1232&gt;=H1232),E1233*(1+'Trading Model'!$E$13),H1232))</f>
        <v>27.698998950000004</v>
      </c>
      <c r="I1233" s="198">
        <f>IF(K1233&gt;0,E1233*(1-'Trading Model'!E1243),IF(E1233&lt;I1232,I1232*(1-'Trading Model'!$E$14),I1232))</f>
        <v>8.9840153609188427</v>
      </c>
      <c r="J1233" s="198">
        <f t="shared" si="159"/>
        <v>0</v>
      </c>
      <c r="K1233" s="198">
        <f t="shared" si="154"/>
        <v>0</v>
      </c>
      <c r="L1233" s="198">
        <f>COUNTIF(J1233:K1233,"&lt;&gt;0")*-'Trading Model'!$E$15</f>
        <v>0</v>
      </c>
      <c r="M1233" s="198">
        <f t="shared" si="152"/>
        <v>0</v>
      </c>
      <c r="N1233" s="75">
        <f t="shared" si="155"/>
        <v>45</v>
      </c>
      <c r="O1233" s="202">
        <f t="shared" si="156"/>
        <v>0</v>
      </c>
      <c r="P1233" s="199">
        <f t="shared" si="153"/>
        <v>0</v>
      </c>
      <c r="Q1233" s="203">
        <f t="shared" si="157"/>
        <v>39.700000000001701</v>
      </c>
      <c r="R1233" s="160" t="s">
        <v>55</v>
      </c>
      <c r="S1233" s="201">
        <f t="shared" si="158"/>
        <v>-1.9521717911176073E-2</v>
      </c>
    </row>
    <row r="1234" spans="1:19">
      <c r="A1234" s="196">
        <v>41759</v>
      </c>
      <c r="B1234" s="122">
        <v>20.149999999999999</v>
      </c>
      <c r="C1234" s="122">
        <v>20.43</v>
      </c>
      <c r="D1234" s="122">
        <v>19.75</v>
      </c>
      <c r="E1234" s="122">
        <v>20.370000999999998</v>
      </c>
      <c r="F1234" s="122">
        <v>16.028172999999999</v>
      </c>
      <c r="G1234" s="197">
        <v>102600</v>
      </c>
      <c r="H1234" s="198">
        <f>IF(AND(E1233&gt;=H1233,E1234&gt;=E1233),E1233*(1+'Trading Model'!$E$13),IF(AND(E1234&lt;E1233,E1233&gt;=H1233),E1234*(1+'Trading Model'!$E$13),H1233))</f>
        <v>27.698998950000004</v>
      </c>
      <c r="I1234" s="198">
        <f>IF(K1234&gt;0,E1234*(1-'Trading Model'!E1244),IF(E1234&lt;I1233,I1233*(1-'Trading Model'!$E$14),I1233))</f>
        <v>8.9840153609188427</v>
      </c>
      <c r="J1234" s="198">
        <f t="shared" si="159"/>
        <v>0</v>
      </c>
      <c r="K1234" s="198">
        <f t="shared" si="154"/>
        <v>0</v>
      </c>
      <c r="L1234" s="198">
        <f>COUNTIF(J1234:K1234,"&lt;&gt;0")*-'Trading Model'!$E$15</f>
        <v>0</v>
      </c>
      <c r="M1234" s="198">
        <f t="shared" si="152"/>
        <v>0</v>
      </c>
      <c r="N1234" s="75">
        <f t="shared" si="155"/>
        <v>45</v>
      </c>
      <c r="O1234" s="202">
        <f t="shared" si="156"/>
        <v>0</v>
      </c>
      <c r="P1234" s="199">
        <f t="shared" si="153"/>
        <v>0</v>
      </c>
      <c r="Q1234" s="203">
        <f t="shared" si="157"/>
        <v>39.700000000001701</v>
      </c>
      <c r="R1234" s="203" t="s">
        <v>55</v>
      </c>
      <c r="S1234" s="201">
        <f t="shared" si="158"/>
        <v>1.3937332005973024E-2</v>
      </c>
    </row>
    <row r="1235" spans="1:19">
      <c r="A1235" s="196">
        <v>41760</v>
      </c>
      <c r="B1235" s="122">
        <v>20.43</v>
      </c>
      <c r="C1235" s="122">
        <v>20.85</v>
      </c>
      <c r="D1235" s="122">
        <v>20.190000999999999</v>
      </c>
      <c r="E1235" s="122">
        <v>20.59</v>
      </c>
      <c r="F1235" s="122">
        <v>16.201283</v>
      </c>
      <c r="G1235" s="197">
        <v>81500</v>
      </c>
      <c r="H1235" s="198">
        <f>IF(AND(E1234&gt;=H1234,E1235&gt;=E1234),E1234*(1+'Trading Model'!$E$13),IF(AND(E1235&lt;E1234,E1234&gt;=H1234),E1235*(1+'Trading Model'!$E$13),H1234))</f>
        <v>27.698998950000004</v>
      </c>
      <c r="I1235" s="198">
        <f>IF(K1235&gt;0,E1235*(1-'Trading Model'!E1245),IF(E1235&lt;I1234,I1234*(1-'Trading Model'!$E$14),I1234))</f>
        <v>8.9840153609188427</v>
      </c>
      <c r="J1235" s="198">
        <f t="shared" si="159"/>
        <v>0</v>
      </c>
      <c r="K1235" s="198">
        <f t="shared" si="154"/>
        <v>0</v>
      </c>
      <c r="L1235" s="198">
        <f>COUNTIF(J1235:K1235,"&lt;&gt;0")*-'Trading Model'!$E$15</f>
        <v>0</v>
      </c>
      <c r="M1235" s="198">
        <f t="shared" si="152"/>
        <v>0</v>
      </c>
      <c r="N1235" s="75">
        <f t="shared" si="155"/>
        <v>45</v>
      </c>
      <c r="O1235" s="202">
        <f t="shared" si="156"/>
        <v>0</v>
      </c>
      <c r="P1235" s="199">
        <f t="shared" si="153"/>
        <v>0</v>
      </c>
      <c r="Q1235" s="203">
        <f t="shared" si="157"/>
        <v>39.700000000001701</v>
      </c>
      <c r="R1235" s="203" t="s">
        <v>55</v>
      </c>
      <c r="S1235" s="201">
        <f t="shared" si="158"/>
        <v>1.0800146745206352E-2</v>
      </c>
    </row>
    <row r="1236" spans="1:19">
      <c r="A1236" s="196">
        <v>41761</v>
      </c>
      <c r="B1236" s="122">
        <v>20.68</v>
      </c>
      <c r="C1236" s="122">
        <v>20.969999000000001</v>
      </c>
      <c r="D1236" s="122">
        <v>20.540001</v>
      </c>
      <c r="E1236" s="122">
        <v>20.82</v>
      </c>
      <c r="F1236" s="122">
        <v>16.382256000000002</v>
      </c>
      <c r="G1236" s="197">
        <v>87200</v>
      </c>
      <c r="H1236" s="198">
        <f>IF(AND(E1235&gt;=H1235,E1236&gt;=E1235),E1235*(1+'Trading Model'!$E$13),IF(AND(E1236&lt;E1235,E1235&gt;=H1235),E1236*(1+'Trading Model'!$E$13),H1235))</f>
        <v>27.698998950000004</v>
      </c>
      <c r="I1236" s="198">
        <f>IF(K1236&gt;0,E1236*(1-'Trading Model'!E1246),IF(E1236&lt;I1235,I1235*(1-'Trading Model'!$E$14),I1235))</f>
        <v>8.9840153609188427</v>
      </c>
      <c r="J1236" s="198">
        <f t="shared" si="159"/>
        <v>0</v>
      </c>
      <c r="K1236" s="198">
        <f t="shared" si="154"/>
        <v>0</v>
      </c>
      <c r="L1236" s="198">
        <f>COUNTIF(J1236:K1236,"&lt;&gt;0")*-'Trading Model'!$E$15</f>
        <v>0</v>
      </c>
      <c r="M1236" s="198">
        <f t="shared" si="152"/>
        <v>0</v>
      </c>
      <c r="N1236" s="75">
        <f t="shared" si="155"/>
        <v>45</v>
      </c>
      <c r="O1236" s="202">
        <f t="shared" si="156"/>
        <v>0</v>
      </c>
      <c r="P1236" s="199">
        <f t="shared" si="153"/>
        <v>0</v>
      </c>
      <c r="Q1236" s="203">
        <f t="shared" si="157"/>
        <v>39.700000000001701</v>
      </c>
      <c r="R1236" s="203" t="s">
        <v>55</v>
      </c>
      <c r="S1236" s="201">
        <f t="shared" si="158"/>
        <v>1.1170471102476931E-2</v>
      </c>
    </row>
    <row r="1237" spans="1:19">
      <c r="A1237" s="196">
        <v>41764</v>
      </c>
      <c r="B1237" s="122">
        <v>20.76</v>
      </c>
      <c r="C1237" s="122">
        <v>21.25</v>
      </c>
      <c r="D1237" s="122">
        <v>20.65</v>
      </c>
      <c r="E1237" s="122">
        <v>21.110001</v>
      </c>
      <c r="F1237" s="122">
        <v>16.925045000000001</v>
      </c>
      <c r="G1237" s="197">
        <v>160100</v>
      </c>
      <c r="H1237" s="198">
        <f>IF(AND(E1236&gt;=H1236,E1237&gt;=E1236),E1236*(1+'Trading Model'!$E$13),IF(AND(E1237&lt;E1236,E1236&gt;=H1236),E1237*(1+'Trading Model'!$E$13),H1236))</f>
        <v>27.698998950000004</v>
      </c>
      <c r="I1237" s="198">
        <f>IF(K1237&gt;0,E1237*(1-'Trading Model'!E1247),IF(E1237&lt;I1236,I1236*(1-'Trading Model'!$E$14),I1236))</f>
        <v>8.9840153609188427</v>
      </c>
      <c r="J1237" s="198">
        <f t="shared" si="159"/>
        <v>0</v>
      </c>
      <c r="K1237" s="198">
        <f t="shared" si="154"/>
        <v>0</v>
      </c>
      <c r="L1237" s="198">
        <f>COUNTIF(J1237:K1237,"&lt;&gt;0")*-'Trading Model'!$E$15</f>
        <v>0</v>
      </c>
      <c r="M1237" s="198">
        <f t="shared" si="152"/>
        <v>0</v>
      </c>
      <c r="N1237" s="75">
        <f t="shared" si="155"/>
        <v>45</v>
      </c>
      <c r="O1237" s="202">
        <f t="shared" si="156"/>
        <v>0.38700000000000001</v>
      </c>
      <c r="P1237" s="199">
        <f t="shared" si="153"/>
        <v>0.38700000000000001</v>
      </c>
      <c r="Q1237" s="203">
        <f t="shared" si="157"/>
        <v>39.700000000001701</v>
      </c>
      <c r="R1237" s="201">
        <f>E1237/B1233-1</f>
        <v>2.7750728931317914E-2</v>
      </c>
      <c r="S1237" s="201">
        <f t="shared" si="158"/>
        <v>1.3928962536023048E-2</v>
      </c>
    </row>
    <row r="1238" spans="1:19">
      <c r="A1238" s="196">
        <v>41765</v>
      </c>
      <c r="B1238" s="122">
        <v>21.120000999999998</v>
      </c>
      <c r="C1238" s="122">
        <v>21.18</v>
      </c>
      <c r="D1238" s="122">
        <v>20.780000999999999</v>
      </c>
      <c r="E1238" s="122">
        <v>21.049999</v>
      </c>
      <c r="F1238" s="122">
        <v>16.876940000000001</v>
      </c>
      <c r="G1238" s="197">
        <v>65100</v>
      </c>
      <c r="H1238" s="198">
        <f>IF(AND(E1237&gt;=H1237,E1238&gt;=E1237),E1237*(1+'Trading Model'!$E$13),IF(AND(E1238&lt;E1237,E1237&gt;=H1237),E1238*(1+'Trading Model'!$E$13),H1237))</f>
        <v>27.698998950000004</v>
      </c>
      <c r="I1238" s="198">
        <f>IF(K1238&gt;0,E1238*(1-'Trading Model'!E1248),IF(E1238&lt;I1237,I1237*(1-'Trading Model'!$E$14),I1237))</f>
        <v>8.9840153609188427</v>
      </c>
      <c r="J1238" s="198">
        <f t="shared" si="159"/>
        <v>0</v>
      </c>
      <c r="K1238" s="198">
        <f t="shared" si="154"/>
        <v>0</v>
      </c>
      <c r="L1238" s="198">
        <f>COUNTIF(J1238:K1238,"&lt;&gt;0")*-'Trading Model'!$E$15</f>
        <v>0</v>
      </c>
      <c r="M1238" s="198">
        <f t="shared" si="152"/>
        <v>0</v>
      </c>
      <c r="N1238" s="75">
        <f t="shared" si="155"/>
        <v>45</v>
      </c>
      <c r="O1238" s="202">
        <f t="shared" si="156"/>
        <v>0</v>
      </c>
      <c r="P1238" s="199">
        <f t="shared" si="153"/>
        <v>0</v>
      </c>
      <c r="Q1238" s="203">
        <f t="shared" si="157"/>
        <v>39.6000000000017</v>
      </c>
      <c r="R1238" s="160" t="s">
        <v>55</v>
      </c>
      <c r="S1238" s="201">
        <f t="shared" si="158"/>
        <v>-2.8423494627025647E-3</v>
      </c>
    </row>
    <row r="1239" spans="1:19">
      <c r="A1239" s="196">
        <v>41766</v>
      </c>
      <c r="B1239" s="122">
        <v>21.17</v>
      </c>
      <c r="C1239" s="122">
        <v>21.799999</v>
      </c>
      <c r="D1239" s="122">
        <v>21.1</v>
      </c>
      <c r="E1239" s="122">
        <v>21.790001</v>
      </c>
      <c r="F1239" s="122">
        <v>17.47024</v>
      </c>
      <c r="G1239" s="197">
        <v>149000</v>
      </c>
      <c r="H1239" s="198">
        <f>IF(AND(E1238&gt;=H1238,E1239&gt;=E1238),E1238*(1+'Trading Model'!$E$13),IF(AND(E1239&lt;E1238,E1238&gt;=H1238),E1239*(1+'Trading Model'!$E$13),H1238))</f>
        <v>27.698998950000004</v>
      </c>
      <c r="I1239" s="198">
        <f>IF(K1239&gt;0,E1239*(1-'Trading Model'!E1249),IF(E1239&lt;I1238,I1238*(1-'Trading Model'!$E$14),I1238))</f>
        <v>8.9840153609188427</v>
      </c>
      <c r="J1239" s="198">
        <f t="shared" si="159"/>
        <v>0</v>
      </c>
      <c r="K1239" s="198">
        <f t="shared" si="154"/>
        <v>0</v>
      </c>
      <c r="L1239" s="198">
        <f>COUNTIF(J1239:K1239,"&lt;&gt;0")*-'Trading Model'!$E$15</f>
        <v>0</v>
      </c>
      <c r="M1239" s="198">
        <f t="shared" si="152"/>
        <v>0</v>
      </c>
      <c r="N1239" s="75">
        <f t="shared" si="155"/>
        <v>45</v>
      </c>
      <c r="O1239" s="202">
        <f t="shared" si="156"/>
        <v>0</v>
      </c>
      <c r="P1239" s="199">
        <f t="shared" si="153"/>
        <v>0</v>
      </c>
      <c r="Q1239" s="203">
        <f t="shared" si="157"/>
        <v>39.6000000000017</v>
      </c>
      <c r="R1239" s="203" t="s">
        <v>55</v>
      </c>
      <c r="S1239" s="201">
        <f t="shared" si="158"/>
        <v>3.5154490981210929E-2</v>
      </c>
    </row>
    <row r="1240" spans="1:19">
      <c r="A1240" s="196">
        <v>41767</v>
      </c>
      <c r="B1240" s="122">
        <v>21.790001</v>
      </c>
      <c r="C1240" s="122">
        <v>21.790001</v>
      </c>
      <c r="D1240" s="122">
        <v>20.290001</v>
      </c>
      <c r="E1240" s="122">
        <v>20.6</v>
      </c>
      <c r="F1240" s="122">
        <v>16.516151000000001</v>
      </c>
      <c r="G1240" s="197">
        <v>199000</v>
      </c>
      <c r="H1240" s="198">
        <f>IF(AND(E1239&gt;=H1239,E1240&gt;=E1239),E1239*(1+'Trading Model'!$E$13),IF(AND(E1240&lt;E1239,E1239&gt;=H1239),E1240*(1+'Trading Model'!$E$13),H1239))</f>
        <v>27.698998950000004</v>
      </c>
      <c r="I1240" s="198">
        <f>IF(K1240&gt;0,E1240*(1-'Trading Model'!E1250),IF(E1240&lt;I1239,I1239*(1-'Trading Model'!$E$14),I1239))</f>
        <v>8.9840153609188427</v>
      </c>
      <c r="J1240" s="198">
        <f t="shared" si="159"/>
        <v>0</v>
      </c>
      <c r="K1240" s="198">
        <f t="shared" si="154"/>
        <v>0</v>
      </c>
      <c r="L1240" s="198">
        <f>COUNTIF(J1240:K1240,"&lt;&gt;0")*-'Trading Model'!$E$15</f>
        <v>0</v>
      </c>
      <c r="M1240" s="198">
        <f t="shared" si="152"/>
        <v>0</v>
      </c>
      <c r="N1240" s="75">
        <f t="shared" si="155"/>
        <v>45</v>
      </c>
      <c r="O1240" s="202">
        <f t="shared" si="156"/>
        <v>0</v>
      </c>
      <c r="P1240" s="199">
        <f t="shared" si="153"/>
        <v>0</v>
      </c>
      <c r="Q1240" s="203">
        <f t="shared" si="157"/>
        <v>39.500000000001698</v>
      </c>
      <c r="R1240" s="203" t="s">
        <v>55</v>
      </c>
      <c r="S1240" s="201">
        <f t="shared" si="158"/>
        <v>-5.4612250820915476E-2</v>
      </c>
    </row>
    <row r="1241" spans="1:19">
      <c r="A1241" s="196">
        <v>41768</v>
      </c>
      <c r="B1241" s="122">
        <v>20.719999000000001</v>
      </c>
      <c r="C1241" s="122">
        <v>21.110001</v>
      </c>
      <c r="D1241" s="122">
        <v>20.49</v>
      </c>
      <c r="E1241" s="122">
        <v>20.65</v>
      </c>
      <c r="F1241" s="122">
        <v>16.556238</v>
      </c>
      <c r="G1241" s="197">
        <v>121100</v>
      </c>
      <c r="H1241" s="198">
        <f>IF(AND(E1240&gt;=H1240,E1241&gt;=E1240),E1240*(1+'Trading Model'!$E$13),IF(AND(E1241&lt;E1240,E1240&gt;=H1240),E1241*(1+'Trading Model'!$E$13),H1240))</f>
        <v>27.698998950000004</v>
      </c>
      <c r="I1241" s="198">
        <f>IF(K1241&gt;0,E1241*(1-'Trading Model'!E1251),IF(E1241&lt;I1240,I1240*(1-'Trading Model'!$E$14),I1240))</f>
        <v>8.9840153609188427</v>
      </c>
      <c r="J1241" s="198">
        <f t="shared" si="159"/>
        <v>0</v>
      </c>
      <c r="K1241" s="198">
        <f t="shared" si="154"/>
        <v>0</v>
      </c>
      <c r="L1241" s="198">
        <f>COUNTIF(J1241:K1241,"&lt;&gt;0")*-'Trading Model'!$E$15</f>
        <v>0</v>
      </c>
      <c r="M1241" s="198">
        <f t="shared" si="152"/>
        <v>0</v>
      </c>
      <c r="N1241" s="75">
        <f t="shared" si="155"/>
        <v>45</v>
      </c>
      <c r="O1241" s="202">
        <f t="shared" si="156"/>
        <v>0</v>
      </c>
      <c r="P1241" s="199">
        <f t="shared" si="153"/>
        <v>0</v>
      </c>
      <c r="Q1241" s="203">
        <f t="shared" si="157"/>
        <v>39.500000000001698</v>
      </c>
      <c r="R1241" s="203" t="s">
        <v>55</v>
      </c>
      <c r="S1241" s="201">
        <f t="shared" si="158"/>
        <v>2.4271844660193054E-3</v>
      </c>
    </row>
    <row r="1242" spans="1:19">
      <c r="A1242" s="196">
        <v>41771</v>
      </c>
      <c r="B1242" s="122">
        <v>20.700001</v>
      </c>
      <c r="C1242" s="122">
        <v>21</v>
      </c>
      <c r="D1242" s="122">
        <v>20.49</v>
      </c>
      <c r="E1242" s="122">
        <v>20.549999</v>
      </c>
      <c r="F1242" s="122">
        <v>16.476063</v>
      </c>
      <c r="G1242" s="197">
        <v>193100</v>
      </c>
      <c r="H1242" s="198">
        <f>IF(AND(E1241&gt;=H1241,E1242&gt;=E1241),E1241*(1+'Trading Model'!$E$13),IF(AND(E1242&lt;E1241,E1241&gt;=H1241),E1242*(1+'Trading Model'!$E$13),H1241))</f>
        <v>27.698998950000004</v>
      </c>
      <c r="I1242" s="198">
        <f>IF(K1242&gt;0,E1242*(1-'Trading Model'!E1252),IF(E1242&lt;I1241,I1241*(1-'Trading Model'!$E$14),I1241))</f>
        <v>8.9840153609188427</v>
      </c>
      <c r="J1242" s="198">
        <f t="shared" si="159"/>
        <v>0</v>
      </c>
      <c r="K1242" s="198">
        <f t="shared" si="154"/>
        <v>0</v>
      </c>
      <c r="L1242" s="198">
        <f>COUNTIF(J1242:K1242,"&lt;&gt;0")*-'Trading Model'!$E$15</f>
        <v>0</v>
      </c>
      <c r="M1242" s="198">
        <f t="shared" si="152"/>
        <v>0</v>
      </c>
      <c r="N1242" s="75">
        <f t="shared" si="155"/>
        <v>45</v>
      </c>
      <c r="O1242" s="202">
        <f t="shared" si="156"/>
        <v>0</v>
      </c>
      <c r="P1242" s="199">
        <f t="shared" si="153"/>
        <v>0</v>
      </c>
      <c r="Q1242" s="203">
        <f t="shared" si="157"/>
        <v>39.400000000001697</v>
      </c>
      <c r="R1242" s="201">
        <f>E1242/B1238-1</f>
        <v>-2.6988729782730592E-2</v>
      </c>
      <c r="S1242" s="201">
        <f t="shared" si="158"/>
        <v>-4.842663438256567E-3</v>
      </c>
    </row>
    <row r="1243" spans="1:19">
      <c r="A1243" s="196">
        <v>41772</v>
      </c>
      <c r="B1243" s="122">
        <v>20.540001</v>
      </c>
      <c r="C1243" s="122">
        <v>20.799999</v>
      </c>
      <c r="D1243" s="122">
        <v>19.799999</v>
      </c>
      <c r="E1243" s="122">
        <v>19.969999000000001</v>
      </c>
      <c r="F1243" s="122">
        <v>16.011043999999998</v>
      </c>
      <c r="G1243" s="197">
        <v>245900</v>
      </c>
      <c r="H1243" s="198">
        <f>IF(AND(E1242&gt;=H1242,E1243&gt;=E1242),E1242*(1+'Trading Model'!$E$13),IF(AND(E1243&lt;E1242,E1242&gt;=H1242),E1243*(1+'Trading Model'!$E$13),H1242))</f>
        <v>27.698998950000004</v>
      </c>
      <c r="I1243" s="198">
        <f>IF(K1243&gt;0,E1243*(1-'Trading Model'!E1253),IF(E1243&lt;I1242,I1242*(1-'Trading Model'!$E$14),I1242))</f>
        <v>8.9840153609188427</v>
      </c>
      <c r="J1243" s="198">
        <f t="shared" si="159"/>
        <v>0</v>
      </c>
      <c r="K1243" s="198">
        <f t="shared" si="154"/>
        <v>0</v>
      </c>
      <c r="L1243" s="198">
        <f>COUNTIF(J1243:K1243,"&lt;&gt;0")*-'Trading Model'!$E$15</f>
        <v>0</v>
      </c>
      <c r="M1243" s="198">
        <f t="shared" si="152"/>
        <v>0</v>
      </c>
      <c r="N1243" s="75">
        <f t="shared" si="155"/>
        <v>45</v>
      </c>
      <c r="O1243" s="202">
        <f t="shared" si="156"/>
        <v>0</v>
      </c>
      <c r="P1243" s="199">
        <f t="shared" si="153"/>
        <v>0</v>
      </c>
      <c r="Q1243" s="203">
        <f t="shared" si="157"/>
        <v>39.300000000001695</v>
      </c>
      <c r="R1243" s="160" t="s">
        <v>55</v>
      </c>
      <c r="S1243" s="201">
        <f t="shared" si="158"/>
        <v>-2.8223845655661495E-2</v>
      </c>
    </row>
    <row r="1244" spans="1:19">
      <c r="A1244" s="196">
        <v>41773</v>
      </c>
      <c r="B1244" s="122">
        <v>20</v>
      </c>
      <c r="C1244" s="122">
        <v>20.219999000000001</v>
      </c>
      <c r="D1244" s="122">
        <v>19.41</v>
      </c>
      <c r="E1244" s="122">
        <v>19.600000000000001</v>
      </c>
      <c r="F1244" s="122">
        <v>15.714396000000001</v>
      </c>
      <c r="G1244" s="197">
        <v>168700</v>
      </c>
      <c r="H1244" s="198">
        <f>IF(AND(E1243&gt;=H1243,E1244&gt;=E1243),E1243*(1+'Trading Model'!$E$13),IF(AND(E1244&lt;E1243,E1243&gt;=H1243),E1244*(1+'Trading Model'!$E$13),H1243))</f>
        <v>27.698998950000004</v>
      </c>
      <c r="I1244" s="198">
        <f>IF(K1244&gt;0,E1244*(1-'Trading Model'!E1254),IF(E1244&lt;I1243,I1243*(1-'Trading Model'!$E$14),I1243))</f>
        <v>8.9840153609188427</v>
      </c>
      <c r="J1244" s="198">
        <f t="shared" si="159"/>
        <v>0</v>
      </c>
      <c r="K1244" s="198">
        <f t="shared" si="154"/>
        <v>0</v>
      </c>
      <c r="L1244" s="198">
        <f>COUNTIF(J1244:K1244,"&lt;&gt;0")*-'Trading Model'!$E$15</f>
        <v>0</v>
      </c>
      <c r="M1244" s="198">
        <f t="shared" si="152"/>
        <v>0</v>
      </c>
      <c r="N1244" s="75">
        <f t="shared" si="155"/>
        <v>45</v>
      </c>
      <c r="O1244" s="202">
        <f t="shared" si="156"/>
        <v>0</v>
      </c>
      <c r="P1244" s="199">
        <f t="shared" si="153"/>
        <v>0</v>
      </c>
      <c r="Q1244" s="203">
        <f t="shared" si="157"/>
        <v>39.200000000001694</v>
      </c>
      <c r="R1244" s="203" t="s">
        <v>55</v>
      </c>
      <c r="S1244" s="201">
        <f t="shared" si="158"/>
        <v>-1.8527742540197401E-2</v>
      </c>
    </row>
    <row r="1245" spans="1:19">
      <c r="A1245" s="196">
        <v>41774</v>
      </c>
      <c r="B1245" s="122">
        <v>19.620000999999998</v>
      </c>
      <c r="C1245" s="122">
        <v>19.68</v>
      </c>
      <c r="D1245" s="122">
        <v>19.100000000000001</v>
      </c>
      <c r="E1245" s="122">
        <v>19.170000000000002</v>
      </c>
      <c r="F1245" s="122">
        <v>15.36964</v>
      </c>
      <c r="G1245" s="197">
        <v>125100</v>
      </c>
      <c r="H1245" s="198">
        <f>IF(AND(E1244&gt;=H1244,E1245&gt;=E1244),E1244*(1+'Trading Model'!$E$13),IF(AND(E1245&lt;E1244,E1244&gt;=H1244),E1245*(1+'Trading Model'!$E$13),H1244))</f>
        <v>27.698998950000004</v>
      </c>
      <c r="I1245" s="198">
        <f>IF(K1245&gt;0,E1245*(1-'Trading Model'!E1255),IF(E1245&lt;I1244,I1244*(1-'Trading Model'!$E$14),I1244))</f>
        <v>8.9840153609188427</v>
      </c>
      <c r="J1245" s="198">
        <f t="shared" si="159"/>
        <v>0</v>
      </c>
      <c r="K1245" s="198">
        <f t="shared" si="154"/>
        <v>0</v>
      </c>
      <c r="L1245" s="198">
        <f>COUNTIF(J1245:K1245,"&lt;&gt;0")*-'Trading Model'!$E$15</f>
        <v>0</v>
      </c>
      <c r="M1245" s="198">
        <f t="shared" si="152"/>
        <v>0</v>
      </c>
      <c r="N1245" s="75">
        <f t="shared" si="155"/>
        <v>45</v>
      </c>
      <c r="O1245" s="202">
        <f t="shared" si="156"/>
        <v>0</v>
      </c>
      <c r="P1245" s="199">
        <f t="shared" si="153"/>
        <v>0</v>
      </c>
      <c r="Q1245" s="203">
        <f t="shared" si="157"/>
        <v>39.100000000001693</v>
      </c>
      <c r="R1245" s="203" t="s">
        <v>55</v>
      </c>
      <c r="S1245" s="201">
        <f t="shared" si="158"/>
        <v>-2.1938775510204067E-2</v>
      </c>
    </row>
    <row r="1246" spans="1:19">
      <c r="A1246" s="196">
        <v>41775</v>
      </c>
      <c r="B1246" s="122">
        <v>19.309999000000001</v>
      </c>
      <c r="C1246" s="122">
        <v>19.32</v>
      </c>
      <c r="D1246" s="122">
        <v>18.850000000000001</v>
      </c>
      <c r="E1246" s="122">
        <v>19.32</v>
      </c>
      <c r="F1246" s="122">
        <v>15.489902000000001</v>
      </c>
      <c r="G1246" s="197">
        <v>149500</v>
      </c>
      <c r="H1246" s="198">
        <f>IF(AND(E1245&gt;=H1245,E1246&gt;=E1245),E1245*(1+'Trading Model'!$E$13),IF(AND(E1246&lt;E1245,E1245&gt;=H1245),E1246*(1+'Trading Model'!$E$13),H1245))</f>
        <v>27.698998950000004</v>
      </c>
      <c r="I1246" s="198">
        <f>IF(K1246&gt;0,E1246*(1-'Trading Model'!E1256),IF(E1246&lt;I1245,I1245*(1-'Trading Model'!$E$14),I1245))</f>
        <v>8.9840153609188427</v>
      </c>
      <c r="J1246" s="198">
        <f t="shared" si="159"/>
        <v>0</v>
      </c>
      <c r="K1246" s="198">
        <f t="shared" si="154"/>
        <v>0</v>
      </c>
      <c r="L1246" s="198">
        <f>COUNTIF(J1246:K1246,"&lt;&gt;0")*-'Trading Model'!$E$15</f>
        <v>0</v>
      </c>
      <c r="M1246" s="198">
        <f t="shared" si="152"/>
        <v>0</v>
      </c>
      <c r="N1246" s="75">
        <f t="shared" si="155"/>
        <v>45</v>
      </c>
      <c r="O1246" s="202">
        <f t="shared" si="156"/>
        <v>0</v>
      </c>
      <c r="P1246" s="199">
        <f t="shared" si="153"/>
        <v>0</v>
      </c>
      <c r="Q1246" s="203">
        <f t="shared" si="157"/>
        <v>39.100000000001693</v>
      </c>
      <c r="R1246" s="203" t="s">
        <v>55</v>
      </c>
      <c r="S1246" s="201">
        <f t="shared" si="158"/>
        <v>7.8247261345851804E-3</v>
      </c>
    </row>
    <row r="1247" spans="1:19">
      <c r="A1247" s="196">
        <v>41778</v>
      </c>
      <c r="B1247" s="122">
        <v>19.219999000000001</v>
      </c>
      <c r="C1247" s="122">
        <v>19.68</v>
      </c>
      <c r="D1247" s="122">
        <v>18.809999000000001</v>
      </c>
      <c r="E1247" s="122">
        <v>19.620000999999998</v>
      </c>
      <c r="F1247" s="122">
        <v>15.73043</v>
      </c>
      <c r="G1247" s="197">
        <v>110200</v>
      </c>
      <c r="H1247" s="198">
        <f>IF(AND(E1246&gt;=H1246,E1247&gt;=E1246),E1246*(1+'Trading Model'!$E$13),IF(AND(E1247&lt;E1246,E1246&gt;=H1246),E1247*(1+'Trading Model'!$E$13),H1246))</f>
        <v>27.698998950000004</v>
      </c>
      <c r="I1247" s="198">
        <f>IF(K1247&gt;0,E1247*(1-'Trading Model'!E1257),IF(E1247&lt;I1246,I1246*(1-'Trading Model'!$E$14),I1246))</f>
        <v>8.9840153609188427</v>
      </c>
      <c r="J1247" s="198">
        <f t="shared" si="159"/>
        <v>0</v>
      </c>
      <c r="K1247" s="198">
        <f t="shared" si="154"/>
        <v>0</v>
      </c>
      <c r="L1247" s="198">
        <f>COUNTIF(J1247:K1247,"&lt;&gt;0")*-'Trading Model'!$E$15</f>
        <v>0</v>
      </c>
      <c r="M1247" s="198">
        <f t="shared" si="152"/>
        <v>0</v>
      </c>
      <c r="N1247" s="75">
        <f t="shared" si="155"/>
        <v>45</v>
      </c>
      <c r="O1247" s="202">
        <f t="shared" si="156"/>
        <v>0</v>
      </c>
      <c r="P1247" s="199">
        <f t="shared" si="153"/>
        <v>0</v>
      </c>
      <c r="Q1247" s="203">
        <f t="shared" si="157"/>
        <v>39.100000000001693</v>
      </c>
      <c r="R1247" s="201">
        <f>E1247/B1243-1</f>
        <v>-4.4790650204934335E-2</v>
      </c>
      <c r="S1247" s="201">
        <f t="shared" si="158"/>
        <v>1.5528002070393176E-2</v>
      </c>
    </row>
    <row r="1248" spans="1:19">
      <c r="A1248" s="196">
        <v>41779</v>
      </c>
      <c r="B1248" s="122">
        <v>19.549999</v>
      </c>
      <c r="C1248" s="122">
        <v>19.739999999999998</v>
      </c>
      <c r="D1248" s="122">
        <v>19.07</v>
      </c>
      <c r="E1248" s="122">
        <v>19.620000999999998</v>
      </c>
      <c r="F1248" s="122">
        <v>15.73043</v>
      </c>
      <c r="G1248" s="197">
        <v>146000</v>
      </c>
      <c r="H1248" s="198">
        <f>IF(AND(E1247&gt;=H1247,E1248&gt;=E1247),E1247*(1+'Trading Model'!$E$13),IF(AND(E1248&lt;E1247,E1247&gt;=H1247),E1248*(1+'Trading Model'!$E$13),H1247))</f>
        <v>27.698998950000004</v>
      </c>
      <c r="I1248" s="198">
        <f>IF(K1248&gt;0,E1248*(1-'Trading Model'!E1258),IF(E1248&lt;I1247,I1247*(1-'Trading Model'!$E$14),I1247))</f>
        <v>8.9840153609188427</v>
      </c>
      <c r="J1248" s="198">
        <f t="shared" si="159"/>
        <v>0</v>
      </c>
      <c r="K1248" s="198">
        <f t="shared" si="154"/>
        <v>0</v>
      </c>
      <c r="L1248" s="198">
        <f>COUNTIF(J1248:K1248,"&lt;&gt;0")*-'Trading Model'!$E$15</f>
        <v>0</v>
      </c>
      <c r="M1248" s="198">
        <f t="shared" si="152"/>
        <v>0</v>
      </c>
      <c r="N1248" s="75">
        <f t="shared" si="155"/>
        <v>45</v>
      </c>
      <c r="O1248" s="202">
        <f t="shared" si="156"/>
        <v>0</v>
      </c>
      <c r="P1248" s="199">
        <f t="shared" si="153"/>
        <v>0</v>
      </c>
      <c r="Q1248" s="203">
        <f t="shared" si="157"/>
        <v>39.100000000001693</v>
      </c>
      <c r="R1248" s="160" t="s">
        <v>55</v>
      </c>
      <c r="S1248" s="201">
        <f t="shared" si="158"/>
        <v>0</v>
      </c>
    </row>
    <row r="1249" spans="1:19">
      <c r="A1249" s="196">
        <v>41780</v>
      </c>
      <c r="B1249" s="122">
        <v>19.870000999999998</v>
      </c>
      <c r="C1249" s="122">
        <v>20.280000999999999</v>
      </c>
      <c r="D1249" s="122">
        <v>19.559999000000001</v>
      </c>
      <c r="E1249" s="122">
        <v>20.280000999999999</v>
      </c>
      <c r="F1249" s="122">
        <v>16.259592000000001</v>
      </c>
      <c r="G1249" s="197">
        <v>218900</v>
      </c>
      <c r="H1249" s="198">
        <f>IF(AND(E1248&gt;=H1248,E1249&gt;=E1248),E1248*(1+'Trading Model'!$E$13),IF(AND(E1249&lt;E1248,E1248&gt;=H1248),E1249*(1+'Trading Model'!$E$13),H1248))</f>
        <v>27.698998950000004</v>
      </c>
      <c r="I1249" s="198">
        <f>IF(K1249&gt;0,E1249*(1-'Trading Model'!E1259),IF(E1249&lt;I1248,I1248*(1-'Trading Model'!$E$14),I1248))</f>
        <v>8.9840153609188427</v>
      </c>
      <c r="J1249" s="198">
        <f t="shared" si="159"/>
        <v>0</v>
      </c>
      <c r="K1249" s="198">
        <f t="shared" si="154"/>
        <v>0</v>
      </c>
      <c r="L1249" s="198">
        <f>COUNTIF(J1249:K1249,"&lt;&gt;0")*-'Trading Model'!$E$15</f>
        <v>0</v>
      </c>
      <c r="M1249" s="198">
        <f t="shared" si="152"/>
        <v>0</v>
      </c>
      <c r="N1249" s="75">
        <f t="shared" si="155"/>
        <v>45</v>
      </c>
      <c r="O1249" s="202">
        <f t="shared" si="156"/>
        <v>0</v>
      </c>
      <c r="P1249" s="199">
        <f t="shared" si="153"/>
        <v>0</v>
      </c>
      <c r="Q1249" s="203">
        <f t="shared" si="157"/>
        <v>39.100000000001693</v>
      </c>
      <c r="R1249" s="203" t="s">
        <v>55</v>
      </c>
      <c r="S1249" s="201">
        <f t="shared" si="158"/>
        <v>3.363914201635354E-2</v>
      </c>
    </row>
    <row r="1250" spans="1:19">
      <c r="A1250" s="196">
        <v>41781</v>
      </c>
      <c r="B1250" s="122">
        <v>20.280000999999999</v>
      </c>
      <c r="C1250" s="122">
        <v>20.549999</v>
      </c>
      <c r="D1250" s="122">
        <v>19.989999999999998</v>
      </c>
      <c r="E1250" s="122">
        <v>20.450001</v>
      </c>
      <c r="F1250" s="122">
        <v>16.395886999999998</v>
      </c>
      <c r="G1250" s="197">
        <v>229000</v>
      </c>
      <c r="H1250" s="198">
        <f>IF(AND(E1249&gt;=H1249,E1250&gt;=E1249),E1249*(1+'Trading Model'!$E$13),IF(AND(E1250&lt;E1249,E1249&gt;=H1249),E1250*(1+'Trading Model'!$E$13),H1249))</f>
        <v>27.698998950000004</v>
      </c>
      <c r="I1250" s="198">
        <f>IF(K1250&gt;0,E1250*(1-'Trading Model'!E1260),IF(E1250&lt;I1249,I1249*(1-'Trading Model'!$E$14),I1249))</f>
        <v>8.9840153609188427</v>
      </c>
      <c r="J1250" s="198">
        <f t="shared" si="159"/>
        <v>0</v>
      </c>
      <c r="K1250" s="198">
        <f t="shared" si="154"/>
        <v>0</v>
      </c>
      <c r="L1250" s="198">
        <f>COUNTIF(J1250:K1250,"&lt;&gt;0")*-'Trading Model'!$E$15</f>
        <v>0</v>
      </c>
      <c r="M1250" s="198">
        <f t="shared" si="152"/>
        <v>0</v>
      </c>
      <c r="N1250" s="75">
        <f t="shared" si="155"/>
        <v>45</v>
      </c>
      <c r="O1250" s="202">
        <f t="shared" si="156"/>
        <v>0</v>
      </c>
      <c r="P1250" s="199">
        <f t="shared" si="153"/>
        <v>0</v>
      </c>
      <c r="Q1250" s="203">
        <f t="shared" si="157"/>
        <v>39.100000000001693</v>
      </c>
      <c r="R1250" s="203" t="s">
        <v>55</v>
      </c>
      <c r="S1250" s="201">
        <f t="shared" si="158"/>
        <v>8.3826425846824648E-3</v>
      </c>
    </row>
    <row r="1251" spans="1:19">
      <c r="A1251" s="196">
        <v>41782</v>
      </c>
      <c r="B1251" s="122">
        <v>20.399999999999999</v>
      </c>
      <c r="C1251" s="122">
        <v>21</v>
      </c>
      <c r="D1251" s="122">
        <v>20.399999999999999</v>
      </c>
      <c r="E1251" s="122">
        <v>21</v>
      </c>
      <c r="F1251" s="122">
        <v>16.836850999999999</v>
      </c>
      <c r="G1251" s="197">
        <v>273100</v>
      </c>
      <c r="H1251" s="198">
        <f>IF(AND(E1250&gt;=H1250,E1251&gt;=E1250),E1250*(1+'Trading Model'!$E$13),IF(AND(E1251&lt;E1250,E1250&gt;=H1250),E1251*(1+'Trading Model'!$E$13),H1250))</f>
        <v>27.698998950000004</v>
      </c>
      <c r="I1251" s="198">
        <f>IF(K1251&gt;0,E1251*(1-'Trading Model'!E1261),IF(E1251&lt;I1250,I1250*(1-'Trading Model'!$E$14),I1250))</f>
        <v>8.9840153609188427</v>
      </c>
      <c r="J1251" s="198">
        <f t="shared" si="159"/>
        <v>0</v>
      </c>
      <c r="K1251" s="198">
        <f t="shared" si="154"/>
        <v>0</v>
      </c>
      <c r="L1251" s="198">
        <f>COUNTIF(J1251:K1251,"&lt;&gt;0")*-'Trading Model'!$E$15</f>
        <v>0</v>
      </c>
      <c r="M1251" s="198">
        <f t="shared" si="152"/>
        <v>0</v>
      </c>
      <c r="N1251" s="75">
        <f t="shared" si="155"/>
        <v>45</v>
      </c>
      <c r="O1251" s="202">
        <f t="shared" si="156"/>
        <v>0</v>
      </c>
      <c r="P1251" s="199">
        <f t="shared" si="153"/>
        <v>0</v>
      </c>
      <c r="Q1251" s="203">
        <f t="shared" si="157"/>
        <v>39.100000000001693</v>
      </c>
      <c r="R1251" s="203" t="s">
        <v>55</v>
      </c>
      <c r="S1251" s="201">
        <f t="shared" si="158"/>
        <v>2.6894815310766873E-2</v>
      </c>
    </row>
    <row r="1252" spans="1:19">
      <c r="A1252" s="196">
        <v>41786</v>
      </c>
      <c r="B1252" s="122">
        <v>21</v>
      </c>
      <c r="C1252" s="122">
        <v>21</v>
      </c>
      <c r="D1252" s="122">
        <v>20.5</v>
      </c>
      <c r="E1252" s="122">
        <v>20.610001</v>
      </c>
      <c r="F1252" s="122">
        <v>16.524170000000002</v>
      </c>
      <c r="G1252" s="197">
        <v>111100</v>
      </c>
      <c r="H1252" s="198">
        <f>IF(AND(E1251&gt;=H1251,E1252&gt;=E1251),E1251*(1+'Trading Model'!$E$13),IF(AND(E1252&lt;E1251,E1251&gt;=H1251),E1252*(1+'Trading Model'!$E$13),H1251))</f>
        <v>27.698998950000004</v>
      </c>
      <c r="I1252" s="198">
        <f>IF(K1252&gt;0,E1252*(1-'Trading Model'!E1262),IF(E1252&lt;I1251,I1251*(1-'Trading Model'!$E$14),I1251))</f>
        <v>8.9840153609188427</v>
      </c>
      <c r="J1252" s="198">
        <f t="shared" si="159"/>
        <v>0</v>
      </c>
      <c r="K1252" s="198">
        <f t="shared" si="154"/>
        <v>0</v>
      </c>
      <c r="L1252" s="198">
        <f>COUNTIF(J1252:K1252,"&lt;&gt;0")*-'Trading Model'!$E$15</f>
        <v>0</v>
      </c>
      <c r="M1252" s="198">
        <f t="shared" si="152"/>
        <v>0</v>
      </c>
      <c r="N1252" s="75">
        <f t="shared" si="155"/>
        <v>45</v>
      </c>
      <c r="O1252" s="202">
        <f t="shared" si="156"/>
        <v>0</v>
      </c>
      <c r="P1252" s="199">
        <f t="shared" si="153"/>
        <v>0</v>
      </c>
      <c r="Q1252" s="203">
        <f t="shared" si="157"/>
        <v>39.000000000001691</v>
      </c>
      <c r="R1252" s="201">
        <f>E1252/B1248-1</f>
        <v>5.4220053924299405E-2</v>
      </c>
      <c r="S1252" s="201">
        <f t="shared" si="158"/>
        <v>-1.8571380952380978E-2</v>
      </c>
    </row>
    <row r="1253" spans="1:19">
      <c r="A1253" s="196">
        <v>41787</v>
      </c>
      <c r="B1253" s="122">
        <v>20.790001</v>
      </c>
      <c r="C1253" s="122">
        <v>20.799999</v>
      </c>
      <c r="D1253" s="122">
        <v>20.41</v>
      </c>
      <c r="E1253" s="122">
        <v>20.559999000000001</v>
      </c>
      <c r="F1253" s="122">
        <v>16.484076999999999</v>
      </c>
      <c r="G1253" s="197">
        <v>121700</v>
      </c>
      <c r="H1253" s="198">
        <f>IF(AND(E1252&gt;=H1252,E1253&gt;=E1252),E1252*(1+'Trading Model'!$E$13),IF(AND(E1253&lt;E1252,E1252&gt;=H1252),E1253*(1+'Trading Model'!$E$13),H1252))</f>
        <v>27.698998950000004</v>
      </c>
      <c r="I1253" s="198">
        <f>IF(K1253&gt;0,E1253*(1-'Trading Model'!E1263),IF(E1253&lt;I1252,I1252*(1-'Trading Model'!$E$14),I1252))</f>
        <v>8.9840153609188427</v>
      </c>
      <c r="J1253" s="198">
        <f t="shared" si="159"/>
        <v>0</v>
      </c>
      <c r="K1253" s="198">
        <f t="shared" si="154"/>
        <v>0</v>
      </c>
      <c r="L1253" s="198">
        <f>COUNTIF(J1253:K1253,"&lt;&gt;0")*-'Trading Model'!$E$15</f>
        <v>0</v>
      </c>
      <c r="M1253" s="198">
        <f t="shared" si="152"/>
        <v>0</v>
      </c>
      <c r="N1253" s="75">
        <f t="shared" si="155"/>
        <v>45</v>
      </c>
      <c r="O1253" s="202">
        <f t="shared" si="156"/>
        <v>0</v>
      </c>
      <c r="P1253" s="199">
        <f t="shared" si="153"/>
        <v>0</v>
      </c>
      <c r="Q1253" s="203">
        <f t="shared" si="157"/>
        <v>38.90000000000169</v>
      </c>
      <c r="R1253" s="160" t="s">
        <v>55</v>
      </c>
      <c r="S1253" s="201">
        <f t="shared" si="158"/>
        <v>-2.4261037153757714E-3</v>
      </c>
    </row>
    <row r="1254" spans="1:19">
      <c r="A1254" s="196">
        <v>41788</v>
      </c>
      <c r="B1254" s="122">
        <v>20.690000999999999</v>
      </c>
      <c r="C1254" s="122">
        <v>21.620000999999998</v>
      </c>
      <c r="D1254" s="122">
        <v>20.399999999999999</v>
      </c>
      <c r="E1254" s="122">
        <v>21.620000999999998</v>
      </c>
      <c r="F1254" s="122">
        <v>17.333940999999999</v>
      </c>
      <c r="G1254" s="197">
        <v>286600</v>
      </c>
      <c r="H1254" s="198">
        <f>IF(AND(E1253&gt;=H1253,E1254&gt;=E1253),E1253*(1+'Trading Model'!$E$13),IF(AND(E1254&lt;E1253,E1253&gt;=H1253),E1254*(1+'Trading Model'!$E$13),H1253))</f>
        <v>27.698998950000004</v>
      </c>
      <c r="I1254" s="198">
        <f>IF(K1254&gt;0,E1254*(1-'Trading Model'!E1264),IF(E1254&lt;I1253,I1253*(1-'Trading Model'!$E$14),I1253))</f>
        <v>8.9840153609188427</v>
      </c>
      <c r="J1254" s="198">
        <f t="shared" si="159"/>
        <v>0</v>
      </c>
      <c r="K1254" s="198">
        <f t="shared" si="154"/>
        <v>0</v>
      </c>
      <c r="L1254" s="198">
        <f>COUNTIF(J1254:K1254,"&lt;&gt;0")*-'Trading Model'!$E$15</f>
        <v>0</v>
      </c>
      <c r="M1254" s="198">
        <f t="shared" si="152"/>
        <v>0</v>
      </c>
      <c r="N1254" s="75">
        <f t="shared" si="155"/>
        <v>45</v>
      </c>
      <c r="O1254" s="202">
        <f t="shared" si="156"/>
        <v>0</v>
      </c>
      <c r="P1254" s="199">
        <f t="shared" si="153"/>
        <v>0</v>
      </c>
      <c r="Q1254" s="203">
        <f t="shared" si="157"/>
        <v>38.90000000000169</v>
      </c>
      <c r="R1254" s="203" t="s">
        <v>55</v>
      </c>
      <c r="S1254" s="201">
        <f t="shared" si="158"/>
        <v>5.1556520017340235E-2</v>
      </c>
    </row>
    <row r="1255" spans="1:19">
      <c r="A1255" s="196">
        <v>41789</v>
      </c>
      <c r="B1255" s="122">
        <v>21.450001</v>
      </c>
      <c r="C1255" s="122">
        <v>21.780000999999999</v>
      </c>
      <c r="D1255" s="122">
        <v>21.209999</v>
      </c>
      <c r="E1255" s="122">
        <v>21.629999000000002</v>
      </c>
      <c r="F1255" s="122">
        <v>17.341957000000001</v>
      </c>
      <c r="G1255" s="197">
        <v>235700</v>
      </c>
      <c r="H1255" s="198">
        <f>IF(AND(E1254&gt;=H1254,E1255&gt;=E1254),E1254*(1+'Trading Model'!$E$13),IF(AND(E1255&lt;E1254,E1254&gt;=H1254),E1255*(1+'Trading Model'!$E$13),H1254))</f>
        <v>27.698998950000004</v>
      </c>
      <c r="I1255" s="198">
        <f>IF(K1255&gt;0,E1255*(1-'Trading Model'!E1265),IF(E1255&lt;I1254,I1254*(1-'Trading Model'!$E$14),I1254))</f>
        <v>8.9840153609188427</v>
      </c>
      <c r="J1255" s="198">
        <f t="shared" si="159"/>
        <v>0</v>
      </c>
      <c r="K1255" s="198">
        <f t="shared" si="154"/>
        <v>0</v>
      </c>
      <c r="L1255" s="198">
        <f>COUNTIF(J1255:K1255,"&lt;&gt;0")*-'Trading Model'!$E$15</f>
        <v>0</v>
      </c>
      <c r="M1255" s="198">
        <f t="shared" si="152"/>
        <v>0</v>
      </c>
      <c r="N1255" s="75">
        <f t="shared" si="155"/>
        <v>45</v>
      </c>
      <c r="O1255" s="202">
        <f t="shared" si="156"/>
        <v>0</v>
      </c>
      <c r="P1255" s="199">
        <f t="shared" si="153"/>
        <v>0</v>
      </c>
      <c r="Q1255" s="203">
        <f t="shared" si="157"/>
        <v>38.90000000000169</v>
      </c>
      <c r="R1255" s="203" t="s">
        <v>55</v>
      </c>
      <c r="S1255" s="201">
        <f t="shared" si="158"/>
        <v>4.62442161774268E-4</v>
      </c>
    </row>
    <row r="1256" spans="1:19">
      <c r="A1256" s="196">
        <v>41792</v>
      </c>
      <c r="B1256" s="122">
        <v>21.43</v>
      </c>
      <c r="C1256" s="122">
        <v>21.790001</v>
      </c>
      <c r="D1256" s="122">
        <v>21.290001</v>
      </c>
      <c r="E1256" s="122">
        <v>21.790001</v>
      </c>
      <c r="F1256" s="122">
        <v>17.47024</v>
      </c>
      <c r="G1256" s="197">
        <v>153400</v>
      </c>
      <c r="H1256" s="198">
        <f>IF(AND(E1255&gt;=H1255,E1256&gt;=E1255),E1255*(1+'Trading Model'!$E$13),IF(AND(E1256&lt;E1255,E1255&gt;=H1255),E1256*(1+'Trading Model'!$E$13),H1255))</f>
        <v>27.698998950000004</v>
      </c>
      <c r="I1256" s="198">
        <f>IF(K1256&gt;0,E1256*(1-'Trading Model'!E1266),IF(E1256&lt;I1255,I1255*(1-'Trading Model'!$E$14),I1255))</f>
        <v>8.9840153609188427</v>
      </c>
      <c r="J1256" s="198">
        <f t="shared" si="159"/>
        <v>0</v>
      </c>
      <c r="K1256" s="198">
        <f t="shared" si="154"/>
        <v>0</v>
      </c>
      <c r="L1256" s="198">
        <f>COUNTIF(J1256:K1256,"&lt;&gt;0")*-'Trading Model'!$E$15</f>
        <v>0</v>
      </c>
      <c r="M1256" s="198">
        <f t="shared" si="152"/>
        <v>0</v>
      </c>
      <c r="N1256" s="75">
        <f t="shared" si="155"/>
        <v>45</v>
      </c>
      <c r="O1256" s="202">
        <f t="shared" si="156"/>
        <v>0</v>
      </c>
      <c r="P1256" s="199">
        <f t="shared" si="153"/>
        <v>0</v>
      </c>
      <c r="Q1256" s="203">
        <f t="shared" si="157"/>
        <v>38.90000000000169</v>
      </c>
      <c r="R1256" s="203" t="s">
        <v>55</v>
      </c>
      <c r="S1256" s="201">
        <f t="shared" si="158"/>
        <v>7.3972264168851165E-3</v>
      </c>
    </row>
    <row r="1257" spans="1:19">
      <c r="A1257" s="196">
        <v>41793</v>
      </c>
      <c r="B1257" s="122">
        <v>21.790001</v>
      </c>
      <c r="C1257" s="122">
        <v>22.01</v>
      </c>
      <c r="D1257" s="122">
        <v>21.68</v>
      </c>
      <c r="E1257" s="122">
        <v>21.969999000000001</v>
      </c>
      <c r="F1257" s="122">
        <v>17.614553000000001</v>
      </c>
      <c r="G1257" s="197">
        <v>191600</v>
      </c>
      <c r="H1257" s="198">
        <f>IF(AND(E1256&gt;=H1256,E1257&gt;=E1256),E1256*(1+'Trading Model'!$E$13),IF(AND(E1257&lt;E1256,E1256&gt;=H1256),E1257*(1+'Trading Model'!$E$13),H1256))</f>
        <v>27.698998950000004</v>
      </c>
      <c r="I1257" s="198">
        <f>IF(K1257&gt;0,E1257*(1-'Trading Model'!E1267),IF(E1257&lt;I1256,I1256*(1-'Trading Model'!$E$14),I1256))</f>
        <v>8.9840153609188427</v>
      </c>
      <c r="J1257" s="198">
        <f t="shared" si="159"/>
        <v>0</v>
      </c>
      <c r="K1257" s="198">
        <f t="shared" si="154"/>
        <v>0</v>
      </c>
      <c r="L1257" s="198">
        <f>COUNTIF(J1257:K1257,"&lt;&gt;0")*-'Trading Model'!$E$15</f>
        <v>0</v>
      </c>
      <c r="M1257" s="198">
        <f t="shared" si="152"/>
        <v>0</v>
      </c>
      <c r="N1257" s="75">
        <f t="shared" si="155"/>
        <v>45</v>
      </c>
      <c r="O1257" s="202">
        <f t="shared" si="156"/>
        <v>0</v>
      </c>
      <c r="P1257" s="199">
        <f t="shared" si="153"/>
        <v>0</v>
      </c>
      <c r="Q1257" s="203">
        <f t="shared" si="157"/>
        <v>38.90000000000169</v>
      </c>
      <c r="R1257" s="201">
        <f>E1257/B1253-1</f>
        <v>5.6757957827900052E-2</v>
      </c>
      <c r="S1257" s="201">
        <f t="shared" si="158"/>
        <v>8.2605778678028763E-3</v>
      </c>
    </row>
    <row r="1258" spans="1:19">
      <c r="A1258" s="196">
        <v>41794</v>
      </c>
      <c r="B1258" s="122">
        <v>22.01</v>
      </c>
      <c r="C1258" s="122">
        <v>22.25</v>
      </c>
      <c r="D1258" s="122">
        <v>21.6</v>
      </c>
      <c r="E1258" s="122">
        <v>22.18</v>
      </c>
      <c r="F1258" s="122">
        <v>17.782923</v>
      </c>
      <c r="G1258" s="197">
        <v>149700</v>
      </c>
      <c r="H1258" s="198">
        <f>IF(AND(E1257&gt;=H1257,E1258&gt;=E1257),E1257*(1+'Trading Model'!$E$13),IF(AND(E1258&lt;E1257,E1257&gt;=H1257),E1258*(1+'Trading Model'!$E$13),H1257))</f>
        <v>27.698998950000004</v>
      </c>
      <c r="I1258" s="198">
        <f>IF(K1258&gt;0,E1258*(1-'Trading Model'!E1268),IF(E1258&lt;I1257,I1257*(1-'Trading Model'!$E$14),I1257))</f>
        <v>8.9840153609188427</v>
      </c>
      <c r="J1258" s="198">
        <f t="shared" si="159"/>
        <v>0</v>
      </c>
      <c r="K1258" s="198">
        <f t="shared" si="154"/>
        <v>0</v>
      </c>
      <c r="L1258" s="198">
        <f>COUNTIF(J1258:K1258,"&lt;&gt;0")*-'Trading Model'!$E$15</f>
        <v>0</v>
      </c>
      <c r="M1258" s="198">
        <f t="shared" si="152"/>
        <v>0</v>
      </c>
      <c r="N1258" s="75">
        <f t="shared" si="155"/>
        <v>45</v>
      </c>
      <c r="O1258" s="202">
        <f t="shared" si="156"/>
        <v>0</v>
      </c>
      <c r="P1258" s="199">
        <f t="shared" si="153"/>
        <v>0</v>
      </c>
      <c r="Q1258" s="203">
        <f t="shared" si="157"/>
        <v>38.90000000000169</v>
      </c>
      <c r="R1258" s="160" t="s">
        <v>55</v>
      </c>
      <c r="S1258" s="201">
        <f t="shared" si="158"/>
        <v>9.5585348001152592E-3</v>
      </c>
    </row>
    <row r="1259" spans="1:19">
      <c r="A1259" s="196">
        <v>41795</v>
      </c>
      <c r="B1259" s="122">
        <v>22.17</v>
      </c>
      <c r="C1259" s="122">
        <v>22.459999</v>
      </c>
      <c r="D1259" s="122">
        <v>21.91</v>
      </c>
      <c r="E1259" s="122">
        <v>22.42</v>
      </c>
      <c r="F1259" s="122">
        <v>18.292546999999999</v>
      </c>
      <c r="G1259" s="197">
        <v>208700</v>
      </c>
      <c r="H1259" s="198">
        <f>IF(AND(E1258&gt;=H1258,E1259&gt;=E1258),E1258*(1+'Trading Model'!$E$13),IF(AND(E1259&lt;E1258,E1258&gt;=H1258),E1259*(1+'Trading Model'!$E$13),H1258))</f>
        <v>27.698998950000004</v>
      </c>
      <c r="I1259" s="198">
        <f>IF(K1259&gt;0,E1259*(1-'Trading Model'!E1269),IF(E1259&lt;I1258,I1258*(1-'Trading Model'!$E$14),I1258))</f>
        <v>8.9840153609188427</v>
      </c>
      <c r="J1259" s="198">
        <f t="shared" si="159"/>
        <v>0</v>
      </c>
      <c r="K1259" s="198">
        <f t="shared" si="154"/>
        <v>0</v>
      </c>
      <c r="L1259" s="198">
        <f>COUNTIF(J1259:K1259,"&lt;&gt;0")*-'Trading Model'!$E$15</f>
        <v>0</v>
      </c>
      <c r="M1259" s="198">
        <f t="shared" si="152"/>
        <v>0</v>
      </c>
      <c r="N1259" s="75">
        <f t="shared" si="155"/>
        <v>45</v>
      </c>
      <c r="O1259" s="202">
        <f t="shared" si="156"/>
        <v>0.38461499999999998</v>
      </c>
      <c r="P1259" s="199">
        <f t="shared" si="153"/>
        <v>0.38461499999999998</v>
      </c>
      <c r="Q1259" s="203">
        <f t="shared" si="157"/>
        <v>38.90000000000169</v>
      </c>
      <c r="R1259" s="203" t="s">
        <v>55</v>
      </c>
      <c r="S1259" s="201">
        <f t="shared" si="158"/>
        <v>1.0820559062218349E-2</v>
      </c>
    </row>
    <row r="1260" spans="1:19">
      <c r="A1260" s="196">
        <v>41796</v>
      </c>
      <c r="B1260" s="122">
        <v>22.51</v>
      </c>
      <c r="C1260" s="122">
        <v>23.209999</v>
      </c>
      <c r="D1260" s="122">
        <v>22.469999000000001</v>
      </c>
      <c r="E1260" s="122">
        <v>22.77</v>
      </c>
      <c r="F1260" s="122">
        <v>18.578113999999999</v>
      </c>
      <c r="G1260" s="197">
        <v>242400</v>
      </c>
      <c r="H1260" s="198">
        <f>IF(AND(E1259&gt;=H1259,E1260&gt;=E1259),E1259*(1+'Trading Model'!$E$13),IF(AND(E1260&lt;E1259,E1259&gt;=H1259),E1260*(1+'Trading Model'!$E$13),H1259))</f>
        <v>27.698998950000004</v>
      </c>
      <c r="I1260" s="198">
        <f>IF(K1260&gt;0,E1260*(1-'Trading Model'!E1270),IF(E1260&lt;I1259,I1259*(1-'Trading Model'!$E$14),I1259))</f>
        <v>8.9840153609188427</v>
      </c>
      <c r="J1260" s="198">
        <f t="shared" si="159"/>
        <v>0</v>
      </c>
      <c r="K1260" s="198">
        <f t="shared" si="154"/>
        <v>0</v>
      </c>
      <c r="L1260" s="198">
        <f>COUNTIF(J1260:K1260,"&lt;&gt;0")*-'Trading Model'!$E$15</f>
        <v>0</v>
      </c>
      <c r="M1260" s="198">
        <f t="shared" si="152"/>
        <v>0</v>
      </c>
      <c r="N1260" s="75">
        <f t="shared" si="155"/>
        <v>45</v>
      </c>
      <c r="O1260" s="202">
        <f t="shared" si="156"/>
        <v>0</v>
      </c>
      <c r="P1260" s="199">
        <f t="shared" si="153"/>
        <v>0</v>
      </c>
      <c r="Q1260" s="203">
        <f t="shared" si="157"/>
        <v>38.90000000000169</v>
      </c>
      <c r="R1260" s="203" t="s">
        <v>55</v>
      </c>
      <c r="S1260" s="201">
        <f t="shared" si="158"/>
        <v>1.561106155218539E-2</v>
      </c>
    </row>
    <row r="1261" spans="1:19">
      <c r="A1261" s="196">
        <v>41799</v>
      </c>
      <c r="B1261" s="122">
        <v>22.799999</v>
      </c>
      <c r="C1261" s="122">
        <v>22.93</v>
      </c>
      <c r="D1261" s="122">
        <v>22.530000999999999</v>
      </c>
      <c r="E1261" s="122">
        <v>22.73</v>
      </c>
      <c r="F1261" s="122">
        <v>18.545475</v>
      </c>
      <c r="G1261" s="197">
        <v>167500</v>
      </c>
      <c r="H1261" s="198">
        <f>IF(AND(E1260&gt;=H1260,E1261&gt;=E1260),E1260*(1+'Trading Model'!$E$13),IF(AND(E1261&lt;E1260,E1260&gt;=H1260),E1261*(1+'Trading Model'!$E$13),H1260))</f>
        <v>27.698998950000004</v>
      </c>
      <c r="I1261" s="198">
        <f>IF(K1261&gt;0,E1261*(1-'Trading Model'!E1271),IF(E1261&lt;I1260,I1260*(1-'Trading Model'!$E$14),I1260))</f>
        <v>8.9840153609188427</v>
      </c>
      <c r="J1261" s="198">
        <f t="shared" si="159"/>
        <v>0</v>
      </c>
      <c r="K1261" s="198">
        <f t="shared" si="154"/>
        <v>0</v>
      </c>
      <c r="L1261" s="198">
        <f>COUNTIF(J1261:K1261,"&lt;&gt;0")*-'Trading Model'!$E$15</f>
        <v>0</v>
      </c>
      <c r="M1261" s="198">
        <f t="shared" si="152"/>
        <v>0</v>
      </c>
      <c r="N1261" s="75">
        <f t="shared" si="155"/>
        <v>45</v>
      </c>
      <c r="O1261" s="202">
        <f t="shared" si="156"/>
        <v>0</v>
      </c>
      <c r="P1261" s="199">
        <f t="shared" si="153"/>
        <v>0</v>
      </c>
      <c r="Q1261" s="203">
        <f t="shared" si="157"/>
        <v>38.800000000001688</v>
      </c>
      <c r="R1261" s="203" t="s">
        <v>55</v>
      </c>
      <c r="S1261" s="201">
        <f t="shared" si="158"/>
        <v>-1.7566974088712994E-3</v>
      </c>
    </row>
    <row r="1262" spans="1:19">
      <c r="A1262" s="196">
        <v>41800</v>
      </c>
      <c r="B1262" s="122">
        <v>22.73</v>
      </c>
      <c r="C1262" s="122">
        <v>22.77</v>
      </c>
      <c r="D1262" s="122">
        <v>22.41</v>
      </c>
      <c r="E1262" s="122">
        <v>22.469999000000001</v>
      </c>
      <c r="F1262" s="122">
        <v>18.333341999999998</v>
      </c>
      <c r="G1262" s="197">
        <v>145400</v>
      </c>
      <c r="H1262" s="198">
        <f>IF(AND(E1261&gt;=H1261,E1262&gt;=E1261),E1261*(1+'Trading Model'!$E$13),IF(AND(E1262&lt;E1261,E1261&gt;=H1261),E1262*(1+'Trading Model'!$E$13),H1261))</f>
        <v>27.698998950000004</v>
      </c>
      <c r="I1262" s="198">
        <f>IF(K1262&gt;0,E1262*(1-'Trading Model'!E1272),IF(E1262&lt;I1261,I1261*(1-'Trading Model'!$E$14),I1261))</f>
        <v>8.9840153609188427</v>
      </c>
      <c r="J1262" s="198">
        <f t="shared" si="159"/>
        <v>0</v>
      </c>
      <c r="K1262" s="198">
        <f t="shared" si="154"/>
        <v>0</v>
      </c>
      <c r="L1262" s="198">
        <f>COUNTIF(J1262:K1262,"&lt;&gt;0")*-'Trading Model'!$E$15</f>
        <v>0</v>
      </c>
      <c r="M1262" s="198">
        <f t="shared" si="152"/>
        <v>0</v>
      </c>
      <c r="N1262" s="75">
        <f t="shared" si="155"/>
        <v>45</v>
      </c>
      <c r="O1262" s="202">
        <f t="shared" si="156"/>
        <v>0</v>
      </c>
      <c r="P1262" s="199">
        <f t="shared" si="153"/>
        <v>0</v>
      </c>
      <c r="Q1262" s="203">
        <f t="shared" si="157"/>
        <v>38.700000000001687</v>
      </c>
      <c r="R1262" s="201">
        <f>E1262/B1258-1</f>
        <v>2.0899545661063224E-2</v>
      </c>
      <c r="S1262" s="201">
        <f t="shared" si="158"/>
        <v>-1.1438671359436881E-2</v>
      </c>
    </row>
    <row r="1263" spans="1:19">
      <c r="A1263" s="196">
        <v>41801</v>
      </c>
      <c r="B1263" s="122">
        <v>22.33</v>
      </c>
      <c r="C1263" s="122">
        <v>22.43</v>
      </c>
      <c r="D1263" s="122">
        <v>21.66</v>
      </c>
      <c r="E1263" s="122">
        <v>21.82</v>
      </c>
      <c r="F1263" s="122">
        <v>17.803003</v>
      </c>
      <c r="G1263" s="197">
        <v>156100</v>
      </c>
      <c r="H1263" s="198">
        <f>IF(AND(E1262&gt;=H1262,E1263&gt;=E1262),E1262*(1+'Trading Model'!$E$13),IF(AND(E1263&lt;E1262,E1262&gt;=H1262),E1263*(1+'Trading Model'!$E$13),H1262))</f>
        <v>27.698998950000004</v>
      </c>
      <c r="I1263" s="198">
        <f>IF(K1263&gt;0,E1263*(1-'Trading Model'!E1273),IF(E1263&lt;I1262,I1262*(1-'Trading Model'!$E$14),I1262))</f>
        <v>8.9840153609188427</v>
      </c>
      <c r="J1263" s="198">
        <f t="shared" si="159"/>
        <v>0</v>
      </c>
      <c r="K1263" s="198">
        <f t="shared" si="154"/>
        <v>0</v>
      </c>
      <c r="L1263" s="198">
        <f>COUNTIF(J1263:K1263,"&lt;&gt;0")*-'Trading Model'!$E$15</f>
        <v>0</v>
      </c>
      <c r="M1263" s="198">
        <f t="shared" si="152"/>
        <v>0</v>
      </c>
      <c r="N1263" s="75">
        <f t="shared" si="155"/>
        <v>45</v>
      </c>
      <c r="O1263" s="202">
        <f t="shared" si="156"/>
        <v>0</v>
      </c>
      <c r="P1263" s="199">
        <f t="shared" si="153"/>
        <v>0</v>
      </c>
      <c r="Q1263" s="203">
        <f t="shared" si="157"/>
        <v>38.600000000001685</v>
      </c>
      <c r="R1263" s="160" t="s">
        <v>55</v>
      </c>
      <c r="S1263" s="201">
        <f t="shared" si="158"/>
        <v>-2.8927415617597485E-2</v>
      </c>
    </row>
    <row r="1264" spans="1:19">
      <c r="A1264" s="196">
        <v>41802</v>
      </c>
      <c r="B1264" s="122">
        <v>21.809999000000001</v>
      </c>
      <c r="C1264" s="122">
        <v>21.83</v>
      </c>
      <c r="D1264" s="122">
        <v>21.42</v>
      </c>
      <c r="E1264" s="122">
        <v>21.83</v>
      </c>
      <c r="F1264" s="122">
        <v>17.811163000000001</v>
      </c>
      <c r="G1264" s="197">
        <v>63800</v>
      </c>
      <c r="H1264" s="198">
        <f>IF(AND(E1263&gt;=H1263,E1264&gt;=E1263),E1263*(1+'Trading Model'!$E$13),IF(AND(E1264&lt;E1263,E1263&gt;=H1263),E1264*(1+'Trading Model'!$E$13),H1263))</f>
        <v>27.698998950000004</v>
      </c>
      <c r="I1264" s="198">
        <f>IF(K1264&gt;0,E1264*(1-'Trading Model'!E1274),IF(E1264&lt;I1263,I1263*(1-'Trading Model'!$E$14),I1263))</f>
        <v>8.9840153609188427</v>
      </c>
      <c r="J1264" s="198">
        <f t="shared" si="159"/>
        <v>0</v>
      </c>
      <c r="K1264" s="198">
        <f t="shared" si="154"/>
        <v>0</v>
      </c>
      <c r="L1264" s="198">
        <f>COUNTIF(J1264:K1264,"&lt;&gt;0")*-'Trading Model'!$E$15</f>
        <v>0</v>
      </c>
      <c r="M1264" s="198">
        <f t="shared" si="152"/>
        <v>0</v>
      </c>
      <c r="N1264" s="75">
        <f t="shared" si="155"/>
        <v>45</v>
      </c>
      <c r="O1264" s="202">
        <f t="shared" si="156"/>
        <v>0</v>
      </c>
      <c r="P1264" s="199">
        <f t="shared" si="153"/>
        <v>0</v>
      </c>
      <c r="Q1264" s="203">
        <f t="shared" si="157"/>
        <v>38.600000000001685</v>
      </c>
      <c r="R1264" s="203" t="s">
        <v>55</v>
      </c>
      <c r="S1264" s="201">
        <f t="shared" si="158"/>
        <v>4.5829514207129662E-4</v>
      </c>
    </row>
    <row r="1265" spans="1:19">
      <c r="A1265" s="196">
        <v>41803</v>
      </c>
      <c r="B1265" s="122">
        <v>21.91</v>
      </c>
      <c r="C1265" s="122">
        <v>21.950001</v>
      </c>
      <c r="D1265" s="122">
        <v>21.559999000000001</v>
      </c>
      <c r="E1265" s="122">
        <v>21.620000999999998</v>
      </c>
      <c r="F1265" s="122">
        <v>17.639825999999999</v>
      </c>
      <c r="G1265" s="197">
        <v>65100</v>
      </c>
      <c r="H1265" s="198">
        <f>IF(AND(E1264&gt;=H1264,E1265&gt;=E1264),E1264*(1+'Trading Model'!$E$13),IF(AND(E1265&lt;E1264,E1264&gt;=H1264),E1265*(1+'Trading Model'!$E$13),H1264))</f>
        <v>27.698998950000004</v>
      </c>
      <c r="I1265" s="198">
        <f>IF(K1265&gt;0,E1265*(1-'Trading Model'!E1275),IF(E1265&lt;I1264,I1264*(1-'Trading Model'!$E$14),I1264))</f>
        <v>8.9840153609188427</v>
      </c>
      <c r="J1265" s="198">
        <f t="shared" si="159"/>
        <v>0</v>
      </c>
      <c r="K1265" s="198">
        <f t="shared" si="154"/>
        <v>0</v>
      </c>
      <c r="L1265" s="198">
        <f>COUNTIF(J1265:K1265,"&lt;&gt;0")*-'Trading Model'!$E$15</f>
        <v>0</v>
      </c>
      <c r="M1265" s="198">
        <f t="shared" si="152"/>
        <v>0</v>
      </c>
      <c r="N1265" s="75">
        <f t="shared" si="155"/>
        <v>45</v>
      </c>
      <c r="O1265" s="202">
        <f t="shared" si="156"/>
        <v>0</v>
      </c>
      <c r="P1265" s="199">
        <f t="shared" si="153"/>
        <v>0</v>
      </c>
      <c r="Q1265" s="203">
        <f t="shared" si="157"/>
        <v>38.500000000001684</v>
      </c>
      <c r="R1265" s="203" t="s">
        <v>55</v>
      </c>
      <c r="S1265" s="201">
        <f t="shared" si="158"/>
        <v>-9.619743472285891E-3</v>
      </c>
    </row>
    <row r="1266" spans="1:19">
      <c r="A1266" s="196">
        <v>41806</v>
      </c>
      <c r="B1266" s="122">
        <v>21.620000999999998</v>
      </c>
      <c r="C1266" s="122">
        <v>21.620000999999998</v>
      </c>
      <c r="D1266" s="122">
        <v>19.950001</v>
      </c>
      <c r="E1266" s="122">
        <v>20.219999000000001</v>
      </c>
      <c r="F1266" s="122">
        <v>16.497561999999999</v>
      </c>
      <c r="G1266" s="197">
        <v>427200</v>
      </c>
      <c r="H1266" s="198">
        <f>IF(AND(E1265&gt;=H1265,E1266&gt;=E1265),E1265*(1+'Trading Model'!$E$13),IF(AND(E1266&lt;E1265,E1265&gt;=H1265),E1266*(1+'Trading Model'!$E$13),H1265))</f>
        <v>27.698998950000004</v>
      </c>
      <c r="I1266" s="198">
        <f>IF(K1266&gt;0,E1266*(1-'Trading Model'!E1276),IF(E1266&lt;I1265,I1265*(1-'Trading Model'!$E$14),I1265))</f>
        <v>8.9840153609188427</v>
      </c>
      <c r="J1266" s="198">
        <f t="shared" si="159"/>
        <v>0</v>
      </c>
      <c r="K1266" s="198">
        <f t="shared" si="154"/>
        <v>0</v>
      </c>
      <c r="L1266" s="198">
        <f>COUNTIF(J1266:K1266,"&lt;&gt;0")*-'Trading Model'!$E$15</f>
        <v>0</v>
      </c>
      <c r="M1266" s="198">
        <f t="shared" si="152"/>
        <v>0</v>
      </c>
      <c r="N1266" s="75">
        <f t="shared" si="155"/>
        <v>45</v>
      </c>
      <c r="O1266" s="202">
        <f t="shared" si="156"/>
        <v>0</v>
      </c>
      <c r="P1266" s="199">
        <f t="shared" si="153"/>
        <v>0</v>
      </c>
      <c r="Q1266" s="203">
        <f t="shared" si="157"/>
        <v>38.400000000001683</v>
      </c>
      <c r="R1266" s="203" t="s">
        <v>55</v>
      </c>
      <c r="S1266" s="201">
        <f t="shared" si="158"/>
        <v>-6.4754946126043045E-2</v>
      </c>
    </row>
    <row r="1267" spans="1:19">
      <c r="A1267" s="196">
        <v>41807</v>
      </c>
      <c r="B1267" s="122">
        <v>20.16</v>
      </c>
      <c r="C1267" s="122">
        <v>20.41</v>
      </c>
      <c r="D1267" s="122">
        <v>19.360001</v>
      </c>
      <c r="E1267" s="122">
        <v>20.379999000000002</v>
      </c>
      <c r="F1267" s="122">
        <v>16.628102999999999</v>
      </c>
      <c r="G1267" s="197">
        <v>219900</v>
      </c>
      <c r="H1267" s="198">
        <f>IF(AND(E1266&gt;=H1266,E1267&gt;=E1266),E1266*(1+'Trading Model'!$E$13),IF(AND(E1267&lt;E1266,E1266&gt;=H1266),E1267*(1+'Trading Model'!$E$13),H1266))</f>
        <v>27.698998950000004</v>
      </c>
      <c r="I1267" s="198">
        <f>IF(K1267&gt;0,E1267*(1-'Trading Model'!E1277),IF(E1267&lt;I1266,I1266*(1-'Trading Model'!$E$14),I1266))</f>
        <v>8.9840153609188427</v>
      </c>
      <c r="J1267" s="198">
        <f t="shared" si="159"/>
        <v>0</v>
      </c>
      <c r="K1267" s="198">
        <f t="shared" si="154"/>
        <v>0</v>
      </c>
      <c r="L1267" s="198">
        <f>COUNTIF(J1267:K1267,"&lt;&gt;0")*-'Trading Model'!$E$15</f>
        <v>0</v>
      </c>
      <c r="M1267" s="198">
        <f t="shared" si="152"/>
        <v>0</v>
      </c>
      <c r="N1267" s="75">
        <f t="shared" si="155"/>
        <v>45</v>
      </c>
      <c r="O1267" s="202">
        <f t="shared" si="156"/>
        <v>0</v>
      </c>
      <c r="P1267" s="199">
        <f t="shared" si="153"/>
        <v>0</v>
      </c>
      <c r="Q1267" s="203">
        <f t="shared" si="157"/>
        <v>38.400000000001683</v>
      </c>
      <c r="R1267" s="201">
        <f>E1267/B1263-1</f>
        <v>-8.7326511419614783E-2</v>
      </c>
      <c r="S1267" s="201">
        <f t="shared" si="158"/>
        <v>7.9129578591967675E-3</v>
      </c>
    </row>
    <row r="1268" spans="1:19">
      <c r="A1268" s="196">
        <v>41808</v>
      </c>
      <c r="B1268" s="122">
        <v>20.379999000000002</v>
      </c>
      <c r="C1268" s="122">
        <v>21.139999</v>
      </c>
      <c r="D1268" s="122">
        <v>19.690000999999999</v>
      </c>
      <c r="E1268" s="122">
        <v>20.93</v>
      </c>
      <c r="F1268" s="122">
        <v>17.076853</v>
      </c>
      <c r="G1268" s="197">
        <v>347900</v>
      </c>
      <c r="H1268" s="198">
        <f>IF(AND(E1267&gt;=H1267,E1268&gt;=E1267),E1267*(1+'Trading Model'!$E$13),IF(AND(E1268&lt;E1267,E1267&gt;=H1267),E1268*(1+'Trading Model'!$E$13),H1267))</f>
        <v>27.698998950000004</v>
      </c>
      <c r="I1268" s="198">
        <f>IF(K1268&gt;0,E1268*(1-'Trading Model'!E1278),IF(E1268&lt;I1267,I1267*(1-'Trading Model'!$E$14),I1267))</f>
        <v>8.9840153609188427</v>
      </c>
      <c r="J1268" s="198">
        <f t="shared" si="159"/>
        <v>0</v>
      </c>
      <c r="K1268" s="198">
        <f t="shared" si="154"/>
        <v>0</v>
      </c>
      <c r="L1268" s="198">
        <f>COUNTIF(J1268:K1268,"&lt;&gt;0")*-'Trading Model'!$E$15</f>
        <v>0</v>
      </c>
      <c r="M1268" s="198">
        <f t="shared" si="152"/>
        <v>0</v>
      </c>
      <c r="N1268" s="75">
        <f t="shared" si="155"/>
        <v>45</v>
      </c>
      <c r="O1268" s="202">
        <f t="shared" si="156"/>
        <v>0</v>
      </c>
      <c r="P1268" s="199">
        <f t="shared" si="153"/>
        <v>0</v>
      </c>
      <c r="Q1268" s="203">
        <f t="shared" si="157"/>
        <v>38.400000000001683</v>
      </c>
      <c r="R1268" s="160" t="s">
        <v>55</v>
      </c>
      <c r="S1268" s="201">
        <f t="shared" si="158"/>
        <v>2.6987292786422534E-2</v>
      </c>
    </row>
    <row r="1269" spans="1:19">
      <c r="A1269" s="196">
        <v>41809</v>
      </c>
      <c r="B1269" s="122">
        <v>20.74</v>
      </c>
      <c r="C1269" s="122">
        <v>20.74</v>
      </c>
      <c r="D1269" s="122">
        <v>20.350000000000001</v>
      </c>
      <c r="E1269" s="122">
        <v>20.6</v>
      </c>
      <c r="F1269" s="122">
        <v>16.807606</v>
      </c>
      <c r="G1269" s="197">
        <v>197800</v>
      </c>
      <c r="H1269" s="198">
        <f>IF(AND(E1268&gt;=H1268,E1269&gt;=E1268),E1268*(1+'Trading Model'!$E$13),IF(AND(E1269&lt;E1268,E1268&gt;=H1268),E1269*(1+'Trading Model'!$E$13),H1268))</f>
        <v>27.698998950000004</v>
      </c>
      <c r="I1269" s="198">
        <f>IF(K1269&gt;0,E1269*(1-'Trading Model'!E1279),IF(E1269&lt;I1268,I1268*(1-'Trading Model'!$E$14),I1268))</f>
        <v>8.9840153609188427</v>
      </c>
      <c r="J1269" s="198">
        <f t="shared" si="159"/>
        <v>0</v>
      </c>
      <c r="K1269" s="198">
        <f t="shared" si="154"/>
        <v>0</v>
      </c>
      <c r="L1269" s="198">
        <f>COUNTIF(J1269:K1269,"&lt;&gt;0")*-'Trading Model'!$E$15</f>
        <v>0</v>
      </c>
      <c r="M1269" s="198">
        <f t="shared" si="152"/>
        <v>0</v>
      </c>
      <c r="N1269" s="75">
        <f t="shared" si="155"/>
        <v>45</v>
      </c>
      <c r="O1269" s="202">
        <f t="shared" si="156"/>
        <v>0</v>
      </c>
      <c r="P1269" s="199">
        <f t="shared" si="153"/>
        <v>0</v>
      </c>
      <c r="Q1269" s="203">
        <f t="shared" si="157"/>
        <v>38.300000000001681</v>
      </c>
      <c r="R1269" s="203" t="s">
        <v>55</v>
      </c>
      <c r="S1269" s="201">
        <f t="shared" si="158"/>
        <v>-1.5766841853798286E-2</v>
      </c>
    </row>
    <row r="1270" spans="1:19">
      <c r="A1270" s="196">
        <v>41810</v>
      </c>
      <c r="B1270" s="122">
        <v>20.58</v>
      </c>
      <c r="C1270" s="122">
        <v>22.32</v>
      </c>
      <c r="D1270" s="122">
        <v>20.239999999999998</v>
      </c>
      <c r="E1270" s="122">
        <v>22.01</v>
      </c>
      <c r="F1270" s="122">
        <v>17.958027000000001</v>
      </c>
      <c r="G1270" s="197">
        <v>262800</v>
      </c>
      <c r="H1270" s="198">
        <f>IF(AND(E1269&gt;=H1269,E1270&gt;=E1269),E1269*(1+'Trading Model'!$E$13),IF(AND(E1270&lt;E1269,E1269&gt;=H1269),E1270*(1+'Trading Model'!$E$13),H1269))</f>
        <v>27.698998950000004</v>
      </c>
      <c r="I1270" s="198">
        <f>IF(K1270&gt;0,E1270*(1-'Trading Model'!E1280),IF(E1270&lt;I1269,I1269*(1-'Trading Model'!$E$14),I1269))</f>
        <v>8.9840153609188427</v>
      </c>
      <c r="J1270" s="198">
        <f t="shared" si="159"/>
        <v>0</v>
      </c>
      <c r="K1270" s="198">
        <f t="shared" si="154"/>
        <v>0</v>
      </c>
      <c r="L1270" s="198">
        <f>COUNTIF(J1270:K1270,"&lt;&gt;0")*-'Trading Model'!$E$15</f>
        <v>0</v>
      </c>
      <c r="M1270" s="198">
        <f t="shared" si="152"/>
        <v>0</v>
      </c>
      <c r="N1270" s="75">
        <f t="shared" si="155"/>
        <v>45</v>
      </c>
      <c r="O1270" s="202">
        <f t="shared" si="156"/>
        <v>0</v>
      </c>
      <c r="P1270" s="199">
        <f t="shared" si="153"/>
        <v>0</v>
      </c>
      <c r="Q1270" s="203">
        <f t="shared" si="157"/>
        <v>38.300000000001681</v>
      </c>
      <c r="R1270" s="203" t="s">
        <v>55</v>
      </c>
      <c r="S1270" s="201">
        <f t="shared" si="158"/>
        <v>6.8446601941747565E-2</v>
      </c>
    </row>
    <row r="1271" spans="1:19">
      <c r="A1271" s="196">
        <v>41813</v>
      </c>
      <c r="B1271" s="122">
        <v>21.98</v>
      </c>
      <c r="C1271" s="122">
        <v>23.549999</v>
      </c>
      <c r="D1271" s="122">
        <v>21.870000999999998</v>
      </c>
      <c r="E1271" s="122">
        <v>23.15</v>
      </c>
      <c r="F1271" s="122">
        <v>18.888157</v>
      </c>
      <c r="G1271" s="197">
        <v>322400</v>
      </c>
      <c r="H1271" s="198">
        <f>IF(AND(E1270&gt;=H1270,E1271&gt;=E1270),E1270*(1+'Trading Model'!$E$13),IF(AND(E1271&lt;E1270,E1270&gt;=H1270),E1271*(1+'Trading Model'!$E$13),H1270))</f>
        <v>27.698998950000004</v>
      </c>
      <c r="I1271" s="198">
        <f>IF(K1271&gt;0,E1271*(1-'Trading Model'!E1281),IF(E1271&lt;I1270,I1270*(1-'Trading Model'!$E$14),I1270))</f>
        <v>8.9840153609188427</v>
      </c>
      <c r="J1271" s="198">
        <f t="shared" si="159"/>
        <v>0</v>
      </c>
      <c r="K1271" s="198">
        <f t="shared" si="154"/>
        <v>0</v>
      </c>
      <c r="L1271" s="198">
        <f>COUNTIF(J1271:K1271,"&lt;&gt;0")*-'Trading Model'!$E$15</f>
        <v>0</v>
      </c>
      <c r="M1271" s="198">
        <f t="shared" si="152"/>
        <v>0</v>
      </c>
      <c r="N1271" s="75">
        <f t="shared" si="155"/>
        <v>45</v>
      </c>
      <c r="O1271" s="202">
        <f t="shared" si="156"/>
        <v>0</v>
      </c>
      <c r="P1271" s="199">
        <f t="shared" si="153"/>
        <v>0</v>
      </c>
      <c r="Q1271" s="203">
        <f t="shared" si="157"/>
        <v>38.300000000001681</v>
      </c>
      <c r="R1271" s="203" t="s">
        <v>55</v>
      </c>
      <c r="S1271" s="201">
        <f t="shared" si="158"/>
        <v>5.1794638800545023E-2</v>
      </c>
    </row>
    <row r="1272" spans="1:19">
      <c r="A1272" s="196">
        <v>41814</v>
      </c>
      <c r="B1272" s="122">
        <v>23.09</v>
      </c>
      <c r="C1272" s="122">
        <v>23.889999</v>
      </c>
      <c r="D1272" s="122">
        <v>22.629999000000002</v>
      </c>
      <c r="E1272" s="122">
        <v>23.5</v>
      </c>
      <c r="F1272" s="122">
        <v>19.173722999999999</v>
      </c>
      <c r="G1272" s="197">
        <v>334200</v>
      </c>
      <c r="H1272" s="198">
        <f>IF(AND(E1271&gt;=H1271,E1272&gt;=E1271),E1271*(1+'Trading Model'!$E$13),IF(AND(E1272&lt;E1271,E1271&gt;=H1271),E1272*(1+'Trading Model'!$E$13),H1271))</f>
        <v>27.698998950000004</v>
      </c>
      <c r="I1272" s="198">
        <f>IF(K1272&gt;0,E1272*(1-'Trading Model'!E1282),IF(E1272&lt;I1271,I1271*(1-'Trading Model'!$E$14),I1271))</f>
        <v>8.9840153609188427</v>
      </c>
      <c r="J1272" s="198">
        <f t="shared" si="159"/>
        <v>0</v>
      </c>
      <c r="K1272" s="198">
        <f t="shared" si="154"/>
        <v>0</v>
      </c>
      <c r="L1272" s="198">
        <f>COUNTIF(J1272:K1272,"&lt;&gt;0")*-'Trading Model'!$E$15</f>
        <v>0</v>
      </c>
      <c r="M1272" s="198">
        <f t="shared" si="152"/>
        <v>0</v>
      </c>
      <c r="N1272" s="75">
        <f t="shared" si="155"/>
        <v>45</v>
      </c>
      <c r="O1272" s="202">
        <f t="shared" si="156"/>
        <v>0</v>
      </c>
      <c r="P1272" s="199">
        <f t="shared" si="153"/>
        <v>0</v>
      </c>
      <c r="Q1272" s="203">
        <f t="shared" si="157"/>
        <v>38.300000000001681</v>
      </c>
      <c r="R1272" s="201">
        <f>E1272/B1268-1</f>
        <v>0.15309132252656132</v>
      </c>
      <c r="S1272" s="201">
        <f t="shared" si="158"/>
        <v>1.5118790496760237E-2</v>
      </c>
    </row>
    <row r="1273" spans="1:19">
      <c r="A1273" s="196">
        <v>41815</v>
      </c>
      <c r="B1273" s="122">
        <v>23.5</v>
      </c>
      <c r="C1273" s="122">
        <v>23.889999</v>
      </c>
      <c r="D1273" s="122">
        <v>23.280000999999999</v>
      </c>
      <c r="E1273" s="122">
        <v>23.860001</v>
      </c>
      <c r="F1273" s="122">
        <v>19.467445000000001</v>
      </c>
      <c r="G1273" s="197">
        <v>224400</v>
      </c>
      <c r="H1273" s="198">
        <f>IF(AND(E1272&gt;=H1272,E1273&gt;=E1272),E1272*(1+'Trading Model'!$E$13),IF(AND(E1273&lt;E1272,E1272&gt;=H1272),E1273*(1+'Trading Model'!$E$13),H1272))</f>
        <v>27.698998950000004</v>
      </c>
      <c r="I1273" s="198">
        <f>IF(K1273&gt;0,E1273*(1-'Trading Model'!E1283),IF(E1273&lt;I1272,I1272*(1-'Trading Model'!$E$14),I1272))</f>
        <v>8.9840153609188427</v>
      </c>
      <c r="J1273" s="198">
        <f t="shared" si="159"/>
        <v>0</v>
      </c>
      <c r="K1273" s="198">
        <f t="shared" si="154"/>
        <v>0</v>
      </c>
      <c r="L1273" s="198">
        <f>COUNTIF(J1273:K1273,"&lt;&gt;0")*-'Trading Model'!$E$15</f>
        <v>0</v>
      </c>
      <c r="M1273" s="198">
        <f t="shared" si="152"/>
        <v>0</v>
      </c>
      <c r="N1273" s="75">
        <f t="shared" si="155"/>
        <v>45</v>
      </c>
      <c r="O1273" s="202">
        <f t="shared" si="156"/>
        <v>0</v>
      </c>
      <c r="P1273" s="199">
        <f t="shared" si="153"/>
        <v>0</v>
      </c>
      <c r="Q1273" s="203">
        <f t="shared" si="157"/>
        <v>38.300000000001681</v>
      </c>
      <c r="R1273" s="160" t="s">
        <v>55</v>
      </c>
      <c r="S1273" s="201">
        <f t="shared" si="158"/>
        <v>1.5319191489361783E-2</v>
      </c>
    </row>
    <row r="1274" spans="1:19">
      <c r="A1274" s="196">
        <v>41816</v>
      </c>
      <c r="B1274" s="122">
        <v>23.77</v>
      </c>
      <c r="C1274" s="122">
        <v>24.15</v>
      </c>
      <c r="D1274" s="122">
        <v>23.370000999999998</v>
      </c>
      <c r="E1274" s="122">
        <v>23.74</v>
      </c>
      <c r="F1274" s="122">
        <v>19.369541000000002</v>
      </c>
      <c r="G1274" s="197">
        <v>237000</v>
      </c>
      <c r="H1274" s="198">
        <f>IF(AND(E1273&gt;=H1273,E1274&gt;=E1273),E1273*(1+'Trading Model'!$E$13),IF(AND(E1274&lt;E1273,E1273&gt;=H1273),E1274*(1+'Trading Model'!$E$13),H1273))</f>
        <v>27.698998950000004</v>
      </c>
      <c r="I1274" s="198">
        <f>IF(K1274&gt;0,E1274*(1-'Trading Model'!E1284),IF(E1274&lt;I1273,I1273*(1-'Trading Model'!$E$14),I1273))</f>
        <v>8.9840153609188427</v>
      </c>
      <c r="J1274" s="198">
        <f t="shared" si="159"/>
        <v>0</v>
      </c>
      <c r="K1274" s="198">
        <f t="shared" si="154"/>
        <v>0</v>
      </c>
      <c r="L1274" s="198">
        <f>COUNTIF(J1274:K1274,"&lt;&gt;0")*-'Trading Model'!$E$15</f>
        <v>0</v>
      </c>
      <c r="M1274" s="198">
        <f t="shared" si="152"/>
        <v>0</v>
      </c>
      <c r="N1274" s="75">
        <f t="shared" si="155"/>
        <v>45</v>
      </c>
      <c r="O1274" s="202">
        <f t="shared" si="156"/>
        <v>0</v>
      </c>
      <c r="P1274" s="199">
        <f t="shared" si="153"/>
        <v>0</v>
      </c>
      <c r="Q1274" s="203">
        <f t="shared" si="157"/>
        <v>38.20000000000168</v>
      </c>
      <c r="R1274" s="203" t="s">
        <v>55</v>
      </c>
      <c r="S1274" s="201">
        <f t="shared" si="158"/>
        <v>-5.029379504217224E-3</v>
      </c>
    </row>
    <row r="1275" spans="1:19">
      <c r="A1275" s="196">
        <v>41817</v>
      </c>
      <c r="B1275" s="122">
        <v>23.35</v>
      </c>
      <c r="C1275" s="122">
        <v>23.66</v>
      </c>
      <c r="D1275" s="122">
        <v>22.68</v>
      </c>
      <c r="E1275" s="122">
        <v>23.030000999999999</v>
      </c>
      <c r="F1275" s="122">
        <v>18.790248999999999</v>
      </c>
      <c r="G1275" s="197">
        <v>201300</v>
      </c>
      <c r="H1275" s="198">
        <f>IF(AND(E1274&gt;=H1274,E1275&gt;=E1274),E1274*(1+'Trading Model'!$E$13),IF(AND(E1275&lt;E1274,E1274&gt;=H1274),E1275*(1+'Trading Model'!$E$13),H1274))</f>
        <v>27.698998950000004</v>
      </c>
      <c r="I1275" s="198">
        <f>IF(K1275&gt;0,E1275*(1-'Trading Model'!E1285),IF(E1275&lt;I1274,I1274*(1-'Trading Model'!$E$14),I1274))</f>
        <v>8.9840153609188427</v>
      </c>
      <c r="J1275" s="198">
        <f t="shared" si="159"/>
        <v>0</v>
      </c>
      <c r="K1275" s="198">
        <f t="shared" si="154"/>
        <v>0</v>
      </c>
      <c r="L1275" s="198">
        <f>COUNTIF(J1275:K1275,"&lt;&gt;0")*-'Trading Model'!$E$15</f>
        <v>0</v>
      </c>
      <c r="M1275" s="198">
        <f t="shared" si="152"/>
        <v>0</v>
      </c>
      <c r="N1275" s="75">
        <f t="shared" si="155"/>
        <v>45</v>
      </c>
      <c r="O1275" s="202">
        <f t="shared" si="156"/>
        <v>0</v>
      </c>
      <c r="P1275" s="199">
        <f t="shared" si="153"/>
        <v>0</v>
      </c>
      <c r="Q1275" s="203">
        <f t="shared" si="157"/>
        <v>38.100000000001678</v>
      </c>
      <c r="R1275" s="203" t="s">
        <v>55</v>
      </c>
      <c r="S1275" s="201">
        <f t="shared" si="158"/>
        <v>-2.9907287278854278E-2</v>
      </c>
    </row>
    <row r="1276" spans="1:19">
      <c r="A1276" s="196">
        <v>41820</v>
      </c>
      <c r="B1276" s="122">
        <v>23.110001</v>
      </c>
      <c r="C1276" s="122">
        <v>23.68</v>
      </c>
      <c r="D1276" s="122">
        <v>22.629999000000002</v>
      </c>
      <c r="E1276" s="122">
        <v>23.549999</v>
      </c>
      <c r="F1276" s="122">
        <v>19.214516</v>
      </c>
      <c r="G1276" s="197">
        <v>297200</v>
      </c>
      <c r="H1276" s="198">
        <f>IF(AND(E1275&gt;=H1275,E1276&gt;=E1275),E1275*(1+'Trading Model'!$E$13),IF(AND(E1276&lt;E1275,E1275&gt;=H1275),E1276*(1+'Trading Model'!$E$13),H1275))</f>
        <v>27.698998950000004</v>
      </c>
      <c r="I1276" s="198">
        <f>IF(K1276&gt;0,E1276*(1-'Trading Model'!E1286),IF(E1276&lt;I1275,I1275*(1-'Trading Model'!$E$14),I1275))</f>
        <v>8.9840153609188427</v>
      </c>
      <c r="J1276" s="198">
        <f t="shared" si="159"/>
        <v>0</v>
      </c>
      <c r="K1276" s="198">
        <f t="shared" si="154"/>
        <v>0</v>
      </c>
      <c r="L1276" s="198">
        <f>COUNTIF(J1276:K1276,"&lt;&gt;0")*-'Trading Model'!$E$15</f>
        <v>0</v>
      </c>
      <c r="M1276" s="198">
        <f t="shared" si="152"/>
        <v>0</v>
      </c>
      <c r="N1276" s="75">
        <f t="shared" si="155"/>
        <v>45</v>
      </c>
      <c r="O1276" s="202">
        <f t="shared" si="156"/>
        <v>0</v>
      </c>
      <c r="P1276" s="199">
        <f t="shared" si="153"/>
        <v>0</v>
      </c>
      <c r="Q1276" s="203">
        <f t="shared" si="157"/>
        <v>38.100000000001678</v>
      </c>
      <c r="R1276" s="203" t="s">
        <v>55</v>
      </c>
      <c r="S1276" s="201">
        <f t="shared" si="158"/>
        <v>2.2579156640071485E-2</v>
      </c>
    </row>
    <row r="1277" spans="1:19">
      <c r="A1277" s="196">
        <v>41821</v>
      </c>
      <c r="B1277" s="122">
        <v>23.780000999999999</v>
      </c>
      <c r="C1277" s="122">
        <v>24.049999</v>
      </c>
      <c r="D1277" s="122">
        <v>23.549999</v>
      </c>
      <c r="E1277" s="122">
        <v>23.700001</v>
      </c>
      <c r="F1277" s="122">
        <v>19.336903</v>
      </c>
      <c r="G1277" s="197">
        <v>179300</v>
      </c>
      <c r="H1277" s="198">
        <f>IF(AND(E1276&gt;=H1276,E1277&gt;=E1276),E1276*(1+'Trading Model'!$E$13),IF(AND(E1277&lt;E1276,E1276&gt;=H1276),E1277*(1+'Trading Model'!$E$13),H1276))</f>
        <v>27.698998950000004</v>
      </c>
      <c r="I1277" s="198">
        <f>IF(K1277&gt;0,E1277*(1-'Trading Model'!E1287),IF(E1277&lt;I1276,I1276*(1-'Trading Model'!$E$14),I1276))</f>
        <v>8.9840153609188427</v>
      </c>
      <c r="J1277" s="198">
        <f t="shared" si="159"/>
        <v>0</v>
      </c>
      <c r="K1277" s="198">
        <f t="shared" si="154"/>
        <v>0</v>
      </c>
      <c r="L1277" s="198">
        <f>COUNTIF(J1277:K1277,"&lt;&gt;0")*-'Trading Model'!$E$15</f>
        <v>0</v>
      </c>
      <c r="M1277" s="198">
        <f t="shared" si="152"/>
        <v>0</v>
      </c>
      <c r="N1277" s="75">
        <f t="shared" si="155"/>
        <v>45</v>
      </c>
      <c r="O1277" s="202">
        <f t="shared" si="156"/>
        <v>0</v>
      </c>
      <c r="P1277" s="199">
        <f t="shared" si="153"/>
        <v>0</v>
      </c>
      <c r="Q1277" s="203">
        <f t="shared" si="157"/>
        <v>38.100000000001678</v>
      </c>
      <c r="R1277" s="201">
        <f>E1277/B1273-1</f>
        <v>8.5106808510637677E-3</v>
      </c>
      <c r="S1277" s="201">
        <f t="shared" si="158"/>
        <v>6.3695119477500395E-3</v>
      </c>
    </row>
    <row r="1278" spans="1:19">
      <c r="A1278" s="196">
        <v>41822</v>
      </c>
      <c r="B1278" s="122">
        <v>23.790001</v>
      </c>
      <c r="C1278" s="122">
        <v>24.190000999999999</v>
      </c>
      <c r="D1278" s="122">
        <v>23.469999000000001</v>
      </c>
      <c r="E1278" s="122">
        <v>23.91</v>
      </c>
      <c r="F1278" s="122">
        <v>19.508241999999999</v>
      </c>
      <c r="G1278" s="197">
        <v>220100</v>
      </c>
      <c r="H1278" s="198">
        <f>IF(AND(E1277&gt;=H1277,E1278&gt;=E1277),E1277*(1+'Trading Model'!$E$13),IF(AND(E1278&lt;E1277,E1277&gt;=H1277),E1278*(1+'Trading Model'!$E$13),H1277))</f>
        <v>27.698998950000004</v>
      </c>
      <c r="I1278" s="198">
        <f>IF(K1278&gt;0,E1278*(1-'Trading Model'!E1288),IF(E1278&lt;I1277,I1277*(1-'Trading Model'!$E$14),I1277))</f>
        <v>8.9840153609188427</v>
      </c>
      <c r="J1278" s="198">
        <f t="shared" si="159"/>
        <v>0</v>
      </c>
      <c r="K1278" s="198">
        <f t="shared" si="154"/>
        <v>0</v>
      </c>
      <c r="L1278" s="198">
        <f>COUNTIF(J1278:K1278,"&lt;&gt;0")*-'Trading Model'!$E$15</f>
        <v>0</v>
      </c>
      <c r="M1278" s="198">
        <f t="shared" si="152"/>
        <v>0</v>
      </c>
      <c r="N1278" s="75">
        <f t="shared" si="155"/>
        <v>45</v>
      </c>
      <c r="O1278" s="202">
        <f t="shared" si="156"/>
        <v>0</v>
      </c>
      <c r="P1278" s="199">
        <f t="shared" si="153"/>
        <v>0</v>
      </c>
      <c r="Q1278" s="203">
        <f t="shared" si="157"/>
        <v>38.100000000001678</v>
      </c>
      <c r="R1278" s="160" t="s">
        <v>55</v>
      </c>
      <c r="S1278" s="201">
        <f t="shared" si="158"/>
        <v>8.860716925708223E-3</v>
      </c>
    </row>
    <row r="1279" spans="1:19">
      <c r="A1279" s="196">
        <v>41823</v>
      </c>
      <c r="B1279" s="122">
        <v>23.879999000000002</v>
      </c>
      <c r="C1279" s="122">
        <v>24.200001</v>
      </c>
      <c r="D1279" s="122">
        <v>23.620000999999998</v>
      </c>
      <c r="E1279" s="122">
        <v>23.85</v>
      </c>
      <c r="F1279" s="122">
        <v>19.459288000000001</v>
      </c>
      <c r="G1279" s="197">
        <v>90200</v>
      </c>
      <c r="H1279" s="198">
        <f>IF(AND(E1278&gt;=H1278,E1279&gt;=E1278),E1278*(1+'Trading Model'!$E$13),IF(AND(E1279&lt;E1278,E1278&gt;=H1278),E1279*(1+'Trading Model'!$E$13),H1278))</f>
        <v>27.698998950000004</v>
      </c>
      <c r="I1279" s="198">
        <f>IF(K1279&gt;0,E1279*(1-'Trading Model'!E1289),IF(E1279&lt;I1278,I1278*(1-'Trading Model'!$E$14),I1278))</f>
        <v>8.9840153609188427</v>
      </c>
      <c r="J1279" s="198">
        <f t="shared" si="159"/>
        <v>0</v>
      </c>
      <c r="K1279" s="198">
        <f t="shared" si="154"/>
        <v>0</v>
      </c>
      <c r="L1279" s="198">
        <f>COUNTIF(J1279:K1279,"&lt;&gt;0")*-'Trading Model'!$E$15</f>
        <v>0</v>
      </c>
      <c r="M1279" s="198">
        <f t="shared" si="152"/>
        <v>0</v>
      </c>
      <c r="N1279" s="75">
        <f t="shared" si="155"/>
        <v>45</v>
      </c>
      <c r="O1279" s="202">
        <f t="shared" si="156"/>
        <v>0</v>
      </c>
      <c r="P1279" s="199">
        <f t="shared" si="153"/>
        <v>0</v>
      </c>
      <c r="Q1279" s="203">
        <f t="shared" si="157"/>
        <v>38.000000000001677</v>
      </c>
      <c r="R1279" s="203" t="s">
        <v>55</v>
      </c>
      <c r="S1279" s="201">
        <f t="shared" si="158"/>
        <v>-2.5094102885820924E-3</v>
      </c>
    </row>
    <row r="1280" spans="1:19">
      <c r="A1280" s="196">
        <v>41827</v>
      </c>
      <c r="B1280" s="122">
        <v>23.809999000000001</v>
      </c>
      <c r="C1280" s="122">
        <v>24.049999</v>
      </c>
      <c r="D1280" s="122">
        <v>23.24</v>
      </c>
      <c r="E1280" s="122">
        <v>23.690000999999999</v>
      </c>
      <c r="F1280" s="122">
        <v>19.328745000000001</v>
      </c>
      <c r="G1280" s="197">
        <v>234400</v>
      </c>
      <c r="H1280" s="198">
        <f>IF(AND(E1279&gt;=H1279,E1280&gt;=E1279),E1279*(1+'Trading Model'!$E$13),IF(AND(E1280&lt;E1279,E1279&gt;=H1279),E1280*(1+'Trading Model'!$E$13),H1279))</f>
        <v>27.698998950000004</v>
      </c>
      <c r="I1280" s="198">
        <f>IF(K1280&gt;0,E1280*(1-'Trading Model'!E1290),IF(E1280&lt;I1279,I1279*(1-'Trading Model'!$E$14),I1279))</f>
        <v>8.9840153609188427</v>
      </c>
      <c r="J1280" s="198">
        <f t="shared" si="159"/>
        <v>0</v>
      </c>
      <c r="K1280" s="198">
        <f t="shared" si="154"/>
        <v>0</v>
      </c>
      <c r="L1280" s="198">
        <f>COUNTIF(J1280:K1280,"&lt;&gt;0")*-'Trading Model'!$E$15</f>
        <v>0</v>
      </c>
      <c r="M1280" s="198">
        <f t="shared" si="152"/>
        <v>0</v>
      </c>
      <c r="N1280" s="75">
        <f t="shared" si="155"/>
        <v>45</v>
      </c>
      <c r="O1280" s="202">
        <f t="shared" si="156"/>
        <v>0</v>
      </c>
      <c r="P1280" s="199">
        <f t="shared" si="153"/>
        <v>0</v>
      </c>
      <c r="Q1280" s="203">
        <f t="shared" si="157"/>
        <v>37.900000000001675</v>
      </c>
      <c r="R1280" s="203" t="s">
        <v>55</v>
      </c>
      <c r="S1280" s="201">
        <f t="shared" si="158"/>
        <v>-6.7085534591195817E-3</v>
      </c>
    </row>
    <row r="1281" spans="1:19">
      <c r="A1281" s="196">
        <v>41828</v>
      </c>
      <c r="B1281" s="122">
        <v>23.540001</v>
      </c>
      <c r="C1281" s="122">
        <v>23.82</v>
      </c>
      <c r="D1281" s="122">
        <v>23.24</v>
      </c>
      <c r="E1281" s="122">
        <v>23.549999</v>
      </c>
      <c r="F1281" s="122">
        <v>19.214516</v>
      </c>
      <c r="G1281" s="197">
        <v>221400</v>
      </c>
      <c r="H1281" s="198">
        <f>IF(AND(E1280&gt;=H1280,E1281&gt;=E1280),E1280*(1+'Trading Model'!$E$13),IF(AND(E1281&lt;E1280,E1280&gt;=H1280),E1281*(1+'Trading Model'!$E$13),H1280))</f>
        <v>27.698998950000004</v>
      </c>
      <c r="I1281" s="198">
        <f>IF(K1281&gt;0,E1281*(1-'Trading Model'!E1291),IF(E1281&lt;I1280,I1280*(1-'Trading Model'!$E$14),I1280))</f>
        <v>8.9840153609188427</v>
      </c>
      <c r="J1281" s="198">
        <f t="shared" si="159"/>
        <v>0</v>
      </c>
      <c r="K1281" s="198">
        <f t="shared" si="154"/>
        <v>0</v>
      </c>
      <c r="L1281" s="198">
        <f>COUNTIF(J1281:K1281,"&lt;&gt;0")*-'Trading Model'!$E$15</f>
        <v>0</v>
      </c>
      <c r="M1281" s="198">
        <f t="shared" si="152"/>
        <v>0</v>
      </c>
      <c r="N1281" s="75">
        <f t="shared" si="155"/>
        <v>45</v>
      </c>
      <c r="O1281" s="202">
        <f t="shared" si="156"/>
        <v>0</v>
      </c>
      <c r="P1281" s="199">
        <f t="shared" si="153"/>
        <v>0</v>
      </c>
      <c r="Q1281" s="203">
        <f t="shared" si="157"/>
        <v>37.800000000001674</v>
      </c>
      <c r="R1281" s="203" t="s">
        <v>55</v>
      </c>
      <c r="S1281" s="201">
        <f t="shared" si="158"/>
        <v>-5.9097507003059713E-3</v>
      </c>
    </row>
    <row r="1282" spans="1:19">
      <c r="A1282" s="196">
        <v>41829</v>
      </c>
      <c r="B1282" s="122">
        <v>23.43</v>
      </c>
      <c r="C1282" s="122">
        <v>24.91</v>
      </c>
      <c r="D1282" s="122">
        <v>23.34</v>
      </c>
      <c r="E1282" s="122">
        <v>24.57</v>
      </c>
      <c r="F1282" s="122">
        <v>20.046738000000001</v>
      </c>
      <c r="G1282" s="197">
        <v>333500</v>
      </c>
      <c r="H1282" s="198">
        <f>IF(AND(E1281&gt;=H1281,E1282&gt;=E1281),E1281*(1+'Trading Model'!$E$13),IF(AND(E1282&lt;E1281,E1281&gt;=H1281),E1282*(1+'Trading Model'!$E$13),H1281))</f>
        <v>27.698998950000004</v>
      </c>
      <c r="I1282" s="198">
        <f>IF(K1282&gt;0,E1282*(1-'Trading Model'!E1292),IF(E1282&lt;I1281,I1281*(1-'Trading Model'!$E$14),I1281))</f>
        <v>8.9840153609188427</v>
      </c>
      <c r="J1282" s="198">
        <f t="shared" si="159"/>
        <v>0</v>
      </c>
      <c r="K1282" s="198">
        <f t="shared" si="154"/>
        <v>0</v>
      </c>
      <c r="L1282" s="198">
        <f>COUNTIF(J1282:K1282,"&lt;&gt;0")*-'Trading Model'!$E$15</f>
        <v>0</v>
      </c>
      <c r="M1282" s="198">
        <f t="shared" si="152"/>
        <v>0</v>
      </c>
      <c r="N1282" s="75">
        <f t="shared" si="155"/>
        <v>45</v>
      </c>
      <c r="O1282" s="202">
        <f t="shared" si="156"/>
        <v>0</v>
      </c>
      <c r="P1282" s="199">
        <f t="shared" si="153"/>
        <v>0</v>
      </c>
      <c r="Q1282" s="203">
        <f t="shared" si="157"/>
        <v>37.800000000001674</v>
      </c>
      <c r="R1282" s="201">
        <f>E1282/B1278-1</f>
        <v>3.2786841833255975E-2</v>
      </c>
      <c r="S1282" s="201">
        <f t="shared" si="158"/>
        <v>4.3312146212830083E-2</v>
      </c>
    </row>
    <row r="1283" spans="1:19">
      <c r="A1283" s="196">
        <v>41830</v>
      </c>
      <c r="B1283" s="122">
        <v>24.43</v>
      </c>
      <c r="C1283" s="122">
        <v>24.860001</v>
      </c>
      <c r="D1283" s="122">
        <v>24.309999000000001</v>
      </c>
      <c r="E1283" s="122">
        <v>24.860001</v>
      </c>
      <c r="F1283" s="122">
        <v>20.283352000000001</v>
      </c>
      <c r="G1283" s="197">
        <v>179000</v>
      </c>
      <c r="H1283" s="198">
        <f>IF(AND(E1282&gt;=H1282,E1283&gt;=E1282),E1282*(1+'Trading Model'!$E$13),IF(AND(E1283&lt;E1282,E1282&gt;=H1282),E1283*(1+'Trading Model'!$E$13),H1282))</f>
        <v>27.698998950000004</v>
      </c>
      <c r="I1283" s="198">
        <f>IF(K1283&gt;0,E1283*(1-'Trading Model'!E1293),IF(E1283&lt;I1282,I1282*(1-'Trading Model'!$E$14),I1282))</f>
        <v>8.9840153609188427</v>
      </c>
      <c r="J1283" s="198">
        <f t="shared" si="159"/>
        <v>0</v>
      </c>
      <c r="K1283" s="198">
        <f t="shared" si="154"/>
        <v>0</v>
      </c>
      <c r="L1283" s="198">
        <f>COUNTIF(J1283:K1283,"&lt;&gt;0")*-'Trading Model'!$E$15</f>
        <v>0</v>
      </c>
      <c r="M1283" s="198">
        <f t="shared" ref="M1283:M1346" si="160">SUM(J1283:L1283)</f>
        <v>0</v>
      </c>
      <c r="N1283" s="75">
        <f t="shared" si="155"/>
        <v>45</v>
      </c>
      <c r="O1283" s="202">
        <f t="shared" si="156"/>
        <v>0</v>
      </c>
      <c r="P1283" s="199">
        <f t="shared" ref="P1283:P1346" si="161">IFERROR(VLOOKUP(A1283,Dividends,2,FALSE),$U$1)</f>
        <v>0</v>
      </c>
      <c r="Q1283" s="203">
        <f t="shared" si="157"/>
        <v>37.800000000001674</v>
      </c>
      <c r="R1283" s="160" t="s">
        <v>55</v>
      </c>
      <c r="S1283" s="201">
        <f t="shared" si="158"/>
        <v>1.180305250305258E-2</v>
      </c>
    </row>
    <row r="1284" spans="1:19">
      <c r="A1284" s="196">
        <v>41831</v>
      </c>
      <c r="B1284" s="122">
        <v>24.98</v>
      </c>
      <c r="C1284" s="122">
        <v>25.290001</v>
      </c>
      <c r="D1284" s="122">
        <v>24.76</v>
      </c>
      <c r="E1284" s="122">
        <v>25.08</v>
      </c>
      <c r="F1284" s="122">
        <v>20.462848999999999</v>
      </c>
      <c r="G1284" s="197">
        <v>185000</v>
      </c>
      <c r="H1284" s="198">
        <f>IF(AND(E1283&gt;=H1283,E1284&gt;=E1283),E1283*(1+'Trading Model'!$E$13),IF(AND(E1284&lt;E1283,E1283&gt;=H1283),E1284*(1+'Trading Model'!$E$13),H1283))</f>
        <v>27.698998950000004</v>
      </c>
      <c r="I1284" s="198">
        <f>IF(K1284&gt;0,E1284*(1-'Trading Model'!E1294),IF(E1284&lt;I1283,I1283*(1-'Trading Model'!$E$14),I1283))</f>
        <v>8.9840153609188427</v>
      </c>
      <c r="J1284" s="198">
        <f t="shared" si="159"/>
        <v>0</v>
      </c>
      <c r="K1284" s="198">
        <f t="shared" ref="K1284:K1347" si="162">IF(E1284&gt;=H1284,E1284,0)</f>
        <v>0</v>
      </c>
      <c r="L1284" s="198">
        <f>COUNTIF(J1284:K1284,"&lt;&gt;0")*-'Trading Model'!$E$15</f>
        <v>0</v>
      </c>
      <c r="M1284" s="198">
        <f t="shared" si="160"/>
        <v>0</v>
      </c>
      <c r="N1284" s="75">
        <f t="shared" ref="N1284:N1347" si="163">IF(AND(J1284&lt;0,K1284&gt;0),N1283,(IF(J1284&lt;0,N1283+1,IF(K1284&gt;0,N1283+1,N1283))))</f>
        <v>45</v>
      </c>
      <c r="O1284" s="202">
        <f t="shared" ref="O1284:O1347" si="164">P1284</f>
        <v>0</v>
      </c>
      <c r="P1284" s="199">
        <f t="shared" si="161"/>
        <v>0</v>
      </c>
      <c r="Q1284" s="203">
        <f t="shared" ref="Q1284:Q1347" si="165">IF(E1284&lt;E1283,Q1283-0.1,Q1283)</f>
        <v>37.800000000001674</v>
      </c>
      <c r="R1284" s="203" t="s">
        <v>55</v>
      </c>
      <c r="S1284" s="201">
        <f t="shared" ref="S1284:S1347" si="166">E1284/E1283-1</f>
        <v>8.8495169408882024E-3</v>
      </c>
    </row>
    <row r="1285" spans="1:19">
      <c r="A1285" s="196">
        <v>41834</v>
      </c>
      <c r="B1285" s="122">
        <v>24.969999000000001</v>
      </c>
      <c r="C1285" s="122">
        <v>25.559999000000001</v>
      </c>
      <c r="D1285" s="122">
        <v>24.65</v>
      </c>
      <c r="E1285" s="122">
        <v>25.09</v>
      </c>
      <c r="F1285" s="122">
        <v>20.471008000000001</v>
      </c>
      <c r="G1285" s="197">
        <v>229500</v>
      </c>
      <c r="H1285" s="198">
        <f>IF(AND(E1284&gt;=H1284,E1285&gt;=E1284),E1284*(1+'Trading Model'!$E$13),IF(AND(E1285&lt;E1284,E1284&gt;=H1284),E1285*(1+'Trading Model'!$E$13),H1284))</f>
        <v>27.698998950000004</v>
      </c>
      <c r="I1285" s="198">
        <f>IF(K1285&gt;0,E1285*(1-'Trading Model'!E1295),IF(E1285&lt;I1284,I1284*(1-'Trading Model'!$E$14),I1284))</f>
        <v>8.9840153609188427</v>
      </c>
      <c r="J1285" s="198">
        <f t="shared" ref="J1285:J1348" si="167">IF(E1285&gt;=H1285,-E1285,IF(E1285&lt;=I1284,-E1285,0))</f>
        <v>0</v>
      </c>
      <c r="K1285" s="198">
        <f t="shared" si="162"/>
        <v>0</v>
      </c>
      <c r="L1285" s="198">
        <f>COUNTIF(J1285:K1285,"&lt;&gt;0")*-'Trading Model'!$E$15</f>
        <v>0</v>
      </c>
      <c r="M1285" s="198">
        <f t="shared" si="160"/>
        <v>0</v>
      </c>
      <c r="N1285" s="75">
        <f t="shared" si="163"/>
        <v>45</v>
      </c>
      <c r="O1285" s="202">
        <f t="shared" si="164"/>
        <v>0</v>
      </c>
      <c r="P1285" s="199">
        <f t="shared" si="161"/>
        <v>0</v>
      </c>
      <c r="Q1285" s="203">
        <f t="shared" si="165"/>
        <v>37.800000000001674</v>
      </c>
      <c r="R1285" s="203" t="s">
        <v>55</v>
      </c>
      <c r="S1285" s="201">
        <f t="shared" si="166"/>
        <v>3.9872408293462058E-4</v>
      </c>
    </row>
    <row r="1286" spans="1:19">
      <c r="A1286" s="196">
        <v>41835</v>
      </c>
      <c r="B1286" s="122">
        <v>25</v>
      </c>
      <c r="C1286" s="122">
        <v>25.08</v>
      </c>
      <c r="D1286" s="122">
        <v>24.610001</v>
      </c>
      <c r="E1286" s="122">
        <v>24.84</v>
      </c>
      <c r="F1286" s="122">
        <v>20.267036000000001</v>
      </c>
      <c r="G1286" s="197">
        <v>120200</v>
      </c>
      <c r="H1286" s="198">
        <f>IF(AND(E1285&gt;=H1285,E1286&gt;=E1285),E1285*(1+'Trading Model'!$E$13),IF(AND(E1286&lt;E1285,E1285&gt;=H1285),E1286*(1+'Trading Model'!$E$13),H1285))</f>
        <v>27.698998950000004</v>
      </c>
      <c r="I1286" s="198">
        <f>IF(K1286&gt;0,E1286*(1-'Trading Model'!E1296),IF(E1286&lt;I1285,I1285*(1-'Trading Model'!$E$14),I1285))</f>
        <v>8.9840153609188427</v>
      </c>
      <c r="J1286" s="198">
        <f t="shared" si="167"/>
        <v>0</v>
      </c>
      <c r="K1286" s="198">
        <f t="shared" si="162"/>
        <v>0</v>
      </c>
      <c r="L1286" s="198">
        <f>COUNTIF(J1286:K1286,"&lt;&gt;0")*-'Trading Model'!$E$15</f>
        <v>0</v>
      </c>
      <c r="M1286" s="198">
        <f t="shared" si="160"/>
        <v>0</v>
      </c>
      <c r="N1286" s="75">
        <f t="shared" si="163"/>
        <v>45</v>
      </c>
      <c r="O1286" s="202">
        <f t="shared" si="164"/>
        <v>0</v>
      </c>
      <c r="P1286" s="199">
        <f t="shared" si="161"/>
        <v>0</v>
      </c>
      <c r="Q1286" s="203">
        <f t="shared" si="165"/>
        <v>37.700000000001673</v>
      </c>
      <c r="R1286" s="203" t="s">
        <v>55</v>
      </c>
      <c r="S1286" s="201">
        <f t="shared" si="166"/>
        <v>-9.9641291351135752E-3</v>
      </c>
    </row>
    <row r="1287" spans="1:19">
      <c r="A1287" s="196">
        <v>41836</v>
      </c>
      <c r="B1287" s="122">
        <v>24.98</v>
      </c>
      <c r="C1287" s="122">
        <v>25.1</v>
      </c>
      <c r="D1287" s="122">
        <v>24.33</v>
      </c>
      <c r="E1287" s="122">
        <v>24.559999000000001</v>
      </c>
      <c r="F1287" s="122">
        <v>20.038578000000001</v>
      </c>
      <c r="G1287" s="197">
        <v>157500</v>
      </c>
      <c r="H1287" s="198">
        <f>IF(AND(E1286&gt;=H1286,E1287&gt;=E1286),E1286*(1+'Trading Model'!$E$13),IF(AND(E1287&lt;E1286,E1286&gt;=H1286),E1287*(1+'Trading Model'!$E$13),H1286))</f>
        <v>27.698998950000004</v>
      </c>
      <c r="I1287" s="198">
        <f>IF(K1287&gt;0,E1287*(1-'Trading Model'!E1297),IF(E1287&lt;I1286,I1286*(1-'Trading Model'!$E$14),I1286))</f>
        <v>8.9840153609188427</v>
      </c>
      <c r="J1287" s="198">
        <f t="shared" si="167"/>
        <v>0</v>
      </c>
      <c r="K1287" s="198">
        <f t="shared" si="162"/>
        <v>0</v>
      </c>
      <c r="L1287" s="198">
        <f>COUNTIF(J1287:K1287,"&lt;&gt;0")*-'Trading Model'!$E$15</f>
        <v>0</v>
      </c>
      <c r="M1287" s="198">
        <f t="shared" si="160"/>
        <v>0</v>
      </c>
      <c r="N1287" s="75">
        <f t="shared" si="163"/>
        <v>45</v>
      </c>
      <c r="O1287" s="202">
        <f t="shared" si="164"/>
        <v>0</v>
      </c>
      <c r="P1287" s="199">
        <f t="shared" si="161"/>
        <v>0</v>
      </c>
      <c r="Q1287" s="203">
        <f t="shared" si="165"/>
        <v>37.600000000001671</v>
      </c>
      <c r="R1287" s="201">
        <f>E1287/B1283-1</f>
        <v>5.3212853049529052E-3</v>
      </c>
      <c r="S1287" s="201">
        <f t="shared" si="166"/>
        <v>-1.1272181964573247E-2</v>
      </c>
    </row>
    <row r="1288" spans="1:19">
      <c r="A1288" s="196">
        <v>41837</v>
      </c>
      <c r="B1288" s="122">
        <v>24.25</v>
      </c>
      <c r="C1288" s="122">
        <v>24.48</v>
      </c>
      <c r="D1288" s="122">
        <v>23.82</v>
      </c>
      <c r="E1288" s="122">
        <v>24.02</v>
      </c>
      <c r="F1288" s="122">
        <v>19.597992000000001</v>
      </c>
      <c r="G1288" s="197">
        <v>107800</v>
      </c>
      <c r="H1288" s="198">
        <f>IF(AND(E1287&gt;=H1287,E1288&gt;=E1287),E1287*(1+'Trading Model'!$E$13),IF(AND(E1288&lt;E1287,E1287&gt;=H1287),E1288*(1+'Trading Model'!$E$13),H1287))</f>
        <v>27.698998950000004</v>
      </c>
      <c r="I1288" s="198">
        <f>IF(K1288&gt;0,E1288*(1-'Trading Model'!E1298),IF(E1288&lt;I1287,I1287*(1-'Trading Model'!$E$14),I1287))</f>
        <v>8.9840153609188427</v>
      </c>
      <c r="J1288" s="198">
        <f t="shared" si="167"/>
        <v>0</v>
      </c>
      <c r="K1288" s="198">
        <f t="shared" si="162"/>
        <v>0</v>
      </c>
      <c r="L1288" s="198">
        <f>COUNTIF(J1288:K1288,"&lt;&gt;0")*-'Trading Model'!$E$15</f>
        <v>0</v>
      </c>
      <c r="M1288" s="198">
        <f t="shared" si="160"/>
        <v>0</v>
      </c>
      <c r="N1288" s="75">
        <f t="shared" si="163"/>
        <v>45</v>
      </c>
      <c r="O1288" s="202">
        <f t="shared" si="164"/>
        <v>0</v>
      </c>
      <c r="P1288" s="199">
        <f t="shared" si="161"/>
        <v>0</v>
      </c>
      <c r="Q1288" s="203">
        <f t="shared" si="165"/>
        <v>37.50000000000167</v>
      </c>
      <c r="R1288" s="160" t="s">
        <v>55</v>
      </c>
      <c r="S1288" s="201">
        <f t="shared" si="166"/>
        <v>-2.1986930862660126E-2</v>
      </c>
    </row>
    <row r="1289" spans="1:19">
      <c r="A1289" s="196">
        <v>41838</v>
      </c>
      <c r="B1289" s="122">
        <v>24</v>
      </c>
      <c r="C1289" s="122">
        <v>25.15</v>
      </c>
      <c r="D1289" s="122">
        <v>23.629999000000002</v>
      </c>
      <c r="E1289" s="122">
        <v>24.99</v>
      </c>
      <c r="F1289" s="122">
        <v>20.389420000000001</v>
      </c>
      <c r="G1289" s="197">
        <v>142400</v>
      </c>
      <c r="H1289" s="198">
        <f>IF(AND(E1288&gt;=H1288,E1289&gt;=E1288),E1288*(1+'Trading Model'!$E$13),IF(AND(E1289&lt;E1288,E1288&gt;=H1288),E1289*(1+'Trading Model'!$E$13),H1288))</f>
        <v>27.698998950000004</v>
      </c>
      <c r="I1289" s="198">
        <f>IF(K1289&gt;0,E1289*(1-'Trading Model'!E1299),IF(E1289&lt;I1288,I1288*(1-'Trading Model'!$E$14),I1288))</f>
        <v>8.9840153609188427</v>
      </c>
      <c r="J1289" s="198">
        <f t="shared" si="167"/>
        <v>0</v>
      </c>
      <c r="K1289" s="198">
        <f t="shared" si="162"/>
        <v>0</v>
      </c>
      <c r="L1289" s="198">
        <f>COUNTIF(J1289:K1289,"&lt;&gt;0")*-'Trading Model'!$E$15</f>
        <v>0</v>
      </c>
      <c r="M1289" s="198">
        <f t="shared" si="160"/>
        <v>0</v>
      </c>
      <c r="N1289" s="75">
        <f t="shared" si="163"/>
        <v>45</v>
      </c>
      <c r="O1289" s="202">
        <f t="shared" si="164"/>
        <v>0</v>
      </c>
      <c r="P1289" s="199">
        <f t="shared" si="161"/>
        <v>0</v>
      </c>
      <c r="Q1289" s="203">
        <f t="shared" si="165"/>
        <v>37.50000000000167</v>
      </c>
      <c r="R1289" s="203" t="s">
        <v>55</v>
      </c>
      <c r="S1289" s="201">
        <f t="shared" si="166"/>
        <v>4.0383014154870889E-2</v>
      </c>
    </row>
    <row r="1290" spans="1:19">
      <c r="A1290" s="196">
        <v>41841</v>
      </c>
      <c r="B1290" s="122">
        <v>24.799999</v>
      </c>
      <c r="C1290" s="122">
        <v>25.07</v>
      </c>
      <c r="D1290" s="122">
        <v>23.629999000000002</v>
      </c>
      <c r="E1290" s="122">
        <v>24</v>
      </c>
      <c r="F1290" s="122">
        <v>19.581672999999999</v>
      </c>
      <c r="G1290" s="197">
        <v>326700</v>
      </c>
      <c r="H1290" s="198">
        <f>IF(AND(E1289&gt;=H1289,E1290&gt;=E1289),E1289*(1+'Trading Model'!$E$13),IF(AND(E1290&lt;E1289,E1289&gt;=H1289),E1290*(1+'Trading Model'!$E$13),H1289))</f>
        <v>27.698998950000004</v>
      </c>
      <c r="I1290" s="198">
        <f>IF(K1290&gt;0,E1290*(1-'Trading Model'!E1300),IF(E1290&lt;I1289,I1289*(1-'Trading Model'!$E$14),I1289))</f>
        <v>8.9840153609188427</v>
      </c>
      <c r="J1290" s="198">
        <f t="shared" si="167"/>
        <v>0</v>
      </c>
      <c r="K1290" s="198">
        <f t="shared" si="162"/>
        <v>0</v>
      </c>
      <c r="L1290" s="198">
        <f>COUNTIF(J1290:K1290,"&lt;&gt;0")*-'Trading Model'!$E$15</f>
        <v>0</v>
      </c>
      <c r="M1290" s="198">
        <f t="shared" si="160"/>
        <v>0</v>
      </c>
      <c r="N1290" s="75">
        <f t="shared" si="163"/>
        <v>45</v>
      </c>
      <c r="O1290" s="202">
        <f t="shared" si="164"/>
        <v>0</v>
      </c>
      <c r="P1290" s="199">
        <f t="shared" si="161"/>
        <v>0</v>
      </c>
      <c r="Q1290" s="203">
        <f t="shared" si="165"/>
        <v>37.400000000001668</v>
      </c>
      <c r="R1290" s="203" t="s">
        <v>55</v>
      </c>
      <c r="S1290" s="201">
        <f t="shared" si="166"/>
        <v>-3.9615846338535321E-2</v>
      </c>
    </row>
    <row r="1291" spans="1:19">
      <c r="A1291" s="196">
        <v>41842</v>
      </c>
      <c r="B1291" s="122">
        <v>24.040001</v>
      </c>
      <c r="C1291" s="122">
        <v>24.059999000000001</v>
      </c>
      <c r="D1291" s="122">
        <v>22.83</v>
      </c>
      <c r="E1291" s="122">
        <v>23</v>
      </c>
      <c r="F1291" s="122">
        <v>18.765771999999998</v>
      </c>
      <c r="G1291" s="197">
        <v>298200</v>
      </c>
      <c r="H1291" s="198">
        <f>IF(AND(E1290&gt;=H1290,E1291&gt;=E1290),E1290*(1+'Trading Model'!$E$13),IF(AND(E1291&lt;E1290,E1290&gt;=H1290),E1291*(1+'Trading Model'!$E$13),H1290))</f>
        <v>27.698998950000004</v>
      </c>
      <c r="I1291" s="198">
        <f>IF(K1291&gt;0,E1291*(1-'Trading Model'!E1301),IF(E1291&lt;I1290,I1290*(1-'Trading Model'!$E$14),I1290))</f>
        <v>8.9840153609188427</v>
      </c>
      <c r="J1291" s="198">
        <f t="shared" si="167"/>
        <v>0</v>
      </c>
      <c r="K1291" s="198">
        <f t="shared" si="162"/>
        <v>0</v>
      </c>
      <c r="L1291" s="198">
        <f>COUNTIF(J1291:K1291,"&lt;&gt;0")*-'Trading Model'!$E$15</f>
        <v>0</v>
      </c>
      <c r="M1291" s="198">
        <f t="shared" si="160"/>
        <v>0</v>
      </c>
      <c r="N1291" s="75">
        <f t="shared" si="163"/>
        <v>45</v>
      </c>
      <c r="O1291" s="202">
        <f t="shared" si="164"/>
        <v>0</v>
      </c>
      <c r="P1291" s="199">
        <f t="shared" si="161"/>
        <v>0</v>
      </c>
      <c r="Q1291" s="203">
        <f t="shared" si="165"/>
        <v>37.300000000001667</v>
      </c>
      <c r="R1291" s="203" t="s">
        <v>55</v>
      </c>
      <c r="S1291" s="201">
        <f t="shared" si="166"/>
        <v>-4.166666666666663E-2</v>
      </c>
    </row>
    <row r="1292" spans="1:19">
      <c r="A1292" s="196">
        <v>41843</v>
      </c>
      <c r="B1292" s="122">
        <v>23.040001</v>
      </c>
      <c r="C1292" s="122">
        <v>23.040001</v>
      </c>
      <c r="D1292" s="122">
        <v>21.98</v>
      </c>
      <c r="E1292" s="122">
        <v>22.26</v>
      </c>
      <c r="F1292" s="122">
        <v>18.162002999999999</v>
      </c>
      <c r="G1292" s="197">
        <v>237400</v>
      </c>
      <c r="H1292" s="198">
        <f>IF(AND(E1291&gt;=H1291,E1292&gt;=E1291),E1291*(1+'Trading Model'!$E$13),IF(AND(E1292&lt;E1291,E1291&gt;=H1291),E1292*(1+'Trading Model'!$E$13),H1291))</f>
        <v>27.698998950000004</v>
      </c>
      <c r="I1292" s="198">
        <f>IF(K1292&gt;0,E1292*(1-'Trading Model'!E1302),IF(E1292&lt;I1291,I1291*(1-'Trading Model'!$E$14),I1291))</f>
        <v>8.9840153609188427</v>
      </c>
      <c r="J1292" s="198">
        <f t="shared" si="167"/>
        <v>0</v>
      </c>
      <c r="K1292" s="198">
        <f t="shared" si="162"/>
        <v>0</v>
      </c>
      <c r="L1292" s="198">
        <f>COUNTIF(J1292:K1292,"&lt;&gt;0")*-'Trading Model'!$E$15</f>
        <v>0</v>
      </c>
      <c r="M1292" s="198">
        <f t="shared" si="160"/>
        <v>0</v>
      </c>
      <c r="N1292" s="75">
        <f t="shared" si="163"/>
        <v>45</v>
      </c>
      <c r="O1292" s="202">
        <f t="shared" si="164"/>
        <v>0</v>
      </c>
      <c r="P1292" s="199">
        <f t="shared" si="161"/>
        <v>0</v>
      </c>
      <c r="Q1292" s="203">
        <f t="shared" si="165"/>
        <v>37.200000000001666</v>
      </c>
      <c r="R1292" s="201">
        <f>E1292/B1288-1</f>
        <v>-8.2061855670103045E-2</v>
      </c>
      <c r="S1292" s="201">
        <f t="shared" si="166"/>
        <v>-3.2173913043478164E-2</v>
      </c>
    </row>
    <row r="1293" spans="1:19">
      <c r="A1293" s="196">
        <v>41844</v>
      </c>
      <c r="B1293" s="122">
        <v>22.389999</v>
      </c>
      <c r="C1293" s="122">
        <v>23.280000999999999</v>
      </c>
      <c r="D1293" s="122">
        <v>22.309999000000001</v>
      </c>
      <c r="E1293" s="122">
        <v>22.450001</v>
      </c>
      <c r="F1293" s="122">
        <v>18.317024</v>
      </c>
      <c r="G1293" s="197">
        <v>198500</v>
      </c>
      <c r="H1293" s="198">
        <f>IF(AND(E1292&gt;=H1292,E1293&gt;=E1292),E1292*(1+'Trading Model'!$E$13),IF(AND(E1293&lt;E1292,E1292&gt;=H1292),E1293*(1+'Trading Model'!$E$13),H1292))</f>
        <v>27.698998950000004</v>
      </c>
      <c r="I1293" s="198">
        <f>IF(K1293&gt;0,E1293*(1-'Trading Model'!E1303),IF(E1293&lt;I1292,I1292*(1-'Trading Model'!$E$14),I1292))</f>
        <v>8.9840153609188427</v>
      </c>
      <c r="J1293" s="198">
        <f t="shared" si="167"/>
        <v>0</v>
      </c>
      <c r="K1293" s="198">
        <f t="shared" si="162"/>
        <v>0</v>
      </c>
      <c r="L1293" s="198">
        <f>COUNTIF(J1293:K1293,"&lt;&gt;0")*-'Trading Model'!$E$15</f>
        <v>0</v>
      </c>
      <c r="M1293" s="198">
        <f t="shared" si="160"/>
        <v>0</v>
      </c>
      <c r="N1293" s="75">
        <f t="shared" si="163"/>
        <v>45</v>
      </c>
      <c r="O1293" s="202">
        <f t="shared" si="164"/>
        <v>0</v>
      </c>
      <c r="P1293" s="199">
        <f t="shared" si="161"/>
        <v>0</v>
      </c>
      <c r="Q1293" s="203">
        <f t="shared" si="165"/>
        <v>37.200000000001666</v>
      </c>
      <c r="R1293" s="160" t="s">
        <v>55</v>
      </c>
      <c r="S1293" s="201">
        <f t="shared" si="166"/>
        <v>8.5355345911948266E-3</v>
      </c>
    </row>
    <row r="1294" spans="1:19">
      <c r="A1294" s="196">
        <v>41845</v>
      </c>
      <c r="B1294" s="122">
        <v>22.49</v>
      </c>
      <c r="C1294" s="122">
        <v>22.49</v>
      </c>
      <c r="D1294" s="122">
        <v>21.610001</v>
      </c>
      <c r="E1294" s="122">
        <v>21.860001</v>
      </c>
      <c r="F1294" s="122">
        <v>17.835643999999998</v>
      </c>
      <c r="G1294" s="197">
        <v>256100</v>
      </c>
      <c r="H1294" s="198">
        <f>IF(AND(E1293&gt;=H1293,E1294&gt;=E1293),E1293*(1+'Trading Model'!$E$13),IF(AND(E1294&lt;E1293,E1293&gt;=H1293),E1294*(1+'Trading Model'!$E$13),H1293))</f>
        <v>27.698998950000004</v>
      </c>
      <c r="I1294" s="198">
        <f>IF(K1294&gt;0,E1294*(1-'Trading Model'!E1304),IF(E1294&lt;I1293,I1293*(1-'Trading Model'!$E$14),I1293))</f>
        <v>8.9840153609188427</v>
      </c>
      <c r="J1294" s="198">
        <f t="shared" si="167"/>
        <v>0</v>
      </c>
      <c r="K1294" s="198">
        <f t="shared" si="162"/>
        <v>0</v>
      </c>
      <c r="L1294" s="198">
        <f>COUNTIF(J1294:K1294,"&lt;&gt;0")*-'Trading Model'!$E$15</f>
        <v>0</v>
      </c>
      <c r="M1294" s="198">
        <f t="shared" si="160"/>
        <v>0</v>
      </c>
      <c r="N1294" s="75">
        <f t="shared" si="163"/>
        <v>45</v>
      </c>
      <c r="O1294" s="202">
        <f t="shared" si="164"/>
        <v>0</v>
      </c>
      <c r="P1294" s="199">
        <f t="shared" si="161"/>
        <v>0</v>
      </c>
      <c r="Q1294" s="203">
        <f t="shared" si="165"/>
        <v>37.100000000001664</v>
      </c>
      <c r="R1294" s="203" t="s">
        <v>55</v>
      </c>
      <c r="S1294" s="201">
        <f t="shared" si="166"/>
        <v>-2.6280622437388712E-2</v>
      </c>
    </row>
    <row r="1295" spans="1:19">
      <c r="A1295" s="196">
        <v>41848</v>
      </c>
      <c r="B1295" s="122">
        <v>21.66</v>
      </c>
      <c r="C1295" s="122">
        <v>22.01</v>
      </c>
      <c r="D1295" s="122">
        <v>21.629999000000002</v>
      </c>
      <c r="E1295" s="122">
        <v>21.719999000000001</v>
      </c>
      <c r="F1295" s="122">
        <v>17.721415</v>
      </c>
      <c r="G1295" s="197">
        <v>126200</v>
      </c>
      <c r="H1295" s="198">
        <f>IF(AND(E1294&gt;=H1294,E1295&gt;=E1294),E1294*(1+'Trading Model'!$E$13),IF(AND(E1295&lt;E1294,E1294&gt;=H1294),E1295*(1+'Trading Model'!$E$13),H1294))</f>
        <v>27.698998950000004</v>
      </c>
      <c r="I1295" s="198">
        <f>IF(K1295&gt;0,E1295*(1-'Trading Model'!E1305),IF(E1295&lt;I1294,I1294*(1-'Trading Model'!$E$14),I1294))</f>
        <v>8.9840153609188427</v>
      </c>
      <c r="J1295" s="198">
        <f t="shared" si="167"/>
        <v>0</v>
      </c>
      <c r="K1295" s="198">
        <f t="shared" si="162"/>
        <v>0</v>
      </c>
      <c r="L1295" s="198">
        <f>COUNTIF(J1295:K1295,"&lt;&gt;0")*-'Trading Model'!$E$15</f>
        <v>0</v>
      </c>
      <c r="M1295" s="198">
        <f t="shared" si="160"/>
        <v>0</v>
      </c>
      <c r="N1295" s="75">
        <f t="shared" si="163"/>
        <v>45</v>
      </c>
      <c r="O1295" s="202">
        <f t="shared" si="164"/>
        <v>0</v>
      </c>
      <c r="P1295" s="199">
        <f t="shared" si="161"/>
        <v>0</v>
      </c>
      <c r="Q1295" s="203">
        <f t="shared" si="165"/>
        <v>37.000000000001663</v>
      </c>
      <c r="R1295" s="203" t="s">
        <v>55</v>
      </c>
      <c r="S1295" s="201">
        <f t="shared" si="166"/>
        <v>-6.4044827811307048E-3</v>
      </c>
    </row>
    <row r="1296" spans="1:19">
      <c r="A1296" s="196">
        <v>41849</v>
      </c>
      <c r="B1296" s="122">
        <v>21.49</v>
      </c>
      <c r="C1296" s="122">
        <v>22.049999</v>
      </c>
      <c r="D1296" s="122">
        <v>20.889999</v>
      </c>
      <c r="E1296" s="122">
        <v>21.83</v>
      </c>
      <c r="F1296" s="122">
        <v>17.811163000000001</v>
      </c>
      <c r="G1296" s="197">
        <v>453800</v>
      </c>
      <c r="H1296" s="198">
        <f>IF(AND(E1295&gt;=H1295,E1296&gt;=E1295),E1295*(1+'Trading Model'!$E$13),IF(AND(E1296&lt;E1295,E1295&gt;=H1295),E1296*(1+'Trading Model'!$E$13),H1295))</f>
        <v>27.698998950000004</v>
      </c>
      <c r="I1296" s="198">
        <f>IF(K1296&gt;0,E1296*(1-'Trading Model'!E1306),IF(E1296&lt;I1295,I1295*(1-'Trading Model'!$E$14),I1295))</f>
        <v>8.9840153609188427</v>
      </c>
      <c r="J1296" s="198">
        <f t="shared" si="167"/>
        <v>0</v>
      </c>
      <c r="K1296" s="198">
        <f t="shared" si="162"/>
        <v>0</v>
      </c>
      <c r="L1296" s="198">
        <f>COUNTIF(J1296:K1296,"&lt;&gt;0")*-'Trading Model'!$E$15</f>
        <v>0</v>
      </c>
      <c r="M1296" s="198">
        <f t="shared" si="160"/>
        <v>0</v>
      </c>
      <c r="N1296" s="75">
        <f t="shared" si="163"/>
        <v>45</v>
      </c>
      <c r="O1296" s="202">
        <f t="shared" si="164"/>
        <v>0</v>
      </c>
      <c r="P1296" s="199">
        <f t="shared" si="161"/>
        <v>0</v>
      </c>
      <c r="Q1296" s="203">
        <f t="shared" si="165"/>
        <v>37.000000000001663</v>
      </c>
      <c r="R1296" s="203" t="s">
        <v>55</v>
      </c>
      <c r="S1296" s="201">
        <f t="shared" si="166"/>
        <v>5.0645029956031262E-3</v>
      </c>
    </row>
    <row r="1297" spans="1:19">
      <c r="A1297" s="196">
        <v>41850</v>
      </c>
      <c r="B1297" s="122">
        <v>22.969999000000001</v>
      </c>
      <c r="C1297" s="122">
        <v>24.09</v>
      </c>
      <c r="D1297" s="122">
        <v>22.59</v>
      </c>
      <c r="E1297" s="122">
        <v>23.870000999999998</v>
      </c>
      <c r="F1297" s="122">
        <v>19.475605000000002</v>
      </c>
      <c r="G1297" s="197">
        <v>397600</v>
      </c>
      <c r="H1297" s="198">
        <f>IF(AND(E1296&gt;=H1296,E1297&gt;=E1296),E1296*(1+'Trading Model'!$E$13),IF(AND(E1297&lt;E1296,E1296&gt;=H1296),E1297*(1+'Trading Model'!$E$13),H1296))</f>
        <v>27.698998950000004</v>
      </c>
      <c r="I1297" s="198">
        <f>IF(K1297&gt;0,E1297*(1-'Trading Model'!E1307),IF(E1297&lt;I1296,I1296*(1-'Trading Model'!$E$14),I1296))</f>
        <v>8.9840153609188427</v>
      </c>
      <c r="J1297" s="198">
        <f t="shared" si="167"/>
        <v>0</v>
      </c>
      <c r="K1297" s="198">
        <f t="shared" si="162"/>
        <v>0</v>
      </c>
      <c r="L1297" s="198">
        <f>COUNTIF(J1297:K1297,"&lt;&gt;0")*-'Trading Model'!$E$15</f>
        <v>0</v>
      </c>
      <c r="M1297" s="198">
        <f t="shared" si="160"/>
        <v>0</v>
      </c>
      <c r="N1297" s="75">
        <f t="shared" si="163"/>
        <v>45</v>
      </c>
      <c r="O1297" s="202">
        <f t="shared" si="164"/>
        <v>0</v>
      </c>
      <c r="P1297" s="199">
        <f t="shared" si="161"/>
        <v>0</v>
      </c>
      <c r="Q1297" s="203">
        <f t="shared" si="165"/>
        <v>37.000000000001663</v>
      </c>
      <c r="R1297" s="201">
        <f>E1297/B1293-1</f>
        <v>6.6101030196562327E-2</v>
      </c>
      <c r="S1297" s="201">
        <f t="shared" si="166"/>
        <v>9.3449427393495155E-2</v>
      </c>
    </row>
    <row r="1298" spans="1:19">
      <c r="A1298" s="196">
        <v>41851</v>
      </c>
      <c r="B1298" s="122">
        <v>22.77</v>
      </c>
      <c r="C1298" s="122">
        <v>22.85</v>
      </c>
      <c r="D1298" s="122">
        <v>21.549999</v>
      </c>
      <c r="E1298" s="122">
        <v>21.889999</v>
      </c>
      <c r="F1298" s="122">
        <v>17.860119000000001</v>
      </c>
      <c r="G1298" s="197">
        <v>502000</v>
      </c>
      <c r="H1298" s="198">
        <f>IF(AND(E1297&gt;=H1297,E1298&gt;=E1297),E1297*(1+'Trading Model'!$E$13),IF(AND(E1298&lt;E1297,E1297&gt;=H1297),E1298*(1+'Trading Model'!$E$13),H1297))</f>
        <v>27.698998950000004</v>
      </c>
      <c r="I1298" s="198">
        <f>IF(K1298&gt;0,E1298*(1-'Trading Model'!E1308),IF(E1298&lt;I1297,I1297*(1-'Trading Model'!$E$14),I1297))</f>
        <v>8.9840153609188427</v>
      </c>
      <c r="J1298" s="198">
        <f t="shared" si="167"/>
        <v>0</v>
      </c>
      <c r="K1298" s="198">
        <f t="shared" si="162"/>
        <v>0</v>
      </c>
      <c r="L1298" s="198">
        <f>COUNTIF(J1298:K1298,"&lt;&gt;0")*-'Trading Model'!$E$15</f>
        <v>0</v>
      </c>
      <c r="M1298" s="198">
        <f t="shared" si="160"/>
        <v>0</v>
      </c>
      <c r="N1298" s="75">
        <f t="shared" si="163"/>
        <v>45</v>
      </c>
      <c r="O1298" s="202">
        <f t="shared" si="164"/>
        <v>0</v>
      </c>
      <c r="P1298" s="199">
        <f t="shared" si="161"/>
        <v>0</v>
      </c>
      <c r="Q1298" s="203">
        <f t="shared" si="165"/>
        <v>36.900000000001661</v>
      </c>
      <c r="R1298" s="160" t="s">
        <v>55</v>
      </c>
      <c r="S1298" s="201">
        <f t="shared" si="166"/>
        <v>-8.2949389067893176E-2</v>
      </c>
    </row>
    <row r="1299" spans="1:19">
      <c r="A1299" s="196">
        <v>41852</v>
      </c>
      <c r="B1299" s="122">
        <v>21.65</v>
      </c>
      <c r="C1299" s="122">
        <v>22.030000999999999</v>
      </c>
      <c r="D1299" s="122">
        <v>21.059999000000001</v>
      </c>
      <c r="E1299" s="122">
        <v>21.889999</v>
      </c>
      <c r="F1299" s="122">
        <v>17.860119000000001</v>
      </c>
      <c r="G1299" s="197">
        <v>256300</v>
      </c>
      <c r="H1299" s="198">
        <f>IF(AND(E1298&gt;=H1298,E1299&gt;=E1298),E1298*(1+'Trading Model'!$E$13),IF(AND(E1299&lt;E1298,E1298&gt;=H1298),E1299*(1+'Trading Model'!$E$13),H1298))</f>
        <v>27.698998950000004</v>
      </c>
      <c r="I1299" s="198">
        <f>IF(K1299&gt;0,E1299*(1-'Trading Model'!E1309),IF(E1299&lt;I1298,I1298*(1-'Trading Model'!$E$14),I1298))</f>
        <v>8.9840153609188427</v>
      </c>
      <c r="J1299" s="198">
        <f t="shared" si="167"/>
        <v>0</v>
      </c>
      <c r="K1299" s="198">
        <f t="shared" si="162"/>
        <v>0</v>
      </c>
      <c r="L1299" s="198">
        <f>COUNTIF(J1299:K1299,"&lt;&gt;0")*-'Trading Model'!$E$15</f>
        <v>0</v>
      </c>
      <c r="M1299" s="198">
        <f t="shared" si="160"/>
        <v>0</v>
      </c>
      <c r="N1299" s="75">
        <f t="shared" si="163"/>
        <v>45</v>
      </c>
      <c r="O1299" s="202">
        <f t="shared" si="164"/>
        <v>0</v>
      </c>
      <c r="P1299" s="199">
        <f t="shared" si="161"/>
        <v>0</v>
      </c>
      <c r="Q1299" s="203">
        <f t="shared" si="165"/>
        <v>36.900000000001661</v>
      </c>
      <c r="R1299" s="203" t="s">
        <v>55</v>
      </c>
      <c r="S1299" s="201">
        <f t="shared" si="166"/>
        <v>0</v>
      </c>
    </row>
    <row r="1300" spans="1:19">
      <c r="A1300" s="196">
        <v>41855</v>
      </c>
      <c r="B1300" s="122">
        <v>21.85</v>
      </c>
      <c r="C1300" s="122">
        <v>22.26</v>
      </c>
      <c r="D1300" s="122">
        <v>21.41</v>
      </c>
      <c r="E1300" s="122">
        <v>22.040001</v>
      </c>
      <c r="F1300" s="122">
        <v>17.982506000000001</v>
      </c>
      <c r="G1300" s="197">
        <v>206100</v>
      </c>
      <c r="H1300" s="198">
        <f>IF(AND(E1299&gt;=H1299,E1300&gt;=E1299),E1299*(1+'Trading Model'!$E$13),IF(AND(E1300&lt;E1299,E1299&gt;=H1299),E1300*(1+'Trading Model'!$E$13),H1299))</f>
        <v>27.698998950000004</v>
      </c>
      <c r="I1300" s="198">
        <f>IF(K1300&gt;0,E1300*(1-'Trading Model'!E1310),IF(E1300&lt;I1299,I1299*(1-'Trading Model'!$E$14),I1299))</f>
        <v>8.9840153609188427</v>
      </c>
      <c r="J1300" s="198">
        <f t="shared" si="167"/>
        <v>0</v>
      </c>
      <c r="K1300" s="198">
        <f t="shared" si="162"/>
        <v>0</v>
      </c>
      <c r="L1300" s="198">
        <f>COUNTIF(J1300:K1300,"&lt;&gt;0")*-'Trading Model'!$E$15</f>
        <v>0</v>
      </c>
      <c r="M1300" s="198">
        <f t="shared" si="160"/>
        <v>0</v>
      </c>
      <c r="N1300" s="75">
        <f t="shared" si="163"/>
        <v>45</v>
      </c>
      <c r="O1300" s="202">
        <f t="shared" si="164"/>
        <v>0</v>
      </c>
      <c r="P1300" s="199">
        <f t="shared" si="161"/>
        <v>0</v>
      </c>
      <c r="Q1300" s="203">
        <f t="shared" si="165"/>
        <v>36.900000000001661</v>
      </c>
      <c r="R1300" s="203" t="s">
        <v>55</v>
      </c>
      <c r="S1300" s="201">
        <f t="shared" si="166"/>
        <v>6.8525357173383483E-3</v>
      </c>
    </row>
    <row r="1301" spans="1:19">
      <c r="A1301" s="196">
        <v>41856</v>
      </c>
      <c r="B1301" s="122">
        <v>21.84</v>
      </c>
      <c r="C1301" s="122">
        <v>21.84</v>
      </c>
      <c r="D1301" s="122">
        <v>20.700001</v>
      </c>
      <c r="E1301" s="122">
        <v>20.879999000000002</v>
      </c>
      <c r="F1301" s="122">
        <v>17.036055000000001</v>
      </c>
      <c r="G1301" s="197">
        <v>312200</v>
      </c>
      <c r="H1301" s="198">
        <f>IF(AND(E1300&gt;=H1300,E1301&gt;=E1300),E1300*(1+'Trading Model'!$E$13),IF(AND(E1301&lt;E1300,E1300&gt;=H1300),E1301*(1+'Trading Model'!$E$13),H1300))</f>
        <v>27.698998950000004</v>
      </c>
      <c r="I1301" s="198">
        <f>IF(K1301&gt;0,E1301*(1-'Trading Model'!E1311),IF(E1301&lt;I1300,I1300*(1-'Trading Model'!$E$14),I1300))</f>
        <v>8.9840153609188427</v>
      </c>
      <c r="J1301" s="198">
        <f t="shared" si="167"/>
        <v>0</v>
      </c>
      <c r="K1301" s="198">
        <f t="shared" si="162"/>
        <v>0</v>
      </c>
      <c r="L1301" s="198">
        <f>COUNTIF(J1301:K1301,"&lt;&gt;0")*-'Trading Model'!$E$15</f>
        <v>0</v>
      </c>
      <c r="M1301" s="198">
        <f t="shared" si="160"/>
        <v>0</v>
      </c>
      <c r="N1301" s="75">
        <f t="shared" si="163"/>
        <v>45</v>
      </c>
      <c r="O1301" s="202">
        <f t="shared" si="164"/>
        <v>0</v>
      </c>
      <c r="P1301" s="199">
        <f t="shared" si="161"/>
        <v>0</v>
      </c>
      <c r="Q1301" s="203">
        <f t="shared" si="165"/>
        <v>36.80000000000166</v>
      </c>
      <c r="R1301" s="203" t="s">
        <v>55</v>
      </c>
      <c r="S1301" s="201">
        <f t="shared" si="166"/>
        <v>-5.2631667303463359E-2</v>
      </c>
    </row>
    <row r="1302" spans="1:19">
      <c r="A1302" s="196">
        <v>41857</v>
      </c>
      <c r="B1302" s="122">
        <v>20.719999000000001</v>
      </c>
      <c r="C1302" s="122">
        <v>20.780000999999999</v>
      </c>
      <c r="D1302" s="122">
        <v>20.350000000000001</v>
      </c>
      <c r="E1302" s="122">
        <v>20.540001</v>
      </c>
      <c r="F1302" s="122">
        <v>16.758652000000001</v>
      </c>
      <c r="G1302" s="197">
        <v>263300</v>
      </c>
      <c r="H1302" s="198">
        <f>IF(AND(E1301&gt;=H1301,E1302&gt;=E1301),E1301*(1+'Trading Model'!$E$13),IF(AND(E1302&lt;E1301,E1301&gt;=H1301),E1302*(1+'Trading Model'!$E$13),H1301))</f>
        <v>27.698998950000004</v>
      </c>
      <c r="I1302" s="198">
        <f>IF(K1302&gt;0,E1302*(1-'Trading Model'!E1312),IF(E1302&lt;I1301,I1301*(1-'Trading Model'!$E$14),I1301))</f>
        <v>8.9840153609188427</v>
      </c>
      <c r="J1302" s="198">
        <f t="shared" si="167"/>
        <v>0</v>
      </c>
      <c r="K1302" s="198">
        <f t="shared" si="162"/>
        <v>0</v>
      </c>
      <c r="L1302" s="198">
        <f>COUNTIF(J1302:K1302,"&lt;&gt;0")*-'Trading Model'!$E$15</f>
        <v>0</v>
      </c>
      <c r="M1302" s="198">
        <f t="shared" si="160"/>
        <v>0</v>
      </c>
      <c r="N1302" s="75">
        <f t="shared" si="163"/>
        <v>45</v>
      </c>
      <c r="O1302" s="202">
        <f t="shared" si="164"/>
        <v>0</v>
      </c>
      <c r="P1302" s="199">
        <f t="shared" si="161"/>
        <v>0</v>
      </c>
      <c r="Q1302" s="203">
        <f t="shared" si="165"/>
        <v>36.700000000001658</v>
      </c>
      <c r="R1302" s="201">
        <f>E1302/B1298-1</f>
        <v>-9.7935836627141004E-2</v>
      </c>
      <c r="S1302" s="201">
        <f t="shared" si="166"/>
        <v>-1.6283429898631741E-2</v>
      </c>
    </row>
    <row r="1303" spans="1:19">
      <c r="A1303" s="196">
        <v>41858</v>
      </c>
      <c r="B1303" s="122">
        <v>20.540001</v>
      </c>
      <c r="C1303" s="122">
        <v>20.9</v>
      </c>
      <c r="D1303" s="122">
        <v>20.219999000000001</v>
      </c>
      <c r="E1303" s="122">
        <v>20.610001</v>
      </c>
      <c r="F1303" s="122">
        <v>16.815764999999999</v>
      </c>
      <c r="G1303" s="197">
        <v>139000</v>
      </c>
      <c r="H1303" s="198">
        <f>IF(AND(E1302&gt;=H1302,E1303&gt;=E1302),E1302*(1+'Trading Model'!$E$13),IF(AND(E1303&lt;E1302,E1302&gt;=H1302),E1303*(1+'Trading Model'!$E$13),H1302))</f>
        <v>27.698998950000004</v>
      </c>
      <c r="I1303" s="198">
        <f>IF(K1303&gt;0,E1303*(1-'Trading Model'!E1313),IF(E1303&lt;I1302,I1302*(1-'Trading Model'!$E$14),I1302))</f>
        <v>8.9840153609188427</v>
      </c>
      <c r="J1303" s="198">
        <f t="shared" si="167"/>
        <v>0</v>
      </c>
      <c r="K1303" s="198">
        <f t="shared" si="162"/>
        <v>0</v>
      </c>
      <c r="L1303" s="198">
        <f>COUNTIF(J1303:K1303,"&lt;&gt;0")*-'Trading Model'!$E$15</f>
        <v>0</v>
      </c>
      <c r="M1303" s="198">
        <f t="shared" si="160"/>
        <v>0</v>
      </c>
      <c r="N1303" s="75">
        <f t="shared" si="163"/>
        <v>45</v>
      </c>
      <c r="O1303" s="202">
        <f t="shared" si="164"/>
        <v>0</v>
      </c>
      <c r="P1303" s="199">
        <f t="shared" si="161"/>
        <v>0</v>
      </c>
      <c r="Q1303" s="203">
        <f t="shared" si="165"/>
        <v>36.700000000001658</v>
      </c>
      <c r="R1303" s="160" t="s">
        <v>55</v>
      </c>
      <c r="S1303" s="201">
        <f t="shared" si="166"/>
        <v>3.4079842547232175E-3</v>
      </c>
    </row>
    <row r="1304" spans="1:19">
      <c r="A1304" s="196">
        <v>41859</v>
      </c>
      <c r="B1304" s="122">
        <v>20.559999000000001</v>
      </c>
      <c r="C1304" s="122">
        <v>20.809999000000001</v>
      </c>
      <c r="D1304" s="122">
        <v>19.870000999999998</v>
      </c>
      <c r="E1304" s="122">
        <v>20.170000000000002</v>
      </c>
      <c r="F1304" s="122">
        <v>16.456764</v>
      </c>
      <c r="G1304" s="197">
        <v>206900</v>
      </c>
      <c r="H1304" s="198">
        <f>IF(AND(E1303&gt;=H1303,E1304&gt;=E1303),E1303*(1+'Trading Model'!$E$13),IF(AND(E1304&lt;E1303,E1303&gt;=H1303),E1304*(1+'Trading Model'!$E$13),H1303))</f>
        <v>27.698998950000004</v>
      </c>
      <c r="I1304" s="198">
        <f>IF(K1304&gt;0,E1304*(1-'Trading Model'!E1314),IF(E1304&lt;I1303,I1303*(1-'Trading Model'!$E$14),I1303))</f>
        <v>8.9840153609188427</v>
      </c>
      <c r="J1304" s="198">
        <f t="shared" si="167"/>
        <v>0</v>
      </c>
      <c r="K1304" s="198">
        <f t="shared" si="162"/>
        <v>0</v>
      </c>
      <c r="L1304" s="198">
        <f>COUNTIF(J1304:K1304,"&lt;&gt;0")*-'Trading Model'!$E$15</f>
        <v>0</v>
      </c>
      <c r="M1304" s="198">
        <f t="shared" si="160"/>
        <v>0</v>
      </c>
      <c r="N1304" s="75">
        <f t="shared" si="163"/>
        <v>45</v>
      </c>
      <c r="O1304" s="202">
        <f t="shared" si="164"/>
        <v>0</v>
      </c>
      <c r="P1304" s="199">
        <f t="shared" si="161"/>
        <v>0</v>
      </c>
      <c r="Q1304" s="203">
        <f t="shared" si="165"/>
        <v>36.600000000001657</v>
      </c>
      <c r="R1304" s="203" t="s">
        <v>55</v>
      </c>
      <c r="S1304" s="201">
        <f t="shared" si="166"/>
        <v>-2.1348907261091288E-2</v>
      </c>
    </row>
    <row r="1305" spans="1:19">
      <c r="A1305" s="196">
        <v>41862</v>
      </c>
      <c r="B1305" s="122">
        <v>20.27</v>
      </c>
      <c r="C1305" s="122">
        <v>20.469999000000001</v>
      </c>
      <c r="D1305" s="122">
        <v>20.07</v>
      </c>
      <c r="E1305" s="122">
        <v>20.120000999999998</v>
      </c>
      <c r="F1305" s="122">
        <v>16.415967999999999</v>
      </c>
      <c r="G1305" s="197">
        <v>90700</v>
      </c>
      <c r="H1305" s="198">
        <f>IF(AND(E1304&gt;=H1304,E1305&gt;=E1304),E1304*(1+'Trading Model'!$E$13),IF(AND(E1305&lt;E1304,E1304&gt;=H1304),E1305*(1+'Trading Model'!$E$13),H1304))</f>
        <v>27.698998950000004</v>
      </c>
      <c r="I1305" s="198">
        <f>IF(K1305&gt;0,E1305*(1-'Trading Model'!E1315),IF(E1305&lt;I1304,I1304*(1-'Trading Model'!$E$14),I1304))</f>
        <v>8.9840153609188427</v>
      </c>
      <c r="J1305" s="198">
        <f t="shared" si="167"/>
        <v>0</v>
      </c>
      <c r="K1305" s="198">
        <f t="shared" si="162"/>
        <v>0</v>
      </c>
      <c r="L1305" s="198">
        <f>COUNTIF(J1305:K1305,"&lt;&gt;0")*-'Trading Model'!$E$15</f>
        <v>0</v>
      </c>
      <c r="M1305" s="198">
        <f t="shared" si="160"/>
        <v>0</v>
      </c>
      <c r="N1305" s="75">
        <f t="shared" si="163"/>
        <v>45</v>
      </c>
      <c r="O1305" s="202">
        <f t="shared" si="164"/>
        <v>0</v>
      </c>
      <c r="P1305" s="199">
        <f t="shared" si="161"/>
        <v>0</v>
      </c>
      <c r="Q1305" s="203">
        <f t="shared" si="165"/>
        <v>36.500000000001656</v>
      </c>
      <c r="R1305" s="203" t="s">
        <v>55</v>
      </c>
      <c r="S1305" s="201">
        <f t="shared" si="166"/>
        <v>-2.4788795240457961E-3</v>
      </c>
    </row>
    <row r="1306" spans="1:19">
      <c r="A1306" s="196">
        <v>41863</v>
      </c>
      <c r="B1306" s="122">
        <v>20.120000999999998</v>
      </c>
      <c r="C1306" s="122">
        <v>20.68</v>
      </c>
      <c r="D1306" s="122">
        <v>20</v>
      </c>
      <c r="E1306" s="122">
        <v>20.040001</v>
      </c>
      <c r="F1306" s="122">
        <v>16.350698000000001</v>
      </c>
      <c r="G1306" s="197">
        <v>203000</v>
      </c>
      <c r="H1306" s="198">
        <f>IF(AND(E1305&gt;=H1305,E1306&gt;=E1305),E1305*(1+'Trading Model'!$E$13),IF(AND(E1306&lt;E1305,E1305&gt;=H1305),E1306*(1+'Trading Model'!$E$13),H1305))</f>
        <v>27.698998950000004</v>
      </c>
      <c r="I1306" s="198">
        <f>IF(K1306&gt;0,E1306*(1-'Trading Model'!E1316),IF(E1306&lt;I1305,I1305*(1-'Trading Model'!$E$14),I1305))</f>
        <v>8.9840153609188427</v>
      </c>
      <c r="J1306" s="198">
        <f t="shared" si="167"/>
        <v>0</v>
      </c>
      <c r="K1306" s="198">
        <f t="shared" si="162"/>
        <v>0</v>
      </c>
      <c r="L1306" s="198">
        <f>COUNTIF(J1306:K1306,"&lt;&gt;0")*-'Trading Model'!$E$15</f>
        <v>0</v>
      </c>
      <c r="M1306" s="198">
        <f t="shared" si="160"/>
        <v>0</v>
      </c>
      <c r="N1306" s="75">
        <f t="shared" si="163"/>
        <v>45</v>
      </c>
      <c r="O1306" s="202">
        <f t="shared" si="164"/>
        <v>0</v>
      </c>
      <c r="P1306" s="199">
        <f t="shared" si="161"/>
        <v>0</v>
      </c>
      <c r="Q1306" s="203">
        <f t="shared" si="165"/>
        <v>36.400000000001654</v>
      </c>
      <c r="R1306" s="203" t="s">
        <v>55</v>
      </c>
      <c r="S1306" s="201">
        <f t="shared" si="166"/>
        <v>-3.9761429435315465E-3</v>
      </c>
    </row>
    <row r="1307" spans="1:19">
      <c r="A1307" s="196">
        <v>41864</v>
      </c>
      <c r="B1307" s="122">
        <v>20.120000999999998</v>
      </c>
      <c r="C1307" s="122">
        <v>20.120000999999998</v>
      </c>
      <c r="D1307" s="122">
        <v>19.27</v>
      </c>
      <c r="E1307" s="122">
        <v>19.82</v>
      </c>
      <c r="F1307" s="122">
        <v>16.171199999999999</v>
      </c>
      <c r="G1307" s="197">
        <v>271700</v>
      </c>
      <c r="H1307" s="198">
        <f>IF(AND(E1306&gt;=H1306,E1307&gt;=E1306),E1306*(1+'Trading Model'!$E$13),IF(AND(E1307&lt;E1306,E1306&gt;=H1306),E1307*(1+'Trading Model'!$E$13),H1306))</f>
        <v>27.698998950000004</v>
      </c>
      <c r="I1307" s="198">
        <f>IF(K1307&gt;0,E1307*(1-'Trading Model'!E1317),IF(E1307&lt;I1306,I1306*(1-'Trading Model'!$E$14),I1306))</f>
        <v>8.9840153609188427</v>
      </c>
      <c r="J1307" s="198">
        <f t="shared" si="167"/>
        <v>0</v>
      </c>
      <c r="K1307" s="198">
        <f t="shared" si="162"/>
        <v>0</v>
      </c>
      <c r="L1307" s="198">
        <f>COUNTIF(J1307:K1307,"&lt;&gt;0")*-'Trading Model'!$E$15</f>
        <v>0</v>
      </c>
      <c r="M1307" s="198">
        <f t="shared" si="160"/>
        <v>0</v>
      </c>
      <c r="N1307" s="75">
        <f t="shared" si="163"/>
        <v>45</v>
      </c>
      <c r="O1307" s="202">
        <f t="shared" si="164"/>
        <v>0</v>
      </c>
      <c r="P1307" s="199">
        <f t="shared" si="161"/>
        <v>0</v>
      </c>
      <c r="Q1307" s="203">
        <f t="shared" si="165"/>
        <v>36.300000000001653</v>
      </c>
      <c r="R1307" s="201">
        <f>E1307/B1303-1</f>
        <v>-3.5053601019785718E-2</v>
      </c>
      <c r="S1307" s="201">
        <f t="shared" si="166"/>
        <v>-1.0978093264566224E-2</v>
      </c>
    </row>
    <row r="1308" spans="1:19">
      <c r="A1308" s="196">
        <v>41865</v>
      </c>
      <c r="B1308" s="122">
        <v>19.899999999999999</v>
      </c>
      <c r="C1308" s="122">
        <v>19.950001</v>
      </c>
      <c r="D1308" s="122">
        <v>19.489999999999998</v>
      </c>
      <c r="E1308" s="122">
        <v>19.559999000000001</v>
      </c>
      <c r="F1308" s="122">
        <v>15.959064</v>
      </c>
      <c r="G1308" s="197">
        <v>77100</v>
      </c>
      <c r="H1308" s="198">
        <f>IF(AND(E1307&gt;=H1307,E1308&gt;=E1307),E1307*(1+'Trading Model'!$E$13),IF(AND(E1308&lt;E1307,E1307&gt;=H1307),E1308*(1+'Trading Model'!$E$13),H1307))</f>
        <v>27.698998950000004</v>
      </c>
      <c r="I1308" s="198">
        <f>IF(K1308&gt;0,E1308*(1-'Trading Model'!E1318),IF(E1308&lt;I1307,I1307*(1-'Trading Model'!$E$14),I1307))</f>
        <v>8.9840153609188427</v>
      </c>
      <c r="J1308" s="198">
        <f t="shared" si="167"/>
        <v>0</v>
      </c>
      <c r="K1308" s="198">
        <f t="shared" si="162"/>
        <v>0</v>
      </c>
      <c r="L1308" s="198">
        <f>COUNTIF(J1308:K1308,"&lt;&gt;0")*-'Trading Model'!$E$15</f>
        <v>0</v>
      </c>
      <c r="M1308" s="198">
        <f t="shared" si="160"/>
        <v>0</v>
      </c>
      <c r="N1308" s="75">
        <f t="shared" si="163"/>
        <v>45</v>
      </c>
      <c r="O1308" s="202">
        <f t="shared" si="164"/>
        <v>0</v>
      </c>
      <c r="P1308" s="199">
        <f t="shared" si="161"/>
        <v>0</v>
      </c>
      <c r="Q1308" s="203">
        <f t="shared" si="165"/>
        <v>36.200000000001651</v>
      </c>
      <c r="R1308" s="160" t="s">
        <v>55</v>
      </c>
      <c r="S1308" s="201">
        <f t="shared" si="166"/>
        <v>-1.3118113017154376E-2</v>
      </c>
    </row>
    <row r="1309" spans="1:19">
      <c r="A1309" s="196">
        <v>41866</v>
      </c>
      <c r="B1309" s="122">
        <v>19.68</v>
      </c>
      <c r="C1309" s="122">
        <v>19.73</v>
      </c>
      <c r="D1309" s="122">
        <v>18.809999000000001</v>
      </c>
      <c r="E1309" s="122">
        <v>19.57</v>
      </c>
      <c r="F1309" s="122">
        <v>15.967223000000001</v>
      </c>
      <c r="G1309" s="197">
        <v>164600</v>
      </c>
      <c r="H1309" s="198">
        <f>IF(AND(E1308&gt;=H1308,E1309&gt;=E1308),E1308*(1+'Trading Model'!$E$13),IF(AND(E1309&lt;E1308,E1308&gt;=H1308),E1309*(1+'Trading Model'!$E$13),H1308))</f>
        <v>27.698998950000004</v>
      </c>
      <c r="I1309" s="198">
        <f>IF(K1309&gt;0,E1309*(1-'Trading Model'!E1319),IF(E1309&lt;I1308,I1308*(1-'Trading Model'!$E$14),I1308))</f>
        <v>8.9840153609188427</v>
      </c>
      <c r="J1309" s="198">
        <f t="shared" si="167"/>
        <v>0</v>
      </c>
      <c r="K1309" s="198">
        <f t="shared" si="162"/>
        <v>0</v>
      </c>
      <c r="L1309" s="198">
        <f>COUNTIF(J1309:K1309,"&lt;&gt;0")*-'Trading Model'!$E$15</f>
        <v>0</v>
      </c>
      <c r="M1309" s="198">
        <f t="shared" si="160"/>
        <v>0</v>
      </c>
      <c r="N1309" s="75">
        <f t="shared" si="163"/>
        <v>45</v>
      </c>
      <c r="O1309" s="202">
        <f t="shared" si="164"/>
        <v>0</v>
      </c>
      <c r="P1309" s="199">
        <f t="shared" si="161"/>
        <v>0</v>
      </c>
      <c r="Q1309" s="203">
        <f t="shared" si="165"/>
        <v>36.200000000001651</v>
      </c>
      <c r="R1309" s="203" t="s">
        <v>55</v>
      </c>
      <c r="S1309" s="201">
        <f t="shared" si="166"/>
        <v>5.1129859464715821E-4</v>
      </c>
    </row>
    <row r="1310" spans="1:19">
      <c r="A1310" s="196">
        <v>41869</v>
      </c>
      <c r="B1310" s="122">
        <v>19.600000000000001</v>
      </c>
      <c r="C1310" s="122">
        <v>19.620000999999998</v>
      </c>
      <c r="D1310" s="122">
        <v>19</v>
      </c>
      <c r="E1310" s="122">
        <v>19.23</v>
      </c>
      <c r="F1310" s="122">
        <v>15.689814999999999</v>
      </c>
      <c r="G1310" s="197">
        <v>127400</v>
      </c>
      <c r="H1310" s="198">
        <f>IF(AND(E1309&gt;=H1309,E1310&gt;=E1309),E1309*(1+'Trading Model'!$E$13),IF(AND(E1310&lt;E1309,E1309&gt;=H1309),E1310*(1+'Trading Model'!$E$13),H1309))</f>
        <v>27.698998950000004</v>
      </c>
      <c r="I1310" s="198">
        <f>IF(K1310&gt;0,E1310*(1-'Trading Model'!E1320),IF(E1310&lt;I1309,I1309*(1-'Trading Model'!$E$14),I1309))</f>
        <v>8.9840153609188427</v>
      </c>
      <c r="J1310" s="198">
        <f t="shared" si="167"/>
        <v>0</v>
      </c>
      <c r="K1310" s="198">
        <f t="shared" si="162"/>
        <v>0</v>
      </c>
      <c r="L1310" s="198">
        <f>COUNTIF(J1310:K1310,"&lt;&gt;0")*-'Trading Model'!$E$15</f>
        <v>0</v>
      </c>
      <c r="M1310" s="198">
        <f t="shared" si="160"/>
        <v>0</v>
      </c>
      <c r="N1310" s="75">
        <f t="shared" si="163"/>
        <v>45</v>
      </c>
      <c r="O1310" s="202">
        <f t="shared" si="164"/>
        <v>0</v>
      </c>
      <c r="P1310" s="199">
        <f t="shared" si="161"/>
        <v>0</v>
      </c>
      <c r="Q1310" s="203">
        <f t="shared" si="165"/>
        <v>36.10000000000165</v>
      </c>
      <c r="R1310" s="203" t="s">
        <v>55</v>
      </c>
      <c r="S1310" s="201">
        <f t="shared" si="166"/>
        <v>-1.7373530914665314E-2</v>
      </c>
    </row>
    <row r="1311" spans="1:19">
      <c r="A1311" s="196">
        <v>41870</v>
      </c>
      <c r="B1311" s="122">
        <v>19.329999999999998</v>
      </c>
      <c r="C1311" s="122">
        <v>19.5</v>
      </c>
      <c r="D1311" s="122">
        <v>18.75</v>
      </c>
      <c r="E1311" s="122">
        <v>18.870000999999998</v>
      </c>
      <c r="F1311" s="122">
        <v>15.396091</v>
      </c>
      <c r="G1311" s="197">
        <v>146000</v>
      </c>
      <c r="H1311" s="198">
        <f>IF(AND(E1310&gt;=H1310,E1311&gt;=E1310),E1310*(1+'Trading Model'!$E$13),IF(AND(E1311&lt;E1310,E1310&gt;=H1310),E1311*(1+'Trading Model'!$E$13),H1310))</f>
        <v>27.698998950000004</v>
      </c>
      <c r="I1311" s="198">
        <f>IF(K1311&gt;0,E1311*(1-'Trading Model'!E1321),IF(E1311&lt;I1310,I1310*(1-'Trading Model'!$E$14),I1310))</f>
        <v>8.9840153609188427</v>
      </c>
      <c r="J1311" s="198">
        <f t="shared" si="167"/>
        <v>0</v>
      </c>
      <c r="K1311" s="198">
        <f t="shared" si="162"/>
        <v>0</v>
      </c>
      <c r="L1311" s="198">
        <f>COUNTIF(J1311:K1311,"&lt;&gt;0")*-'Trading Model'!$E$15</f>
        <v>0</v>
      </c>
      <c r="M1311" s="198">
        <f t="shared" si="160"/>
        <v>0</v>
      </c>
      <c r="N1311" s="75">
        <f t="shared" si="163"/>
        <v>45</v>
      </c>
      <c r="O1311" s="202">
        <f t="shared" si="164"/>
        <v>0</v>
      </c>
      <c r="P1311" s="199">
        <f t="shared" si="161"/>
        <v>0</v>
      </c>
      <c r="Q1311" s="203">
        <f t="shared" si="165"/>
        <v>36.000000000001648</v>
      </c>
      <c r="R1311" s="203" t="s">
        <v>55</v>
      </c>
      <c r="S1311" s="201">
        <f t="shared" si="166"/>
        <v>-1.8720696827873251E-2</v>
      </c>
    </row>
    <row r="1312" spans="1:19">
      <c r="A1312" s="196">
        <v>41871</v>
      </c>
      <c r="B1312" s="122">
        <v>18.77</v>
      </c>
      <c r="C1312" s="122">
        <v>18.829999999999998</v>
      </c>
      <c r="D1312" s="122">
        <v>18.34</v>
      </c>
      <c r="E1312" s="122">
        <v>18.649999999999999</v>
      </c>
      <c r="F1312" s="122">
        <v>15.216593</v>
      </c>
      <c r="G1312" s="197">
        <v>225900</v>
      </c>
      <c r="H1312" s="198">
        <f>IF(AND(E1311&gt;=H1311,E1312&gt;=E1311),E1311*(1+'Trading Model'!$E$13),IF(AND(E1312&lt;E1311,E1311&gt;=H1311),E1312*(1+'Trading Model'!$E$13),H1311))</f>
        <v>27.698998950000004</v>
      </c>
      <c r="I1312" s="198">
        <f>IF(K1312&gt;0,E1312*(1-'Trading Model'!E1322),IF(E1312&lt;I1311,I1311*(1-'Trading Model'!$E$14),I1311))</f>
        <v>8.9840153609188427</v>
      </c>
      <c r="J1312" s="198">
        <f t="shared" si="167"/>
        <v>0</v>
      </c>
      <c r="K1312" s="198">
        <f t="shared" si="162"/>
        <v>0</v>
      </c>
      <c r="L1312" s="198">
        <f>COUNTIF(J1312:K1312,"&lt;&gt;0")*-'Trading Model'!$E$15</f>
        <v>0</v>
      </c>
      <c r="M1312" s="198">
        <f t="shared" si="160"/>
        <v>0</v>
      </c>
      <c r="N1312" s="75">
        <f t="shared" si="163"/>
        <v>45</v>
      </c>
      <c r="O1312" s="202">
        <f t="shared" si="164"/>
        <v>0</v>
      </c>
      <c r="P1312" s="199">
        <f t="shared" si="161"/>
        <v>0</v>
      </c>
      <c r="Q1312" s="203">
        <f t="shared" si="165"/>
        <v>35.900000000001647</v>
      </c>
      <c r="R1312" s="201">
        <f>E1312/B1308-1</f>
        <v>-6.2814070351758788E-2</v>
      </c>
      <c r="S1312" s="201">
        <f t="shared" si="166"/>
        <v>-1.1658769917394229E-2</v>
      </c>
    </row>
    <row r="1313" spans="1:19">
      <c r="A1313" s="196">
        <v>41872</v>
      </c>
      <c r="B1313" s="122">
        <v>18.629999000000002</v>
      </c>
      <c r="C1313" s="122">
        <v>19.139999</v>
      </c>
      <c r="D1313" s="122">
        <v>18.629999000000002</v>
      </c>
      <c r="E1313" s="122">
        <v>18.940000999999999</v>
      </c>
      <c r="F1313" s="122">
        <v>15.453203999999999</v>
      </c>
      <c r="G1313" s="197">
        <v>106200</v>
      </c>
      <c r="H1313" s="198">
        <f>IF(AND(E1312&gt;=H1312,E1313&gt;=E1312),E1312*(1+'Trading Model'!$E$13),IF(AND(E1313&lt;E1312,E1312&gt;=H1312),E1313*(1+'Trading Model'!$E$13),H1312))</f>
        <v>27.698998950000004</v>
      </c>
      <c r="I1313" s="198">
        <f>IF(K1313&gt;0,E1313*(1-'Trading Model'!E1323),IF(E1313&lt;I1312,I1312*(1-'Trading Model'!$E$14),I1312))</f>
        <v>8.9840153609188427</v>
      </c>
      <c r="J1313" s="198">
        <f t="shared" si="167"/>
        <v>0</v>
      </c>
      <c r="K1313" s="198">
        <f t="shared" si="162"/>
        <v>0</v>
      </c>
      <c r="L1313" s="198">
        <f>COUNTIF(J1313:K1313,"&lt;&gt;0")*-'Trading Model'!$E$15</f>
        <v>0</v>
      </c>
      <c r="M1313" s="198">
        <f t="shared" si="160"/>
        <v>0</v>
      </c>
      <c r="N1313" s="75">
        <f t="shared" si="163"/>
        <v>45</v>
      </c>
      <c r="O1313" s="202">
        <f t="shared" si="164"/>
        <v>0</v>
      </c>
      <c r="P1313" s="199">
        <f t="shared" si="161"/>
        <v>0</v>
      </c>
      <c r="Q1313" s="203">
        <f t="shared" si="165"/>
        <v>35.900000000001647</v>
      </c>
      <c r="R1313" s="160" t="s">
        <v>55</v>
      </c>
      <c r="S1313" s="201">
        <f t="shared" si="166"/>
        <v>1.5549651474530801E-2</v>
      </c>
    </row>
    <row r="1314" spans="1:19">
      <c r="A1314" s="196">
        <v>41873</v>
      </c>
      <c r="B1314" s="122">
        <v>18.860001</v>
      </c>
      <c r="C1314" s="122">
        <v>19.100000000000001</v>
      </c>
      <c r="D1314" s="122">
        <v>18.600000000000001</v>
      </c>
      <c r="E1314" s="122">
        <v>18.940000999999999</v>
      </c>
      <c r="F1314" s="122">
        <v>15.453203999999999</v>
      </c>
      <c r="G1314" s="197">
        <v>81800</v>
      </c>
      <c r="H1314" s="198">
        <f>IF(AND(E1313&gt;=H1313,E1314&gt;=E1313),E1313*(1+'Trading Model'!$E$13),IF(AND(E1314&lt;E1313,E1313&gt;=H1313),E1314*(1+'Trading Model'!$E$13),H1313))</f>
        <v>27.698998950000004</v>
      </c>
      <c r="I1314" s="198">
        <f>IF(K1314&gt;0,E1314*(1-'Trading Model'!E1324),IF(E1314&lt;I1313,I1313*(1-'Trading Model'!$E$14),I1313))</f>
        <v>8.9840153609188427</v>
      </c>
      <c r="J1314" s="198">
        <f t="shared" si="167"/>
        <v>0</v>
      </c>
      <c r="K1314" s="198">
        <f t="shared" si="162"/>
        <v>0</v>
      </c>
      <c r="L1314" s="198">
        <f>COUNTIF(J1314:K1314,"&lt;&gt;0")*-'Trading Model'!$E$15</f>
        <v>0</v>
      </c>
      <c r="M1314" s="198">
        <f t="shared" si="160"/>
        <v>0</v>
      </c>
      <c r="N1314" s="75">
        <f t="shared" si="163"/>
        <v>45</v>
      </c>
      <c r="O1314" s="202">
        <f t="shared" si="164"/>
        <v>0</v>
      </c>
      <c r="P1314" s="199">
        <f t="shared" si="161"/>
        <v>0</v>
      </c>
      <c r="Q1314" s="203">
        <f t="shared" si="165"/>
        <v>35.900000000001647</v>
      </c>
      <c r="R1314" s="203" t="s">
        <v>55</v>
      </c>
      <c r="S1314" s="201">
        <f t="shared" si="166"/>
        <v>0</v>
      </c>
    </row>
    <row r="1315" spans="1:19">
      <c r="A1315" s="196">
        <v>41876</v>
      </c>
      <c r="B1315" s="122">
        <v>18.989999999999998</v>
      </c>
      <c r="C1315" s="122">
        <v>19.350000000000001</v>
      </c>
      <c r="D1315" s="122">
        <v>18.899999999999999</v>
      </c>
      <c r="E1315" s="122">
        <v>18.899999999999999</v>
      </c>
      <c r="F1315" s="122">
        <v>15.420571000000001</v>
      </c>
      <c r="G1315" s="197">
        <v>123500</v>
      </c>
      <c r="H1315" s="198">
        <f>IF(AND(E1314&gt;=H1314,E1315&gt;=E1314),E1314*(1+'Trading Model'!$E$13),IF(AND(E1315&lt;E1314,E1314&gt;=H1314),E1315*(1+'Trading Model'!$E$13),H1314))</f>
        <v>27.698998950000004</v>
      </c>
      <c r="I1315" s="198">
        <f>IF(K1315&gt;0,E1315*(1-'Trading Model'!E1325),IF(E1315&lt;I1314,I1314*(1-'Trading Model'!$E$14),I1314))</f>
        <v>8.9840153609188427</v>
      </c>
      <c r="J1315" s="198">
        <f t="shared" si="167"/>
        <v>0</v>
      </c>
      <c r="K1315" s="198">
        <f t="shared" si="162"/>
        <v>0</v>
      </c>
      <c r="L1315" s="198">
        <f>COUNTIF(J1315:K1315,"&lt;&gt;0")*-'Trading Model'!$E$15</f>
        <v>0</v>
      </c>
      <c r="M1315" s="198">
        <f t="shared" si="160"/>
        <v>0</v>
      </c>
      <c r="N1315" s="75">
        <f t="shared" si="163"/>
        <v>45</v>
      </c>
      <c r="O1315" s="202">
        <f t="shared" si="164"/>
        <v>0</v>
      </c>
      <c r="P1315" s="199">
        <f t="shared" si="161"/>
        <v>0</v>
      </c>
      <c r="Q1315" s="203">
        <f t="shared" si="165"/>
        <v>35.800000000001646</v>
      </c>
      <c r="R1315" s="203" t="s">
        <v>55</v>
      </c>
      <c r="S1315" s="201">
        <f t="shared" si="166"/>
        <v>-2.1119851049637983E-3</v>
      </c>
    </row>
    <row r="1316" spans="1:19">
      <c r="A1316" s="196">
        <v>41877</v>
      </c>
      <c r="B1316" s="122">
        <v>19.049999</v>
      </c>
      <c r="C1316" s="122">
        <v>19.049999</v>
      </c>
      <c r="D1316" s="122">
        <v>18.649999999999999</v>
      </c>
      <c r="E1316" s="122">
        <v>18.700001</v>
      </c>
      <c r="F1316" s="122">
        <v>15.257388000000001</v>
      </c>
      <c r="G1316" s="197">
        <v>82200</v>
      </c>
      <c r="H1316" s="198">
        <f>IF(AND(E1315&gt;=H1315,E1316&gt;=E1315),E1315*(1+'Trading Model'!$E$13),IF(AND(E1316&lt;E1315,E1315&gt;=H1315),E1316*(1+'Trading Model'!$E$13),H1315))</f>
        <v>27.698998950000004</v>
      </c>
      <c r="I1316" s="198">
        <f>IF(K1316&gt;0,E1316*(1-'Trading Model'!E1326),IF(E1316&lt;I1315,I1315*(1-'Trading Model'!$E$14),I1315))</f>
        <v>8.9840153609188427</v>
      </c>
      <c r="J1316" s="198">
        <f t="shared" si="167"/>
        <v>0</v>
      </c>
      <c r="K1316" s="198">
        <f t="shared" si="162"/>
        <v>0</v>
      </c>
      <c r="L1316" s="198">
        <f>COUNTIF(J1316:K1316,"&lt;&gt;0")*-'Trading Model'!$E$15</f>
        <v>0</v>
      </c>
      <c r="M1316" s="198">
        <f t="shared" si="160"/>
        <v>0</v>
      </c>
      <c r="N1316" s="75">
        <f t="shared" si="163"/>
        <v>45</v>
      </c>
      <c r="O1316" s="202">
        <f t="shared" si="164"/>
        <v>0</v>
      </c>
      <c r="P1316" s="199">
        <f t="shared" si="161"/>
        <v>0</v>
      </c>
      <c r="Q1316" s="203">
        <f t="shared" si="165"/>
        <v>35.700000000001644</v>
      </c>
      <c r="R1316" s="203" t="s">
        <v>55</v>
      </c>
      <c r="S1316" s="201">
        <f t="shared" si="166"/>
        <v>-1.0581957671957576E-2</v>
      </c>
    </row>
    <row r="1317" spans="1:19">
      <c r="A1317" s="196">
        <v>41878</v>
      </c>
      <c r="B1317" s="122">
        <v>18.790001</v>
      </c>
      <c r="C1317" s="122">
        <v>18.84</v>
      </c>
      <c r="D1317" s="122">
        <v>18.66</v>
      </c>
      <c r="E1317" s="122">
        <v>18.709999</v>
      </c>
      <c r="F1317" s="122">
        <v>15.265546000000001</v>
      </c>
      <c r="G1317" s="197">
        <v>74600</v>
      </c>
      <c r="H1317" s="198">
        <f>IF(AND(E1316&gt;=H1316,E1317&gt;=E1316),E1316*(1+'Trading Model'!$E$13),IF(AND(E1317&lt;E1316,E1316&gt;=H1316),E1317*(1+'Trading Model'!$E$13),H1316))</f>
        <v>27.698998950000004</v>
      </c>
      <c r="I1317" s="198">
        <f>IF(K1317&gt;0,E1317*(1-'Trading Model'!E1327),IF(E1317&lt;I1316,I1316*(1-'Trading Model'!$E$14),I1316))</f>
        <v>8.9840153609188427</v>
      </c>
      <c r="J1317" s="198">
        <f t="shared" si="167"/>
        <v>0</v>
      </c>
      <c r="K1317" s="198">
        <f t="shared" si="162"/>
        <v>0</v>
      </c>
      <c r="L1317" s="198">
        <f>COUNTIF(J1317:K1317,"&lt;&gt;0")*-'Trading Model'!$E$15</f>
        <v>0</v>
      </c>
      <c r="M1317" s="198">
        <f t="shared" si="160"/>
        <v>0</v>
      </c>
      <c r="N1317" s="75">
        <f t="shared" si="163"/>
        <v>45</v>
      </c>
      <c r="O1317" s="202">
        <f t="shared" si="164"/>
        <v>0</v>
      </c>
      <c r="P1317" s="199">
        <f t="shared" si="161"/>
        <v>0</v>
      </c>
      <c r="Q1317" s="203">
        <f t="shared" si="165"/>
        <v>35.700000000001644</v>
      </c>
      <c r="R1317" s="201">
        <f>E1317/B1313-1</f>
        <v>4.2941494521817614E-3</v>
      </c>
      <c r="S1317" s="201">
        <f t="shared" si="166"/>
        <v>5.3465237782601704E-4</v>
      </c>
    </row>
    <row r="1318" spans="1:19">
      <c r="A1318" s="196">
        <v>41879</v>
      </c>
      <c r="B1318" s="122">
        <v>18.600000000000001</v>
      </c>
      <c r="C1318" s="122">
        <v>18.77</v>
      </c>
      <c r="D1318" s="122">
        <v>18.600000000000001</v>
      </c>
      <c r="E1318" s="122">
        <v>18.670000000000002</v>
      </c>
      <c r="F1318" s="122">
        <v>15.232908</v>
      </c>
      <c r="G1318" s="197">
        <v>71900</v>
      </c>
      <c r="H1318" s="198">
        <f>IF(AND(E1317&gt;=H1317,E1318&gt;=E1317),E1317*(1+'Trading Model'!$E$13),IF(AND(E1318&lt;E1317,E1317&gt;=H1317),E1318*(1+'Trading Model'!$E$13),H1317))</f>
        <v>27.698998950000004</v>
      </c>
      <c r="I1318" s="198">
        <f>IF(K1318&gt;0,E1318*(1-'Trading Model'!E1328),IF(E1318&lt;I1317,I1317*(1-'Trading Model'!$E$14),I1317))</f>
        <v>8.9840153609188427</v>
      </c>
      <c r="J1318" s="198">
        <f t="shared" si="167"/>
        <v>0</v>
      </c>
      <c r="K1318" s="198">
        <f t="shared" si="162"/>
        <v>0</v>
      </c>
      <c r="L1318" s="198">
        <f>COUNTIF(J1318:K1318,"&lt;&gt;0")*-'Trading Model'!$E$15</f>
        <v>0</v>
      </c>
      <c r="M1318" s="198">
        <f t="shared" si="160"/>
        <v>0</v>
      </c>
      <c r="N1318" s="75">
        <f t="shared" si="163"/>
        <v>45</v>
      </c>
      <c r="O1318" s="202">
        <f t="shared" si="164"/>
        <v>0</v>
      </c>
      <c r="P1318" s="199">
        <f t="shared" si="161"/>
        <v>0</v>
      </c>
      <c r="Q1318" s="203">
        <f t="shared" si="165"/>
        <v>35.600000000001643</v>
      </c>
      <c r="R1318" s="160" t="s">
        <v>55</v>
      </c>
      <c r="S1318" s="201">
        <f t="shared" si="166"/>
        <v>-2.1378408411458771E-3</v>
      </c>
    </row>
    <row r="1319" spans="1:19">
      <c r="A1319" s="196">
        <v>41880</v>
      </c>
      <c r="B1319" s="122">
        <v>18.75</v>
      </c>
      <c r="C1319" s="122">
        <v>18.950001</v>
      </c>
      <c r="D1319" s="122">
        <v>18.670000000000002</v>
      </c>
      <c r="E1319" s="122">
        <v>18.829999999999998</v>
      </c>
      <c r="F1319" s="122">
        <v>15.363455999999999</v>
      </c>
      <c r="G1319" s="197">
        <v>186600</v>
      </c>
      <c r="H1319" s="198">
        <f>IF(AND(E1318&gt;=H1318,E1319&gt;=E1318),E1318*(1+'Trading Model'!$E$13),IF(AND(E1319&lt;E1318,E1318&gt;=H1318),E1319*(1+'Trading Model'!$E$13),H1318))</f>
        <v>27.698998950000004</v>
      </c>
      <c r="I1319" s="198">
        <f>IF(K1319&gt;0,E1319*(1-'Trading Model'!E1329),IF(E1319&lt;I1318,I1318*(1-'Trading Model'!$E$14),I1318))</f>
        <v>8.9840153609188427</v>
      </c>
      <c r="J1319" s="198">
        <f t="shared" si="167"/>
        <v>0</v>
      </c>
      <c r="K1319" s="198">
        <f t="shared" si="162"/>
        <v>0</v>
      </c>
      <c r="L1319" s="198">
        <f>COUNTIF(J1319:K1319,"&lt;&gt;0")*-'Trading Model'!$E$15</f>
        <v>0</v>
      </c>
      <c r="M1319" s="198">
        <f t="shared" si="160"/>
        <v>0</v>
      </c>
      <c r="N1319" s="75">
        <f t="shared" si="163"/>
        <v>45</v>
      </c>
      <c r="O1319" s="202">
        <f t="shared" si="164"/>
        <v>0</v>
      </c>
      <c r="P1319" s="199">
        <f t="shared" si="161"/>
        <v>0</v>
      </c>
      <c r="Q1319" s="203">
        <f t="shared" si="165"/>
        <v>35.600000000001643</v>
      </c>
      <c r="R1319" s="203" t="s">
        <v>55</v>
      </c>
      <c r="S1319" s="201">
        <f t="shared" si="166"/>
        <v>8.5698982324582396E-3</v>
      </c>
    </row>
    <row r="1320" spans="1:19">
      <c r="A1320" s="196">
        <v>41884</v>
      </c>
      <c r="B1320" s="122">
        <v>18.82</v>
      </c>
      <c r="C1320" s="122">
        <v>19.389999</v>
      </c>
      <c r="D1320" s="122">
        <v>18.799999</v>
      </c>
      <c r="E1320" s="122">
        <v>19.23</v>
      </c>
      <c r="F1320" s="122">
        <v>15.689814999999999</v>
      </c>
      <c r="G1320" s="197">
        <v>115200</v>
      </c>
      <c r="H1320" s="198">
        <f>IF(AND(E1319&gt;=H1319,E1320&gt;=E1319),E1319*(1+'Trading Model'!$E$13),IF(AND(E1320&lt;E1319,E1319&gt;=H1319),E1320*(1+'Trading Model'!$E$13),H1319))</f>
        <v>27.698998950000004</v>
      </c>
      <c r="I1320" s="198">
        <f>IF(K1320&gt;0,E1320*(1-'Trading Model'!E1330),IF(E1320&lt;I1319,I1319*(1-'Trading Model'!$E$14),I1319))</f>
        <v>8.9840153609188427</v>
      </c>
      <c r="J1320" s="198">
        <f t="shared" si="167"/>
        <v>0</v>
      </c>
      <c r="K1320" s="198">
        <f t="shared" si="162"/>
        <v>0</v>
      </c>
      <c r="L1320" s="198">
        <f>COUNTIF(J1320:K1320,"&lt;&gt;0")*-'Trading Model'!$E$15</f>
        <v>0</v>
      </c>
      <c r="M1320" s="198">
        <f t="shared" si="160"/>
        <v>0</v>
      </c>
      <c r="N1320" s="75">
        <f t="shared" si="163"/>
        <v>45</v>
      </c>
      <c r="O1320" s="202">
        <f t="shared" si="164"/>
        <v>0</v>
      </c>
      <c r="P1320" s="199">
        <f t="shared" si="161"/>
        <v>0</v>
      </c>
      <c r="Q1320" s="203">
        <f t="shared" si="165"/>
        <v>35.600000000001643</v>
      </c>
      <c r="R1320" s="203" t="s">
        <v>55</v>
      </c>
      <c r="S1320" s="201">
        <f t="shared" si="166"/>
        <v>2.1242697822623668E-2</v>
      </c>
    </row>
    <row r="1321" spans="1:19">
      <c r="A1321" s="196">
        <v>41885</v>
      </c>
      <c r="B1321" s="122">
        <v>19.25</v>
      </c>
      <c r="C1321" s="122">
        <v>19.959999</v>
      </c>
      <c r="D1321" s="122">
        <v>19.079999999999998</v>
      </c>
      <c r="E1321" s="122">
        <v>19.91</v>
      </c>
      <c r="F1321" s="122">
        <v>16.244630999999998</v>
      </c>
      <c r="G1321" s="197">
        <v>176300</v>
      </c>
      <c r="H1321" s="198">
        <f>IF(AND(E1320&gt;=H1320,E1321&gt;=E1320),E1320*(1+'Trading Model'!$E$13),IF(AND(E1321&lt;E1320,E1320&gt;=H1320),E1321*(1+'Trading Model'!$E$13),H1320))</f>
        <v>27.698998950000004</v>
      </c>
      <c r="I1321" s="198">
        <f>IF(K1321&gt;0,E1321*(1-'Trading Model'!E1331),IF(E1321&lt;I1320,I1320*(1-'Trading Model'!$E$14),I1320))</f>
        <v>8.9840153609188427</v>
      </c>
      <c r="J1321" s="198">
        <f t="shared" si="167"/>
        <v>0</v>
      </c>
      <c r="K1321" s="198">
        <f t="shared" si="162"/>
        <v>0</v>
      </c>
      <c r="L1321" s="198">
        <f>COUNTIF(J1321:K1321,"&lt;&gt;0")*-'Trading Model'!$E$15</f>
        <v>0</v>
      </c>
      <c r="M1321" s="198">
        <f t="shared" si="160"/>
        <v>0</v>
      </c>
      <c r="N1321" s="75">
        <f t="shared" si="163"/>
        <v>45</v>
      </c>
      <c r="O1321" s="202">
        <f t="shared" si="164"/>
        <v>0</v>
      </c>
      <c r="P1321" s="199">
        <f t="shared" si="161"/>
        <v>0</v>
      </c>
      <c r="Q1321" s="203">
        <f t="shared" si="165"/>
        <v>35.600000000001643</v>
      </c>
      <c r="R1321" s="203" t="s">
        <v>55</v>
      </c>
      <c r="S1321" s="201">
        <f t="shared" si="166"/>
        <v>3.5361414456578144E-2</v>
      </c>
    </row>
    <row r="1322" spans="1:19">
      <c r="A1322" s="196">
        <v>41886</v>
      </c>
      <c r="B1322" s="122">
        <v>20</v>
      </c>
      <c r="C1322" s="122">
        <v>20</v>
      </c>
      <c r="D1322" s="122">
        <v>19.379999000000002</v>
      </c>
      <c r="E1322" s="122">
        <v>19.459999</v>
      </c>
      <c r="F1322" s="122">
        <v>15.877471999999999</v>
      </c>
      <c r="G1322" s="197">
        <v>101600</v>
      </c>
      <c r="H1322" s="198">
        <f>IF(AND(E1321&gt;=H1321,E1322&gt;=E1321),E1321*(1+'Trading Model'!$E$13),IF(AND(E1322&lt;E1321,E1321&gt;=H1321),E1322*(1+'Trading Model'!$E$13),H1321))</f>
        <v>27.698998950000004</v>
      </c>
      <c r="I1322" s="198">
        <f>IF(K1322&gt;0,E1322*(1-'Trading Model'!E1332),IF(E1322&lt;I1321,I1321*(1-'Trading Model'!$E$14),I1321))</f>
        <v>8.9840153609188427</v>
      </c>
      <c r="J1322" s="198">
        <f t="shared" si="167"/>
        <v>0</v>
      </c>
      <c r="K1322" s="198">
        <f t="shared" si="162"/>
        <v>0</v>
      </c>
      <c r="L1322" s="198">
        <f>COUNTIF(J1322:K1322,"&lt;&gt;0")*-'Trading Model'!$E$15</f>
        <v>0</v>
      </c>
      <c r="M1322" s="198">
        <f t="shared" si="160"/>
        <v>0</v>
      </c>
      <c r="N1322" s="75">
        <f t="shared" si="163"/>
        <v>45</v>
      </c>
      <c r="O1322" s="202">
        <f t="shared" si="164"/>
        <v>0</v>
      </c>
      <c r="P1322" s="199">
        <f t="shared" si="161"/>
        <v>0</v>
      </c>
      <c r="Q1322" s="203">
        <f t="shared" si="165"/>
        <v>35.500000000001641</v>
      </c>
      <c r="R1322" s="201">
        <f>E1322/B1318-1</f>
        <v>4.623650537634405E-2</v>
      </c>
      <c r="S1322" s="201">
        <f t="shared" si="166"/>
        <v>-2.2601757910597708E-2</v>
      </c>
    </row>
    <row r="1323" spans="1:19">
      <c r="A1323" s="196">
        <v>41887</v>
      </c>
      <c r="B1323" s="122">
        <v>19.420000000000002</v>
      </c>
      <c r="C1323" s="122">
        <v>19.690000999999999</v>
      </c>
      <c r="D1323" s="122">
        <v>19.120000999999998</v>
      </c>
      <c r="E1323" s="122">
        <v>19.5</v>
      </c>
      <c r="F1323" s="122">
        <v>15.910111000000001</v>
      </c>
      <c r="G1323" s="197">
        <v>55400</v>
      </c>
      <c r="H1323" s="198">
        <f>IF(AND(E1322&gt;=H1322,E1323&gt;=E1322),E1322*(1+'Trading Model'!$E$13),IF(AND(E1323&lt;E1322,E1322&gt;=H1322),E1323*(1+'Trading Model'!$E$13),H1322))</f>
        <v>27.698998950000004</v>
      </c>
      <c r="I1323" s="198">
        <f>IF(K1323&gt;0,E1323*(1-'Trading Model'!E1333),IF(E1323&lt;I1322,I1322*(1-'Trading Model'!$E$14),I1322))</f>
        <v>8.9840153609188427</v>
      </c>
      <c r="J1323" s="198">
        <f t="shared" si="167"/>
        <v>0</v>
      </c>
      <c r="K1323" s="198">
        <f t="shared" si="162"/>
        <v>0</v>
      </c>
      <c r="L1323" s="198">
        <f>COUNTIF(J1323:K1323,"&lt;&gt;0")*-'Trading Model'!$E$15</f>
        <v>0</v>
      </c>
      <c r="M1323" s="198">
        <f t="shared" si="160"/>
        <v>0</v>
      </c>
      <c r="N1323" s="75">
        <f t="shared" si="163"/>
        <v>45</v>
      </c>
      <c r="O1323" s="202">
        <f t="shared" si="164"/>
        <v>0</v>
      </c>
      <c r="P1323" s="199">
        <f t="shared" si="161"/>
        <v>0</v>
      </c>
      <c r="Q1323" s="203">
        <f t="shared" si="165"/>
        <v>35.500000000001641</v>
      </c>
      <c r="R1323" s="160" t="s">
        <v>55</v>
      </c>
      <c r="S1323" s="201">
        <f t="shared" si="166"/>
        <v>2.0555499514671727E-3</v>
      </c>
    </row>
    <row r="1324" spans="1:19">
      <c r="A1324" s="196">
        <v>41890</v>
      </c>
      <c r="B1324" s="122">
        <v>19.420000000000002</v>
      </c>
      <c r="C1324" s="122">
        <v>19.809999000000001</v>
      </c>
      <c r="D1324" s="122">
        <v>19.420000000000002</v>
      </c>
      <c r="E1324" s="122">
        <v>19.780000999999999</v>
      </c>
      <c r="F1324" s="122">
        <v>16.138560999999999</v>
      </c>
      <c r="G1324" s="197">
        <v>67600</v>
      </c>
      <c r="H1324" s="198">
        <f>IF(AND(E1323&gt;=H1323,E1324&gt;=E1323),E1323*(1+'Trading Model'!$E$13),IF(AND(E1324&lt;E1323,E1323&gt;=H1323),E1324*(1+'Trading Model'!$E$13),H1323))</f>
        <v>27.698998950000004</v>
      </c>
      <c r="I1324" s="198">
        <f>IF(K1324&gt;0,E1324*(1-'Trading Model'!E1334),IF(E1324&lt;I1323,I1323*(1-'Trading Model'!$E$14),I1323))</f>
        <v>8.9840153609188427</v>
      </c>
      <c r="J1324" s="198">
        <f t="shared" si="167"/>
        <v>0</v>
      </c>
      <c r="K1324" s="198">
        <f t="shared" si="162"/>
        <v>0</v>
      </c>
      <c r="L1324" s="198">
        <f>COUNTIF(J1324:K1324,"&lt;&gt;0")*-'Trading Model'!$E$15</f>
        <v>0</v>
      </c>
      <c r="M1324" s="198">
        <f t="shared" si="160"/>
        <v>0</v>
      </c>
      <c r="N1324" s="75">
        <f t="shared" si="163"/>
        <v>45</v>
      </c>
      <c r="O1324" s="202">
        <f t="shared" si="164"/>
        <v>0</v>
      </c>
      <c r="P1324" s="199">
        <f t="shared" si="161"/>
        <v>0</v>
      </c>
      <c r="Q1324" s="203">
        <f t="shared" si="165"/>
        <v>35.500000000001641</v>
      </c>
      <c r="R1324" s="203" t="s">
        <v>55</v>
      </c>
      <c r="S1324" s="201">
        <f t="shared" si="166"/>
        <v>1.4359025641025536E-2</v>
      </c>
    </row>
    <row r="1325" spans="1:19">
      <c r="A1325" s="196">
        <v>41891</v>
      </c>
      <c r="B1325" s="122">
        <v>19.600000000000001</v>
      </c>
      <c r="C1325" s="122">
        <v>19.84</v>
      </c>
      <c r="D1325" s="122">
        <v>19.48</v>
      </c>
      <c r="E1325" s="122">
        <v>19.780000999999999</v>
      </c>
      <c r="F1325" s="122">
        <v>16.138560999999999</v>
      </c>
      <c r="G1325" s="197">
        <v>58600</v>
      </c>
      <c r="H1325" s="198">
        <f>IF(AND(E1324&gt;=H1324,E1325&gt;=E1324),E1324*(1+'Trading Model'!$E$13),IF(AND(E1325&lt;E1324,E1324&gt;=H1324),E1325*(1+'Trading Model'!$E$13),H1324))</f>
        <v>27.698998950000004</v>
      </c>
      <c r="I1325" s="198">
        <f>IF(K1325&gt;0,E1325*(1-'Trading Model'!E1335),IF(E1325&lt;I1324,I1324*(1-'Trading Model'!$E$14),I1324))</f>
        <v>8.9840153609188427</v>
      </c>
      <c r="J1325" s="198">
        <f t="shared" si="167"/>
        <v>0</v>
      </c>
      <c r="K1325" s="198">
        <f t="shared" si="162"/>
        <v>0</v>
      </c>
      <c r="L1325" s="198">
        <f>COUNTIF(J1325:K1325,"&lt;&gt;0")*-'Trading Model'!$E$15</f>
        <v>0</v>
      </c>
      <c r="M1325" s="198">
        <f t="shared" si="160"/>
        <v>0</v>
      </c>
      <c r="N1325" s="75">
        <f t="shared" si="163"/>
        <v>45</v>
      </c>
      <c r="O1325" s="202">
        <f t="shared" si="164"/>
        <v>0</v>
      </c>
      <c r="P1325" s="199">
        <f t="shared" si="161"/>
        <v>0</v>
      </c>
      <c r="Q1325" s="203">
        <f t="shared" si="165"/>
        <v>35.500000000001641</v>
      </c>
      <c r="R1325" s="203" t="s">
        <v>55</v>
      </c>
      <c r="S1325" s="201">
        <f t="shared" si="166"/>
        <v>0</v>
      </c>
    </row>
    <row r="1326" spans="1:19">
      <c r="A1326" s="196">
        <v>41892</v>
      </c>
      <c r="B1326" s="122">
        <v>19.77</v>
      </c>
      <c r="C1326" s="122">
        <v>20.09</v>
      </c>
      <c r="D1326" s="122">
        <v>19.719999000000001</v>
      </c>
      <c r="E1326" s="122">
        <v>20.07</v>
      </c>
      <c r="F1326" s="122">
        <v>16.375174000000001</v>
      </c>
      <c r="G1326" s="197">
        <v>55500</v>
      </c>
      <c r="H1326" s="198">
        <f>IF(AND(E1325&gt;=H1325,E1326&gt;=E1325),E1325*(1+'Trading Model'!$E$13),IF(AND(E1326&lt;E1325,E1325&gt;=H1325),E1326*(1+'Trading Model'!$E$13),H1325))</f>
        <v>27.698998950000004</v>
      </c>
      <c r="I1326" s="198">
        <f>IF(K1326&gt;0,E1326*(1-'Trading Model'!E1336),IF(E1326&lt;I1325,I1325*(1-'Trading Model'!$E$14),I1325))</f>
        <v>8.9840153609188427</v>
      </c>
      <c r="J1326" s="198">
        <f t="shared" si="167"/>
        <v>0</v>
      </c>
      <c r="K1326" s="198">
        <f t="shared" si="162"/>
        <v>0</v>
      </c>
      <c r="L1326" s="198">
        <f>COUNTIF(J1326:K1326,"&lt;&gt;0")*-'Trading Model'!$E$15</f>
        <v>0</v>
      </c>
      <c r="M1326" s="198">
        <f t="shared" si="160"/>
        <v>0</v>
      </c>
      <c r="N1326" s="75">
        <f t="shared" si="163"/>
        <v>45</v>
      </c>
      <c r="O1326" s="202">
        <f t="shared" si="164"/>
        <v>0</v>
      </c>
      <c r="P1326" s="199">
        <f t="shared" si="161"/>
        <v>0</v>
      </c>
      <c r="Q1326" s="203">
        <f t="shared" si="165"/>
        <v>35.500000000001641</v>
      </c>
      <c r="R1326" s="203" t="s">
        <v>55</v>
      </c>
      <c r="S1326" s="201">
        <f t="shared" si="166"/>
        <v>1.4661222716823907E-2</v>
      </c>
    </row>
    <row r="1327" spans="1:19">
      <c r="A1327" s="196">
        <v>41893</v>
      </c>
      <c r="B1327" s="122">
        <v>20.049999</v>
      </c>
      <c r="C1327" s="122">
        <v>20.950001</v>
      </c>
      <c r="D1327" s="122">
        <v>20</v>
      </c>
      <c r="E1327" s="122">
        <v>20.92</v>
      </c>
      <c r="F1327" s="122">
        <v>17.068693</v>
      </c>
      <c r="G1327" s="197">
        <v>122000</v>
      </c>
      <c r="H1327" s="198">
        <f>IF(AND(E1326&gt;=H1326,E1327&gt;=E1326),E1326*(1+'Trading Model'!$E$13),IF(AND(E1327&lt;E1326,E1326&gt;=H1326),E1327*(1+'Trading Model'!$E$13),H1326))</f>
        <v>27.698998950000004</v>
      </c>
      <c r="I1327" s="198">
        <f>IF(K1327&gt;0,E1327*(1-'Trading Model'!E1337),IF(E1327&lt;I1326,I1326*(1-'Trading Model'!$E$14),I1326))</f>
        <v>8.9840153609188427</v>
      </c>
      <c r="J1327" s="198">
        <f t="shared" si="167"/>
        <v>0</v>
      </c>
      <c r="K1327" s="198">
        <f t="shared" si="162"/>
        <v>0</v>
      </c>
      <c r="L1327" s="198">
        <f>COUNTIF(J1327:K1327,"&lt;&gt;0")*-'Trading Model'!$E$15</f>
        <v>0</v>
      </c>
      <c r="M1327" s="198">
        <f t="shared" si="160"/>
        <v>0</v>
      </c>
      <c r="N1327" s="75">
        <f t="shared" si="163"/>
        <v>45</v>
      </c>
      <c r="O1327" s="202">
        <f t="shared" si="164"/>
        <v>0</v>
      </c>
      <c r="P1327" s="199">
        <f t="shared" si="161"/>
        <v>0</v>
      </c>
      <c r="Q1327" s="203">
        <f t="shared" si="165"/>
        <v>35.500000000001641</v>
      </c>
      <c r="R1327" s="201">
        <f>E1327/B1323-1</f>
        <v>7.7239958805355391E-2</v>
      </c>
      <c r="S1327" s="201">
        <f t="shared" si="166"/>
        <v>4.2351768809167911E-2</v>
      </c>
    </row>
    <row r="1328" spans="1:19">
      <c r="A1328" s="196">
        <v>41894</v>
      </c>
      <c r="B1328" s="122">
        <v>20.75</v>
      </c>
      <c r="C1328" s="122">
        <v>21.09</v>
      </c>
      <c r="D1328" s="122">
        <v>20.700001</v>
      </c>
      <c r="E1328" s="122">
        <v>21.02</v>
      </c>
      <c r="F1328" s="122">
        <v>17.150282000000001</v>
      </c>
      <c r="G1328" s="197">
        <v>99200</v>
      </c>
      <c r="H1328" s="198">
        <f>IF(AND(E1327&gt;=H1327,E1328&gt;=E1327),E1327*(1+'Trading Model'!$E$13),IF(AND(E1328&lt;E1327,E1327&gt;=H1327),E1328*(1+'Trading Model'!$E$13),H1327))</f>
        <v>27.698998950000004</v>
      </c>
      <c r="I1328" s="198">
        <f>IF(K1328&gt;0,E1328*(1-'Trading Model'!E1338),IF(E1328&lt;I1327,I1327*(1-'Trading Model'!$E$14),I1327))</f>
        <v>8.9840153609188427</v>
      </c>
      <c r="J1328" s="198">
        <f t="shared" si="167"/>
        <v>0</v>
      </c>
      <c r="K1328" s="198">
        <f t="shared" si="162"/>
        <v>0</v>
      </c>
      <c r="L1328" s="198">
        <f>COUNTIF(J1328:K1328,"&lt;&gt;0")*-'Trading Model'!$E$15</f>
        <v>0</v>
      </c>
      <c r="M1328" s="198">
        <f t="shared" si="160"/>
        <v>0</v>
      </c>
      <c r="N1328" s="75">
        <f t="shared" si="163"/>
        <v>45</v>
      </c>
      <c r="O1328" s="202">
        <f t="shared" si="164"/>
        <v>0</v>
      </c>
      <c r="P1328" s="199">
        <f t="shared" si="161"/>
        <v>0</v>
      </c>
      <c r="Q1328" s="203">
        <f t="shared" si="165"/>
        <v>35.500000000001641</v>
      </c>
      <c r="R1328" s="160" t="s">
        <v>55</v>
      </c>
      <c r="S1328" s="201">
        <f t="shared" si="166"/>
        <v>4.7801147227533036E-3</v>
      </c>
    </row>
    <row r="1329" spans="1:19">
      <c r="A1329" s="196">
        <v>41897</v>
      </c>
      <c r="B1329" s="122">
        <v>21.01</v>
      </c>
      <c r="C1329" s="122">
        <v>21.01</v>
      </c>
      <c r="D1329" s="122">
        <v>20.299999</v>
      </c>
      <c r="E1329" s="122">
        <v>20.459999</v>
      </c>
      <c r="F1329" s="122">
        <v>16.693377000000002</v>
      </c>
      <c r="G1329" s="197">
        <v>66100</v>
      </c>
      <c r="H1329" s="198">
        <f>IF(AND(E1328&gt;=H1328,E1329&gt;=E1328),E1328*(1+'Trading Model'!$E$13),IF(AND(E1329&lt;E1328,E1328&gt;=H1328),E1329*(1+'Trading Model'!$E$13),H1328))</f>
        <v>27.698998950000004</v>
      </c>
      <c r="I1329" s="198">
        <f>IF(K1329&gt;0,E1329*(1-'Trading Model'!E1339),IF(E1329&lt;I1328,I1328*(1-'Trading Model'!$E$14),I1328))</f>
        <v>8.9840153609188427</v>
      </c>
      <c r="J1329" s="198">
        <f t="shared" si="167"/>
        <v>0</v>
      </c>
      <c r="K1329" s="198">
        <f t="shared" si="162"/>
        <v>0</v>
      </c>
      <c r="L1329" s="198">
        <f>COUNTIF(J1329:K1329,"&lt;&gt;0")*-'Trading Model'!$E$15</f>
        <v>0</v>
      </c>
      <c r="M1329" s="198">
        <f t="shared" si="160"/>
        <v>0</v>
      </c>
      <c r="N1329" s="75">
        <f t="shared" si="163"/>
        <v>45</v>
      </c>
      <c r="O1329" s="202">
        <f t="shared" si="164"/>
        <v>0</v>
      </c>
      <c r="P1329" s="199">
        <f t="shared" si="161"/>
        <v>0</v>
      </c>
      <c r="Q1329" s="203">
        <f t="shared" si="165"/>
        <v>35.40000000000164</v>
      </c>
      <c r="R1329" s="203" t="s">
        <v>55</v>
      </c>
      <c r="S1329" s="201">
        <f t="shared" si="166"/>
        <v>-2.6641341579448086E-2</v>
      </c>
    </row>
    <row r="1330" spans="1:19">
      <c r="A1330" s="196">
        <v>41898</v>
      </c>
      <c r="B1330" s="122">
        <v>20.459999</v>
      </c>
      <c r="C1330" s="122">
        <v>21.030000999999999</v>
      </c>
      <c r="D1330" s="122">
        <v>20.25</v>
      </c>
      <c r="E1330" s="122">
        <v>20.889999</v>
      </c>
      <c r="F1330" s="122">
        <v>17.044215999999999</v>
      </c>
      <c r="G1330" s="197">
        <v>170700</v>
      </c>
      <c r="H1330" s="198">
        <f>IF(AND(E1329&gt;=H1329,E1330&gt;=E1329),E1329*(1+'Trading Model'!$E$13),IF(AND(E1330&lt;E1329,E1329&gt;=H1329),E1330*(1+'Trading Model'!$E$13),H1329))</f>
        <v>27.698998950000004</v>
      </c>
      <c r="I1330" s="198">
        <f>IF(K1330&gt;0,E1330*(1-'Trading Model'!E1340),IF(E1330&lt;I1329,I1329*(1-'Trading Model'!$E$14),I1329))</f>
        <v>8.9840153609188427</v>
      </c>
      <c r="J1330" s="198">
        <f t="shared" si="167"/>
        <v>0</v>
      </c>
      <c r="K1330" s="198">
        <f t="shared" si="162"/>
        <v>0</v>
      </c>
      <c r="L1330" s="198">
        <f>COUNTIF(J1330:K1330,"&lt;&gt;0")*-'Trading Model'!$E$15</f>
        <v>0</v>
      </c>
      <c r="M1330" s="198">
        <f t="shared" si="160"/>
        <v>0</v>
      </c>
      <c r="N1330" s="75">
        <f t="shared" si="163"/>
        <v>45</v>
      </c>
      <c r="O1330" s="202">
        <f t="shared" si="164"/>
        <v>0</v>
      </c>
      <c r="P1330" s="199">
        <f t="shared" si="161"/>
        <v>0</v>
      </c>
      <c r="Q1330" s="203">
        <f t="shared" si="165"/>
        <v>35.40000000000164</v>
      </c>
      <c r="R1330" s="203" t="s">
        <v>55</v>
      </c>
      <c r="S1330" s="201">
        <f t="shared" si="166"/>
        <v>2.101661881801653E-2</v>
      </c>
    </row>
    <row r="1331" spans="1:19">
      <c r="A1331" s="196">
        <v>41899</v>
      </c>
      <c r="B1331" s="122">
        <v>20.629999000000002</v>
      </c>
      <c r="C1331" s="122">
        <v>20.73</v>
      </c>
      <c r="D1331" s="122">
        <v>20.23</v>
      </c>
      <c r="E1331" s="122">
        <v>20.43</v>
      </c>
      <c r="F1331" s="122">
        <v>16.968631999999999</v>
      </c>
      <c r="G1331" s="197">
        <v>98400</v>
      </c>
      <c r="H1331" s="198">
        <f>IF(AND(E1330&gt;=H1330,E1331&gt;=E1330),E1330*(1+'Trading Model'!$E$13),IF(AND(E1331&lt;E1330,E1330&gt;=H1330),E1331*(1+'Trading Model'!$E$13),H1330))</f>
        <v>27.698998950000004</v>
      </c>
      <c r="I1331" s="198">
        <f>IF(K1331&gt;0,E1331*(1-'Trading Model'!E1341),IF(E1331&lt;I1330,I1330*(1-'Trading Model'!$E$14),I1330))</f>
        <v>8.9840153609188427</v>
      </c>
      <c r="J1331" s="198">
        <f t="shared" si="167"/>
        <v>0</v>
      </c>
      <c r="K1331" s="198">
        <f t="shared" si="162"/>
        <v>0</v>
      </c>
      <c r="L1331" s="198">
        <f>COUNTIF(J1331:K1331,"&lt;&gt;0")*-'Trading Model'!$E$15</f>
        <v>0</v>
      </c>
      <c r="M1331" s="198">
        <f t="shared" si="160"/>
        <v>0</v>
      </c>
      <c r="N1331" s="75">
        <f t="shared" si="163"/>
        <v>45</v>
      </c>
      <c r="O1331" s="202">
        <f t="shared" si="164"/>
        <v>0.36899999999999999</v>
      </c>
      <c r="P1331" s="199">
        <f t="shared" si="161"/>
        <v>0.36899999999999999</v>
      </c>
      <c r="Q1331" s="203">
        <f t="shared" si="165"/>
        <v>35.300000000001639</v>
      </c>
      <c r="R1331" s="203" t="s">
        <v>55</v>
      </c>
      <c r="S1331" s="201">
        <f t="shared" si="166"/>
        <v>-2.2020058497848605E-2</v>
      </c>
    </row>
    <row r="1332" spans="1:19">
      <c r="A1332" s="196">
        <v>41900</v>
      </c>
      <c r="B1332" s="122">
        <v>20.420000000000002</v>
      </c>
      <c r="C1332" s="122">
        <v>20.700001</v>
      </c>
      <c r="D1332" s="122">
        <v>20.170000000000002</v>
      </c>
      <c r="E1332" s="122">
        <v>20.540001</v>
      </c>
      <c r="F1332" s="122">
        <v>17.059996000000002</v>
      </c>
      <c r="G1332" s="197">
        <v>77800</v>
      </c>
      <c r="H1332" s="198">
        <f>IF(AND(E1331&gt;=H1331,E1332&gt;=E1331),E1331*(1+'Trading Model'!$E$13),IF(AND(E1332&lt;E1331,E1331&gt;=H1331),E1332*(1+'Trading Model'!$E$13),H1331))</f>
        <v>27.698998950000004</v>
      </c>
      <c r="I1332" s="198">
        <f>IF(K1332&gt;0,E1332*(1-'Trading Model'!E1342),IF(E1332&lt;I1331,I1331*(1-'Trading Model'!$E$14),I1331))</f>
        <v>8.9840153609188427</v>
      </c>
      <c r="J1332" s="198">
        <f t="shared" si="167"/>
        <v>0</v>
      </c>
      <c r="K1332" s="198">
        <f t="shared" si="162"/>
        <v>0</v>
      </c>
      <c r="L1332" s="198">
        <f>COUNTIF(J1332:K1332,"&lt;&gt;0")*-'Trading Model'!$E$15</f>
        <v>0</v>
      </c>
      <c r="M1332" s="198">
        <f t="shared" si="160"/>
        <v>0</v>
      </c>
      <c r="N1332" s="75">
        <f t="shared" si="163"/>
        <v>45</v>
      </c>
      <c r="O1332" s="202">
        <f t="shared" si="164"/>
        <v>0</v>
      </c>
      <c r="P1332" s="199">
        <f t="shared" si="161"/>
        <v>0</v>
      </c>
      <c r="Q1332" s="203">
        <f t="shared" si="165"/>
        <v>35.300000000001639</v>
      </c>
      <c r="R1332" s="201">
        <f>E1332/B1328-1</f>
        <v>-1.012043373493976E-2</v>
      </c>
      <c r="S1332" s="201">
        <f t="shared" si="166"/>
        <v>5.3842878120411442E-3</v>
      </c>
    </row>
    <row r="1333" spans="1:19">
      <c r="A1333" s="196">
        <v>41901</v>
      </c>
      <c r="B1333" s="122">
        <v>20.51</v>
      </c>
      <c r="C1333" s="122">
        <v>20.969999000000001</v>
      </c>
      <c r="D1333" s="122">
        <v>20.16</v>
      </c>
      <c r="E1333" s="122">
        <v>20.879999000000002</v>
      </c>
      <c r="F1333" s="122">
        <v>17.342390000000002</v>
      </c>
      <c r="G1333" s="197">
        <v>345100</v>
      </c>
      <c r="H1333" s="198">
        <f>IF(AND(E1332&gt;=H1332,E1333&gt;=E1332),E1332*(1+'Trading Model'!$E$13),IF(AND(E1333&lt;E1332,E1332&gt;=H1332),E1333*(1+'Trading Model'!$E$13),H1332))</f>
        <v>27.698998950000004</v>
      </c>
      <c r="I1333" s="198">
        <f>IF(K1333&gt;0,E1333*(1-'Trading Model'!E1343),IF(E1333&lt;I1332,I1332*(1-'Trading Model'!$E$14),I1332))</f>
        <v>8.9840153609188427</v>
      </c>
      <c r="J1333" s="198">
        <f t="shared" si="167"/>
        <v>0</v>
      </c>
      <c r="K1333" s="198">
        <f t="shared" si="162"/>
        <v>0</v>
      </c>
      <c r="L1333" s="198">
        <f>COUNTIF(J1333:K1333,"&lt;&gt;0")*-'Trading Model'!$E$15</f>
        <v>0</v>
      </c>
      <c r="M1333" s="198">
        <f t="shared" si="160"/>
        <v>0</v>
      </c>
      <c r="N1333" s="75">
        <f t="shared" si="163"/>
        <v>45</v>
      </c>
      <c r="O1333" s="202">
        <f t="shared" si="164"/>
        <v>0</v>
      </c>
      <c r="P1333" s="199">
        <f t="shared" si="161"/>
        <v>0</v>
      </c>
      <c r="Q1333" s="203">
        <f t="shared" si="165"/>
        <v>35.300000000001639</v>
      </c>
      <c r="R1333" s="160" t="s">
        <v>55</v>
      </c>
      <c r="S1333" s="201">
        <f t="shared" si="166"/>
        <v>1.6552969009105745E-2</v>
      </c>
    </row>
    <row r="1334" spans="1:19">
      <c r="A1334" s="196">
        <v>41904</v>
      </c>
      <c r="B1334" s="122">
        <v>20.66</v>
      </c>
      <c r="C1334" s="122">
        <v>21</v>
      </c>
      <c r="D1334" s="122">
        <v>19.989999999999998</v>
      </c>
      <c r="E1334" s="122">
        <v>20.950001</v>
      </c>
      <c r="F1334" s="122">
        <v>17.400534</v>
      </c>
      <c r="G1334" s="197">
        <v>266400</v>
      </c>
      <c r="H1334" s="198">
        <f>IF(AND(E1333&gt;=H1333,E1334&gt;=E1333),E1333*(1+'Trading Model'!$E$13),IF(AND(E1334&lt;E1333,E1333&gt;=H1333),E1334*(1+'Trading Model'!$E$13),H1333))</f>
        <v>27.698998950000004</v>
      </c>
      <c r="I1334" s="198">
        <f>IF(K1334&gt;0,E1334*(1-'Trading Model'!E1344),IF(E1334&lt;I1333,I1333*(1-'Trading Model'!$E$14),I1333))</f>
        <v>8.9840153609188427</v>
      </c>
      <c r="J1334" s="198">
        <f t="shared" si="167"/>
        <v>0</v>
      </c>
      <c r="K1334" s="198">
        <f t="shared" si="162"/>
        <v>0</v>
      </c>
      <c r="L1334" s="198">
        <f>COUNTIF(J1334:K1334,"&lt;&gt;0")*-'Trading Model'!$E$15</f>
        <v>0</v>
      </c>
      <c r="M1334" s="198">
        <f t="shared" si="160"/>
        <v>0</v>
      </c>
      <c r="N1334" s="75">
        <f t="shared" si="163"/>
        <v>45</v>
      </c>
      <c r="O1334" s="202">
        <f t="shared" si="164"/>
        <v>0</v>
      </c>
      <c r="P1334" s="199">
        <f t="shared" si="161"/>
        <v>0</v>
      </c>
      <c r="Q1334" s="203">
        <f t="shared" si="165"/>
        <v>35.300000000001639</v>
      </c>
      <c r="R1334" s="203" t="s">
        <v>55</v>
      </c>
      <c r="S1334" s="201">
        <f t="shared" si="166"/>
        <v>3.3525863674610523E-3</v>
      </c>
    </row>
    <row r="1335" spans="1:19">
      <c r="A1335" s="196">
        <v>41905</v>
      </c>
      <c r="B1335" s="122">
        <v>20.950001</v>
      </c>
      <c r="C1335" s="122">
        <v>21.23</v>
      </c>
      <c r="D1335" s="122">
        <v>20.209999</v>
      </c>
      <c r="E1335" s="122">
        <v>20.440000999999999</v>
      </c>
      <c r="F1335" s="122">
        <v>16.976938000000001</v>
      </c>
      <c r="G1335" s="197">
        <v>422000</v>
      </c>
      <c r="H1335" s="198">
        <f>IF(AND(E1334&gt;=H1334,E1335&gt;=E1334),E1334*(1+'Trading Model'!$E$13),IF(AND(E1335&lt;E1334,E1334&gt;=H1334),E1335*(1+'Trading Model'!$E$13),H1334))</f>
        <v>27.698998950000004</v>
      </c>
      <c r="I1335" s="198">
        <f>IF(K1335&gt;0,E1335*(1-'Trading Model'!E1345),IF(E1335&lt;I1334,I1334*(1-'Trading Model'!$E$14),I1334))</f>
        <v>8.9840153609188427</v>
      </c>
      <c r="J1335" s="198">
        <f t="shared" si="167"/>
        <v>0</v>
      </c>
      <c r="K1335" s="198">
        <f t="shared" si="162"/>
        <v>0</v>
      </c>
      <c r="L1335" s="198">
        <f>COUNTIF(J1335:K1335,"&lt;&gt;0")*-'Trading Model'!$E$15</f>
        <v>0</v>
      </c>
      <c r="M1335" s="198">
        <f t="shared" si="160"/>
        <v>0</v>
      </c>
      <c r="N1335" s="75">
        <f t="shared" si="163"/>
        <v>45</v>
      </c>
      <c r="O1335" s="202">
        <f t="shared" si="164"/>
        <v>0</v>
      </c>
      <c r="P1335" s="199">
        <f t="shared" si="161"/>
        <v>0</v>
      </c>
      <c r="Q1335" s="203">
        <f t="shared" si="165"/>
        <v>35.200000000001637</v>
      </c>
      <c r="R1335" s="203" t="s">
        <v>55</v>
      </c>
      <c r="S1335" s="201">
        <f t="shared" si="166"/>
        <v>-2.4343674255671965E-2</v>
      </c>
    </row>
    <row r="1336" spans="1:19">
      <c r="A1336" s="196">
        <v>41906</v>
      </c>
      <c r="B1336" s="122">
        <v>20.6</v>
      </c>
      <c r="C1336" s="122">
        <v>20.68</v>
      </c>
      <c r="D1336" s="122">
        <v>20.07</v>
      </c>
      <c r="E1336" s="122">
        <v>20.25</v>
      </c>
      <c r="F1336" s="122">
        <v>16.819130000000001</v>
      </c>
      <c r="G1336" s="197">
        <v>165400</v>
      </c>
      <c r="H1336" s="198">
        <f>IF(AND(E1335&gt;=H1335,E1336&gt;=E1335),E1335*(1+'Trading Model'!$E$13),IF(AND(E1336&lt;E1335,E1335&gt;=H1335),E1336*(1+'Trading Model'!$E$13),H1335))</f>
        <v>27.698998950000004</v>
      </c>
      <c r="I1336" s="198">
        <f>IF(K1336&gt;0,E1336*(1-'Trading Model'!E1346),IF(E1336&lt;I1335,I1335*(1-'Trading Model'!$E$14),I1335))</f>
        <v>8.9840153609188427</v>
      </c>
      <c r="J1336" s="198">
        <f t="shared" si="167"/>
        <v>0</v>
      </c>
      <c r="K1336" s="198">
        <f t="shared" si="162"/>
        <v>0</v>
      </c>
      <c r="L1336" s="198">
        <f>COUNTIF(J1336:K1336,"&lt;&gt;0")*-'Trading Model'!$E$15</f>
        <v>0</v>
      </c>
      <c r="M1336" s="198">
        <f t="shared" si="160"/>
        <v>0</v>
      </c>
      <c r="N1336" s="75">
        <f t="shared" si="163"/>
        <v>45</v>
      </c>
      <c r="O1336" s="202">
        <f t="shared" si="164"/>
        <v>0</v>
      </c>
      <c r="P1336" s="199">
        <f t="shared" si="161"/>
        <v>0</v>
      </c>
      <c r="Q1336" s="203">
        <f t="shared" si="165"/>
        <v>35.100000000001636</v>
      </c>
      <c r="R1336" s="203" t="s">
        <v>55</v>
      </c>
      <c r="S1336" s="201">
        <f t="shared" si="166"/>
        <v>-9.2955474904330426E-3</v>
      </c>
    </row>
    <row r="1337" spans="1:19">
      <c r="A1337" s="196">
        <v>41907</v>
      </c>
      <c r="B1337" s="122">
        <v>20.07</v>
      </c>
      <c r="C1337" s="122">
        <v>20.329999999999998</v>
      </c>
      <c r="D1337" s="122">
        <v>19.82</v>
      </c>
      <c r="E1337" s="122">
        <v>20.16</v>
      </c>
      <c r="F1337" s="122">
        <v>16.744381000000001</v>
      </c>
      <c r="G1337" s="197">
        <v>84400</v>
      </c>
      <c r="H1337" s="198">
        <f>IF(AND(E1336&gt;=H1336,E1337&gt;=E1336),E1336*(1+'Trading Model'!$E$13),IF(AND(E1337&lt;E1336,E1336&gt;=H1336),E1337*(1+'Trading Model'!$E$13),H1336))</f>
        <v>27.698998950000004</v>
      </c>
      <c r="I1337" s="198">
        <f>IF(K1337&gt;0,E1337*(1-'Trading Model'!E1347),IF(E1337&lt;I1336,I1336*(1-'Trading Model'!$E$14),I1336))</f>
        <v>8.9840153609188427</v>
      </c>
      <c r="J1337" s="198">
        <f t="shared" si="167"/>
        <v>0</v>
      </c>
      <c r="K1337" s="198">
        <f t="shared" si="162"/>
        <v>0</v>
      </c>
      <c r="L1337" s="198">
        <f>COUNTIF(J1337:K1337,"&lt;&gt;0")*-'Trading Model'!$E$15</f>
        <v>0</v>
      </c>
      <c r="M1337" s="198">
        <f t="shared" si="160"/>
        <v>0</v>
      </c>
      <c r="N1337" s="75">
        <f t="shared" si="163"/>
        <v>45</v>
      </c>
      <c r="O1337" s="202">
        <f t="shared" si="164"/>
        <v>0</v>
      </c>
      <c r="P1337" s="199">
        <f t="shared" si="161"/>
        <v>0</v>
      </c>
      <c r="Q1337" s="203">
        <f t="shared" si="165"/>
        <v>35.000000000001634</v>
      </c>
      <c r="R1337" s="201">
        <f>E1337/B1333-1</f>
        <v>-1.7064846416382284E-2</v>
      </c>
      <c r="S1337" s="201">
        <f t="shared" si="166"/>
        <v>-4.4444444444444731E-3</v>
      </c>
    </row>
    <row r="1338" spans="1:19">
      <c r="A1338" s="196">
        <v>41908</v>
      </c>
      <c r="B1338" s="122">
        <v>20.280000999999999</v>
      </c>
      <c r="C1338" s="122">
        <v>21.129999000000002</v>
      </c>
      <c r="D1338" s="122">
        <v>20.059999000000001</v>
      </c>
      <c r="E1338" s="122">
        <v>20.9</v>
      </c>
      <c r="F1338" s="122">
        <v>17.359005</v>
      </c>
      <c r="G1338" s="197">
        <v>135700</v>
      </c>
      <c r="H1338" s="198">
        <f>IF(AND(E1337&gt;=H1337,E1338&gt;=E1337),E1337*(1+'Trading Model'!$E$13),IF(AND(E1338&lt;E1337,E1337&gt;=H1337),E1338*(1+'Trading Model'!$E$13),H1337))</f>
        <v>27.698998950000004</v>
      </c>
      <c r="I1338" s="198">
        <f>IF(K1338&gt;0,E1338*(1-'Trading Model'!E1348),IF(E1338&lt;I1337,I1337*(1-'Trading Model'!$E$14),I1337))</f>
        <v>8.9840153609188427</v>
      </c>
      <c r="J1338" s="198">
        <f t="shared" si="167"/>
        <v>0</v>
      </c>
      <c r="K1338" s="198">
        <f t="shared" si="162"/>
        <v>0</v>
      </c>
      <c r="L1338" s="198">
        <f>COUNTIF(J1338:K1338,"&lt;&gt;0")*-'Trading Model'!$E$15</f>
        <v>0</v>
      </c>
      <c r="M1338" s="198">
        <f t="shared" si="160"/>
        <v>0</v>
      </c>
      <c r="N1338" s="75">
        <f t="shared" si="163"/>
        <v>45</v>
      </c>
      <c r="O1338" s="202">
        <f t="shared" si="164"/>
        <v>0</v>
      </c>
      <c r="P1338" s="199">
        <f t="shared" si="161"/>
        <v>0</v>
      </c>
      <c r="Q1338" s="203">
        <f t="shared" si="165"/>
        <v>35.000000000001634</v>
      </c>
      <c r="R1338" s="160" t="s">
        <v>55</v>
      </c>
      <c r="S1338" s="201">
        <f t="shared" si="166"/>
        <v>3.6706349206349076E-2</v>
      </c>
    </row>
    <row r="1339" spans="1:19">
      <c r="A1339" s="196">
        <v>41911</v>
      </c>
      <c r="B1339" s="122">
        <v>20.540001</v>
      </c>
      <c r="C1339" s="122">
        <v>20.559999000000001</v>
      </c>
      <c r="D1339" s="122">
        <v>20.049999</v>
      </c>
      <c r="E1339" s="122">
        <v>20.260000000000002</v>
      </c>
      <c r="F1339" s="122">
        <v>16.827435999999999</v>
      </c>
      <c r="G1339" s="197">
        <v>90300</v>
      </c>
      <c r="H1339" s="198">
        <f>IF(AND(E1338&gt;=H1338,E1339&gt;=E1338),E1338*(1+'Trading Model'!$E$13),IF(AND(E1339&lt;E1338,E1338&gt;=H1338),E1339*(1+'Trading Model'!$E$13),H1338))</f>
        <v>27.698998950000004</v>
      </c>
      <c r="I1339" s="198">
        <f>IF(K1339&gt;0,E1339*(1-'Trading Model'!E1349),IF(E1339&lt;I1338,I1338*(1-'Trading Model'!$E$14),I1338))</f>
        <v>8.9840153609188427</v>
      </c>
      <c r="J1339" s="198">
        <f t="shared" si="167"/>
        <v>0</v>
      </c>
      <c r="K1339" s="198">
        <f t="shared" si="162"/>
        <v>0</v>
      </c>
      <c r="L1339" s="198">
        <f>COUNTIF(J1339:K1339,"&lt;&gt;0")*-'Trading Model'!$E$15</f>
        <v>0</v>
      </c>
      <c r="M1339" s="198">
        <f t="shared" si="160"/>
        <v>0</v>
      </c>
      <c r="N1339" s="75">
        <f t="shared" si="163"/>
        <v>45</v>
      </c>
      <c r="O1339" s="202">
        <f t="shared" si="164"/>
        <v>0</v>
      </c>
      <c r="P1339" s="199">
        <f t="shared" si="161"/>
        <v>0</v>
      </c>
      <c r="Q1339" s="203">
        <f t="shared" si="165"/>
        <v>34.900000000001633</v>
      </c>
      <c r="R1339" s="203" t="s">
        <v>55</v>
      </c>
      <c r="S1339" s="201">
        <f t="shared" si="166"/>
        <v>-3.0622009569377884E-2</v>
      </c>
    </row>
    <row r="1340" spans="1:19">
      <c r="A1340" s="196">
        <v>41912</v>
      </c>
      <c r="B1340" s="122">
        <v>20.200001</v>
      </c>
      <c r="C1340" s="122">
        <v>20.370000999999998</v>
      </c>
      <c r="D1340" s="122">
        <v>19.469999000000001</v>
      </c>
      <c r="E1340" s="122">
        <v>20.299999</v>
      </c>
      <c r="F1340" s="122">
        <v>16.860657</v>
      </c>
      <c r="G1340" s="197">
        <v>179200</v>
      </c>
      <c r="H1340" s="198">
        <f>IF(AND(E1339&gt;=H1339,E1340&gt;=E1339),E1339*(1+'Trading Model'!$E$13),IF(AND(E1340&lt;E1339,E1339&gt;=H1339),E1340*(1+'Trading Model'!$E$13),H1339))</f>
        <v>27.698998950000004</v>
      </c>
      <c r="I1340" s="198">
        <f>IF(K1340&gt;0,E1340*(1-'Trading Model'!E1350),IF(E1340&lt;I1339,I1339*(1-'Trading Model'!$E$14),I1339))</f>
        <v>8.9840153609188427</v>
      </c>
      <c r="J1340" s="198">
        <f t="shared" si="167"/>
        <v>0</v>
      </c>
      <c r="K1340" s="198">
        <f t="shared" si="162"/>
        <v>0</v>
      </c>
      <c r="L1340" s="198">
        <f>COUNTIF(J1340:K1340,"&lt;&gt;0")*-'Trading Model'!$E$15</f>
        <v>0</v>
      </c>
      <c r="M1340" s="198">
        <f t="shared" si="160"/>
        <v>0</v>
      </c>
      <c r="N1340" s="75">
        <f t="shared" si="163"/>
        <v>45</v>
      </c>
      <c r="O1340" s="202">
        <f t="shared" si="164"/>
        <v>0</v>
      </c>
      <c r="P1340" s="199">
        <f t="shared" si="161"/>
        <v>0</v>
      </c>
      <c r="Q1340" s="203">
        <f t="shared" si="165"/>
        <v>34.900000000001633</v>
      </c>
      <c r="R1340" s="203" t="s">
        <v>55</v>
      </c>
      <c r="S1340" s="201">
        <f t="shared" si="166"/>
        <v>1.9742843040473357E-3</v>
      </c>
    </row>
    <row r="1341" spans="1:19">
      <c r="A1341" s="196">
        <v>41913</v>
      </c>
      <c r="B1341" s="122">
        <v>20.120000999999998</v>
      </c>
      <c r="C1341" s="122">
        <v>20.719999000000001</v>
      </c>
      <c r="D1341" s="122">
        <v>20.049999</v>
      </c>
      <c r="E1341" s="122">
        <v>20.209999</v>
      </c>
      <c r="F1341" s="122">
        <v>16.785906000000001</v>
      </c>
      <c r="G1341" s="197">
        <v>244400</v>
      </c>
      <c r="H1341" s="198">
        <f>IF(AND(E1340&gt;=H1340,E1341&gt;=E1340),E1340*(1+'Trading Model'!$E$13),IF(AND(E1341&lt;E1340,E1340&gt;=H1340),E1341*(1+'Trading Model'!$E$13),H1340))</f>
        <v>27.698998950000004</v>
      </c>
      <c r="I1341" s="198">
        <f>IF(K1341&gt;0,E1341*(1-'Trading Model'!E1351),IF(E1341&lt;I1340,I1340*(1-'Trading Model'!$E$14),I1340))</f>
        <v>8.9840153609188427</v>
      </c>
      <c r="J1341" s="198">
        <f t="shared" si="167"/>
        <v>0</v>
      </c>
      <c r="K1341" s="198">
        <f t="shared" si="162"/>
        <v>0</v>
      </c>
      <c r="L1341" s="198">
        <f>COUNTIF(J1341:K1341,"&lt;&gt;0")*-'Trading Model'!$E$15</f>
        <v>0</v>
      </c>
      <c r="M1341" s="198">
        <f t="shared" si="160"/>
        <v>0</v>
      </c>
      <c r="N1341" s="75">
        <f t="shared" si="163"/>
        <v>45</v>
      </c>
      <c r="O1341" s="202">
        <f t="shared" si="164"/>
        <v>0</v>
      </c>
      <c r="P1341" s="199">
        <f t="shared" si="161"/>
        <v>0</v>
      </c>
      <c r="Q1341" s="203">
        <f t="shared" si="165"/>
        <v>34.800000000001631</v>
      </c>
      <c r="R1341" s="203" t="s">
        <v>55</v>
      </c>
      <c r="S1341" s="201">
        <f t="shared" si="166"/>
        <v>-4.4334977553447397E-3</v>
      </c>
    </row>
    <row r="1342" spans="1:19">
      <c r="A1342" s="196">
        <v>41914</v>
      </c>
      <c r="B1342" s="122">
        <v>20.139999</v>
      </c>
      <c r="C1342" s="122">
        <v>20.139999</v>
      </c>
      <c r="D1342" s="122">
        <v>18.940000999999999</v>
      </c>
      <c r="E1342" s="122">
        <v>19.66</v>
      </c>
      <c r="F1342" s="122">
        <v>16.329091999999999</v>
      </c>
      <c r="G1342" s="197">
        <v>163700</v>
      </c>
      <c r="H1342" s="198">
        <f>IF(AND(E1341&gt;=H1341,E1342&gt;=E1341),E1341*(1+'Trading Model'!$E$13),IF(AND(E1342&lt;E1341,E1341&gt;=H1341),E1342*(1+'Trading Model'!$E$13),H1341))</f>
        <v>27.698998950000004</v>
      </c>
      <c r="I1342" s="198">
        <f>IF(K1342&gt;0,E1342*(1-'Trading Model'!E1352),IF(E1342&lt;I1341,I1341*(1-'Trading Model'!$E$14),I1341))</f>
        <v>8.9840153609188427</v>
      </c>
      <c r="J1342" s="198">
        <f t="shared" si="167"/>
        <v>0</v>
      </c>
      <c r="K1342" s="198">
        <f t="shared" si="162"/>
        <v>0</v>
      </c>
      <c r="L1342" s="198">
        <f>COUNTIF(J1342:K1342,"&lt;&gt;0")*-'Trading Model'!$E$15</f>
        <v>0</v>
      </c>
      <c r="M1342" s="198">
        <f t="shared" si="160"/>
        <v>0</v>
      </c>
      <c r="N1342" s="75">
        <f t="shared" si="163"/>
        <v>45</v>
      </c>
      <c r="O1342" s="202">
        <f t="shared" si="164"/>
        <v>0</v>
      </c>
      <c r="P1342" s="199">
        <f t="shared" si="161"/>
        <v>0</v>
      </c>
      <c r="Q1342" s="203">
        <f t="shared" si="165"/>
        <v>34.70000000000163</v>
      </c>
      <c r="R1342" s="201">
        <f>E1342/B1338-1</f>
        <v>-3.0572039912621252E-2</v>
      </c>
      <c r="S1342" s="201">
        <f t="shared" si="166"/>
        <v>-2.7214202237219265E-2</v>
      </c>
    </row>
    <row r="1343" spans="1:19">
      <c r="A1343" s="196">
        <v>41915</v>
      </c>
      <c r="B1343" s="122">
        <v>19.700001</v>
      </c>
      <c r="C1343" s="122">
        <v>19.989999999999998</v>
      </c>
      <c r="D1343" s="122">
        <v>19.5</v>
      </c>
      <c r="E1343" s="122">
        <v>19.760000000000002</v>
      </c>
      <c r="F1343" s="122">
        <v>16.412151000000001</v>
      </c>
      <c r="G1343" s="197">
        <v>73500</v>
      </c>
      <c r="H1343" s="198">
        <f>IF(AND(E1342&gt;=H1342,E1343&gt;=E1342),E1342*(1+'Trading Model'!$E$13),IF(AND(E1343&lt;E1342,E1342&gt;=H1342),E1343*(1+'Trading Model'!$E$13),H1342))</f>
        <v>27.698998950000004</v>
      </c>
      <c r="I1343" s="198">
        <f>IF(K1343&gt;0,E1343*(1-'Trading Model'!E1353),IF(E1343&lt;I1342,I1342*(1-'Trading Model'!$E$14),I1342))</f>
        <v>8.9840153609188427</v>
      </c>
      <c r="J1343" s="198">
        <f t="shared" si="167"/>
        <v>0</v>
      </c>
      <c r="K1343" s="198">
        <f t="shared" si="162"/>
        <v>0</v>
      </c>
      <c r="L1343" s="198">
        <f>COUNTIF(J1343:K1343,"&lt;&gt;0")*-'Trading Model'!$E$15</f>
        <v>0</v>
      </c>
      <c r="M1343" s="198">
        <f t="shared" si="160"/>
        <v>0</v>
      </c>
      <c r="N1343" s="75">
        <f t="shared" si="163"/>
        <v>45</v>
      </c>
      <c r="O1343" s="202">
        <f t="shared" si="164"/>
        <v>0</v>
      </c>
      <c r="P1343" s="199">
        <f t="shared" si="161"/>
        <v>0</v>
      </c>
      <c r="Q1343" s="203">
        <f t="shared" si="165"/>
        <v>34.70000000000163</v>
      </c>
      <c r="R1343" s="160" t="s">
        <v>55</v>
      </c>
      <c r="S1343" s="201">
        <f t="shared" si="166"/>
        <v>5.0864699898272026E-3</v>
      </c>
    </row>
    <row r="1344" spans="1:19">
      <c r="A1344" s="196">
        <v>41918</v>
      </c>
      <c r="B1344" s="122">
        <v>19.989999999999998</v>
      </c>
      <c r="C1344" s="122">
        <v>20.34</v>
      </c>
      <c r="D1344" s="122">
        <v>19.620000999999998</v>
      </c>
      <c r="E1344" s="122">
        <v>20</v>
      </c>
      <c r="F1344" s="122">
        <v>16.611485999999999</v>
      </c>
      <c r="G1344" s="197">
        <v>109100</v>
      </c>
      <c r="H1344" s="198">
        <f>IF(AND(E1343&gt;=H1343,E1344&gt;=E1343),E1343*(1+'Trading Model'!$E$13),IF(AND(E1344&lt;E1343,E1343&gt;=H1343),E1344*(1+'Trading Model'!$E$13),H1343))</f>
        <v>27.698998950000004</v>
      </c>
      <c r="I1344" s="198">
        <f>IF(K1344&gt;0,E1344*(1-'Trading Model'!E1354),IF(E1344&lt;I1343,I1343*(1-'Trading Model'!$E$14),I1343))</f>
        <v>8.9840153609188427</v>
      </c>
      <c r="J1344" s="198">
        <f t="shared" si="167"/>
        <v>0</v>
      </c>
      <c r="K1344" s="198">
        <f t="shared" si="162"/>
        <v>0</v>
      </c>
      <c r="L1344" s="198">
        <f>COUNTIF(J1344:K1344,"&lt;&gt;0")*-'Trading Model'!$E$15</f>
        <v>0</v>
      </c>
      <c r="M1344" s="198">
        <f t="shared" si="160"/>
        <v>0</v>
      </c>
      <c r="N1344" s="75">
        <f t="shared" si="163"/>
        <v>45</v>
      </c>
      <c r="O1344" s="202">
        <f t="shared" si="164"/>
        <v>0</v>
      </c>
      <c r="P1344" s="199">
        <f t="shared" si="161"/>
        <v>0</v>
      </c>
      <c r="Q1344" s="203">
        <f t="shared" si="165"/>
        <v>34.70000000000163</v>
      </c>
      <c r="R1344" s="203" t="s">
        <v>55</v>
      </c>
      <c r="S1344" s="201">
        <f t="shared" si="166"/>
        <v>1.2145748987854255E-2</v>
      </c>
    </row>
    <row r="1345" spans="1:19">
      <c r="A1345" s="196">
        <v>41919</v>
      </c>
      <c r="B1345" s="122">
        <v>20.010000000000002</v>
      </c>
      <c r="C1345" s="122">
        <v>20.23</v>
      </c>
      <c r="D1345" s="122">
        <v>19.700001</v>
      </c>
      <c r="E1345" s="122">
        <v>19.700001</v>
      </c>
      <c r="F1345" s="122">
        <v>16.362314000000001</v>
      </c>
      <c r="G1345" s="197">
        <v>69800</v>
      </c>
      <c r="H1345" s="198">
        <f>IF(AND(E1344&gt;=H1344,E1345&gt;=E1344),E1344*(1+'Trading Model'!$E$13),IF(AND(E1345&lt;E1344,E1344&gt;=H1344),E1345*(1+'Trading Model'!$E$13),H1344))</f>
        <v>27.698998950000004</v>
      </c>
      <c r="I1345" s="198">
        <f>IF(K1345&gt;0,E1345*(1-'Trading Model'!E1355),IF(E1345&lt;I1344,I1344*(1-'Trading Model'!$E$14),I1344))</f>
        <v>8.9840153609188427</v>
      </c>
      <c r="J1345" s="198">
        <f t="shared" si="167"/>
        <v>0</v>
      </c>
      <c r="K1345" s="198">
        <f t="shared" si="162"/>
        <v>0</v>
      </c>
      <c r="L1345" s="198">
        <f>COUNTIF(J1345:K1345,"&lt;&gt;0")*-'Trading Model'!$E$15</f>
        <v>0</v>
      </c>
      <c r="M1345" s="198">
        <f t="shared" si="160"/>
        <v>0</v>
      </c>
      <c r="N1345" s="75">
        <f t="shared" si="163"/>
        <v>45</v>
      </c>
      <c r="O1345" s="202">
        <f t="shared" si="164"/>
        <v>0</v>
      </c>
      <c r="P1345" s="199">
        <f t="shared" si="161"/>
        <v>0</v>
      </c>
      <c r="Q1345" s="203">
        <f t="shared" si="165"/>
        <v>34.600000000001629</v>
      </c>
      <c r="R1345" s="203" t="s">
        <v>55</v>
      </c>
      <c r="S1345" s="201">
        <f t="shared" si="166"/>
        <v>-1.4999949999999984E-2</v>
      </c>
    </row>
    <row r="1346" spans="1:19">
      <c r="A1346" s="196">
        <v>41920</v>
      </c>
      <c r="B1346" s="122">
        <v>19.790001</v>
      </c>
      <c r="C1346" s="122">
        <v>19.850000000000001</v>
      </c>
      <c r="D1346" s="122">
        <v>19.5</v>
      </c>
      <c r="E1346" s="122">
        <v>19.629999000000002</v>
      </c>
      <c r="F1346" s="122">
        <v>16.304172999999999</v>
      </c>
      <c r="G1346" s="197">
        <v>147300</v>
      </c>
      <c r="H1346" s="198">
        <f>IF(AND(E1345&gt;=H1345,E1346&gt;=E1345),E1345*(1+'Trading Model'!$E$13),IF(AND(E1346&lt;E1345,E1345&gt;=H1345),E1346*(1+'Trading Model'!$E$13),H1345))</f>
        <v>27.698998950000004</v>
      </c>
      <c r="I1346" s="198">
        <f>IF(K1346&gt;0,E1346*(1-'Trading Model'!E1356),IF(E1346&lt;I1345,I1345*(1-'Trading Model'!$E$14),I1345))</f>
        <v>8.9840153609188427</v>
      </c>
      <c r="J1346" s="198">
        <f t="shared" si="167"/>
        <v>0</v>
      </c>
      <c r="K1346" s="198">
        <f t="shared" si="162"/>
        <v>0</v>
      </c>
      <c r="L1346" s="198">
        <f>COUNTIF(J1346:K1346,"&lt;&gt;0")*-'Trading Model'!$E$15</f>
        <v>0</v>
      </c>
      <c r="M1346" s="198">
        <f t="shared" si="160"/>
        <v>0</v>
      </c>
      <c r="N1346" s="75">
        <f t="shared" si="163"/>
        <v>45</v>
      </c>
      <c r="O1346" s="202">
        <f t="shared" si="164"/>
        <v>0</v>
      </c>
      <c r="P1346" s="199">
        <f t="shared" si="161"/>
        <v>0</v>
      </c>
      <c r="Q1346" s="203">
        <f t="shared" si="165"/>
        <v>34.500000000001627</v>
      </c>
      <c r="R1346" s="203" t="s">
        <v>55</v>
      </c>
      <c r="S1346" s="201">
        <f t="shared" si="166"/>
        <v>-3.5534008348526713E-3</v>
      </c>
    </row>
    <row r="1347" spans="1:19">
      <c r="A1347" s="196">
        <v>41921</v>
      </c>
      <c r="B1347" s="122">
        <v>19.540001</v>
      </c>
      <c r="C1347" s="122">
        <v>19.77</v>
      </c>
      <c r="D1347" s="122">
        <v>19.530000999999999</v>
      </c>
      <c r="E1347" s="122">
        <v>19.600000000000001</v>
      </c>
      <c r="F1347" s="122">
        <v>16.279259</v>
      </c>
      <c r="G1347" s="197">
        <v>61100</v>
      </c>
      <c r="H1347" s="198">
        <f>IF(AND(E1346&gt;=H1346,E1347&gt;=E1346),E1346*(1+'Trading Model'!$E$13),IF(AND(E1347&lt;E1346,E1346&gt;=H1346),E1347*(1+'Trading Model'!$E$13),H1346))</f>
        <v>27.698998950000004</v>
      </c>
      <c r="I1347" s="198">
        <f>IF(K1347&gt;0,E1347*(1-'Trading Model'!E1357),IF(E1347&lt;I1346,I1346*(1-'Trading Model'!$E$14),I1346))</f>
        <v>8.9840153609188427</v>
      </c>
      <c r="J1347" s="198">
        <f t="shared" si="167"/>
        <v>0</v>
      </c>
      <c r="K1347" s="198">
        <f t="shared" si="162"/>
        <v>0</v>
      </c>
      <c r="L1347" s="198">
        <f>COUNTIF(J1347:K1347,"&lt;&gt;0")*-'Trading Model'!$E$15</f>
        <v>0</v>
      </c>
      <c r="M1347" s="198">
        <f t="shared" ref="M1347:M1410" si="168">SUM(J1347:L1347)</f>
        <v>0</v>
      </c>
      <c r="N1347" s="75">
        <f t="shared" si="163"/>
        <v>45</v>
      </c>
      <c r="O1347" s="202">
        <f t="shared" si="164"/>
        <v>0</v>
      </c>
      <c r="P1347" s="199">
        <f t="shared" ref="P1347:P1410" si="169">IFERROR(VLOOKUP(A1347,Dividends,2,FALSE),$U$1)</f>
        <v>0</v>
      </c>
      <c r="Q1347" s="203">
        <f t="shared" si="165"/>
        <v>34.400000000001626</v>
      </c>
      <c r="R1347" s="201">
        <f>E1347/B1343-1</f>
        <v>-5.0761926357262288E-3</v>
      </c>
      <c r="S1347" s="201">
        <f t="shared" si="166"/>
        <v>-1.5282221868682111E-3</v>
      </c>
    </row>
    <row r="1348" spans="1:19">
      <c r="A1348" s="196">
        <v>41922</v>
      </c>
      <c r="B1348" s="122">
        <v>19.52</v>
      </c>
      <c r="C1348" s="122">
        <v>19.549999</v>
      </c>
      <c r="D1348" s="122">
        <v>18.91</v>
      </c>
      <c r="E1348" s="122">
        <v>19.260000000000002</v>
      </c>
      <c r="F1348" s="122">
        <v>15.996861000000001</v>
      </c>
      <c r="G1348" s="197">
        <v>99100</v>
      </c>
      <c r="H1348" s="198">
        <f>IF(AND(E1347&gt;=H1347,E1348&gt;=E1347),E1347*(1+'Trading Model'!$E$13),IF(AND(E1348&lt;E1347,E1347&gt;=H1347),E1348*(1+'Trading Model'!$E$13),H1347))</f>
        <v>27.698998950000004</v>
      </c>
      <c r="I1348" s="198">
        <f>IF(K1348&gt;0,E1348*(1-'Trading Model'!E1358),IF(E1348&lt;I1347,I1347*(1-'Trading Model'!$E$14),I1347))</f>
        <v>8.9840153609188427</v>
      </c>
      <c r="J1348" s="198">
        <f t="shared" si="167"/>
        <v>0</v>
      </c>
      <c r="K1348" s="198">
        <f t="shared" ref="K1348:K1411" si="170">IF(E1348&gt;=H1348,E1348,0)</f>
        <v>0</v>
      </c>
      <c r="L1348" s="198">
        <f>COUNTIF(J1348:K1348,"&lt;&gt;0")*-'Trading Model'!$E$15</f>
        <v>0</v>
      </c>
      <c r="M1348" s="198">
        <f t="shared" si="168"/>
        <v>0</v>
      </c>
      <c r="N1348" s="75">
        <f t="shared" ref="N1348:N1411" si="171">IF(AND(J1348&lt;0,K1348&gt;0),N1347,(IF(J1348&lt;0,N1347+1,IF(K1348&gt;0,N1347+1,N1347))))</f>
        <v>45</v>
      </c>
      <c r="O1348" s="202">
        <f t="shared" ref="O1348:O1411" si="172">P1348</f>
        <v>0</v>
      </c>
      <c r="P1348" s="199">
        <f t="shared" si="169"/>
        <v>0</v>
      </c>
      <c r="Q1348" s="203">
        <f t="shared" ref="Q1348:Q1411" si="173">IF(E1348&lt;E1347,Q1347-0.1,Q1347)</f>
        <v>34.300000000001624</v>
      </c>
      <c r="R1348" s="160" t="s">
        <v>55</v>
      </c>
      <c r="S1348" s="201">
        <f t="shared" ref="S1348:S1411" si="174">E1348/E1347-1</f>
        <v>-1.734693877551019E-2</v>
      </c>
    </row>
    <row r="1349" spans="1:19">
      <c r="A1349" s="196">
        <v>41925</v>
      </c>
      <c r="B1349" s="122">
        <v>19.07</v>
      </c>
      <c r="C1349" s="122">
        <v>19.450001</v>
      </c>
      <c r="D1349" s="122">
        <v>18.959999</v>
      </c>
      <c r="E1349" s="122">
        <v>19.129999000000002</v>
      </c>
      <c r="F1349" s="122">
        <v>15.888885999999999</v>
      </c>
      <c r="G1349" s="197">
        <v>46900</v>
      </c>
      <c r="H1349" s="198">
        <f>IF(AND(E1348&gt;=H1348,E1349&gt;=E1348),E1348*(1+'Trading Model'!$E$13),IF(AND(E1349&lt;E1348,E1348&gt;=H1348),E1349*(1+'Trading Model'!$E$13),H1348))</f>
        <v>27.698998950000004</v>
      </c>
      <c r="I1349" s="198">
        <f>IF(K1349&gt;0,E1349*(1-'Trading Model'!E1359),IF(E1349&lt;I1348,I1348*(1-'Trading Model'!$E$14),I1348))</f>
        <v>8.9840153609188427</v>
      </c>
      <c r="J1349" s="198">
        <f t="shared" ref="J1349:J1412" si="175">IF(E1349&gt;=H1349,-E1349,IF(E1349&lt;=I1348,-E1349,0))</f>
        <v>0</v>
      </c>
      <c r="K1349" s="198">
        <f t="shared" si="170"/>
        <v>0</v>
      </c>
      <c r="L1349" s="198">
        <f>COUNTIF(J1349:K1349,"&lt;&gt;0")*-'Trading Model'!$E$15</f>
        <v>0</v>
      </c>
      <c r="M1349" s="198">
        <f t="shared" si="168"/>
        <v>0</v>
      </c>
      <c r="N1349" s="75">
        <f t="shared" si="171"/>
        <v>45</v>
      </c>
      <c r="O1349" s="202">
        <f t="shared" si="172"/>
        <v>0</v>
      </c>
      <c r="P1349" s="199">
        <f t="shared" si="169"/>
        <v>0</v>
      </c>
      <c r="Q1349" s="203">
        <f t="shared" si="173"/>
        <v>34.200000000001623</v>
      </c>
      <c r="R1349" s="203" t="s">
        <v>55</v>
      </c>
      <c r="S1349" s="201">
        <f t="shared" si="174"/>
        <v>-6.7497923156801809E-3</v>
      </c>
    </row>
    <row r="1350" spans="1:19">
      <c r="A1350" s="196">
        <v>41926</v>
      </c>
      <c r="B1350" s="122">
        <v>19.27</v>
      </c>
      <c r="C1350" s="122">
        <v>20.190000999999999</v>
      </c>
      <c r="D1350" s="122">
        <v>19.16</v>
      </c>
      <c r="E1350" s="122">
        <v>19.879999000000002</v>
      </c>
      <c r="F1350" s="122">
        <v>16.511816</v>
      </c>
      <c r="G1350" s="197">
        <v>71800</v>
      </c>
      <c r="H1350" s="198">
        <f>IF(AND(E1349&gt;=H1349,E1350&gt;=E1349),E1349*(1+'Trading Model'!$E$13),IF(AND(E1350&lt;E1349,E1349&gt;=H1349),E1350*(1+'Trading Model'!$E$13),H1349))</f>
        <v>27.698998950000004</v>
      </c>
      <c r="I1350" s="198">
        <f>IF(K1350&gt;0,E1350*(1-'Trading Model'!E1360),IF(E1350&lt;I1349,I1349*(1-'Trading Model'!$E$14),I1349))</f>
        <v>8.9840153609188427</v>
      </c>
      <c r="J1350" s="198">
        <f t="shared" si="175"/>
        <v>0</v>
      </c>
      <c r="K1350" s="198">
        <f t="shared" si="170"/>
        <v>0</v>
      </c>
      <c r="L1350" s="198">
        <f>COUNTIF(J1350:K1350,"&lt;&gt;0")*-'Trading Model'!$E$15</f>
        <v>0</v>
      </c>
      <c r="M1350" s="198">
        <f t="shared" si="168"/>
        <v>0</v>
      </c>
      <c r="N1350" s="75">
        <f t="shared" si="171"/>
        <v>45</v>
      </c>
      <c r="O1350" s="202">
        <f t="shared" si="172"/>
        <v>0</v>
      </c>
      <c r="P1350" s="199">
        <f t="shared" si="169"/>
        <v>0</v>
      </c>
      <c r="Q1350" s="203">
        <f t="shared" si="173"/>
        <v>34.200000000001623</v>
      </c>
      <c r="R1350" s="203" t="s">
        <v>55</v>
      </c>
      <c r="S1350" s="201">
        <f t="shared" si="174"/>
        <v>3.9205438536614734E-2</v>
      </c>
    </row>
    <row r="1351" spans="1:19">
      <c r="A1351" s="196">
        <v>41927</v>
      </c>
      <c r="B1351" s="122">
        <v>19.469999000000001</v>
      </c>
      <c r="C1351" s="122">
        <v>19.969999000000001</v>
      </c>
      <c r="D1351" s="122">
        <v>19.100000000000001</v>
      </c>
      <c r="E1351" s="122">
        <v>19.870000999999998</v>
      </c>
      <c r="F1351" s="122">
        <v>16.503511</v>
      </c>
      <c r="G1351" s="197">
        <v>92600</v>
      </c>
      <c r="H1351" s="198">
        <f>IF(AND(E1350&gt;=H1350,E1351&gt;=E1350),E1350*(1+'Trading Model'!$E$13),IF(AND(E1351&lt;E1350,E1350&gt;=H1350),E1351*(1+'Trading Model'!$E$13),H1350))</f>
        <v>27.698998950000004</v>
      </c>
      <c r="I1351" s="198">
        <f>IF(K1351&gt;0,E1351*(1-'Trading Model'!E1361),IF(E1351&lt;I1350,I1350*(1-'Trading Model'!$E$14),I1350))</f>
        <v>8.9840153609188427</v>
      </c>
      <c r="J1351" s="198">
        <f t="shared" si="175"/>
        <v>0</v>
      </c>
      <c r="K1351" s="198">
        <f t="shared" si="170"/>
        <v>0</v>
      </c>
      <c r="L1351" s="198">
        <f>COUNTIF(J1351:K1351,"&lt;&gt;0")*-'Trading Model'!$E$15</f>
        <v>0</v>
      </c>
      <c r="M1351" s="198">
        <f t="shared" si="168"/>
        <v>0</v>
      </c>
      <c r="N1351" s="75">
        <f t="shared" si="171"/>
        <v>45</v>
      </c>
      <c r="O1351" s="202">
        <f t="shared" si="172"/>
        <v>0</v>
      </c>
      <c r="P1351" s="199">
        <f t="shared" si="169"/>
        <v>0</v>
      </c>
      <c r="Q1351" s="203">
        <f t="shared" si="173"/>
        <v>34.100000000001621</v>
      </c>
      <c r="R1351" s="203" t="s">
        <v>55</v>
      </c>
      <c r="S1351" s="201">
        <f t="shared" si="174"/>
        <v>-5.0291753032805087E-4</v>
      </c>
    </row>
    <row r="1352" spans="1:19">
      <c r="A1352" s="196">
        <v>41928</v>
      </c>
      <c r="B1352" s="122">
        <v>19.34</v>
      </c>
      <c r="C1352" s="122">
        <v>19.850000000000001</v>
      </c>
      <c r="D1352" s="122">
        <v>19.079999999999998</v>
      </c>
      <c r="E1352" s="122">
        <v>19.670000000000002</v>
      </c>
      <c r="F1352" s="122">
        <v>16.337395000000001</v>
      </c>
      <c r="G1352" s="197">
        <v>75800</v>
      </c>
      <c r="H1352" s="198">
        <f>IF(AND(E1351&gt;=H1351,E1352&gt;=E1351),E1351*(1+'Trading Model'!$E$13),IF(AND(E1352&lt;E1351,E1351&gt;=H1351),E1352*(1+'Trading Model'!$E$13),H1351))</f>
        <v>27.698998950000004</v>
      </c>
      <c r="I1352" s="198">
        <f>IF(K1352&gt;0,E1352*(1-'Trading Model'!E1362),IF(E1352&lt;I1351,I1351*(1-'Trading Model'!$E$14),I1351))</f>
        <v>8.9840153609188427</v>
      </c>
      <c r="J1352" s="198">
        <f t="shared" si="175"/>
        <v>0</v>
      </c>
      <c r="K1352" s="198">
        <f t="shared" si="170"/>
        <v>0</v>
      </c>
      <c r="L1352" s="198">
        <f>COUNTIF(J1352:K1352,"&lt;&gt;0")*-'Trading Model'!$E$15</f>
        <v>0</v>
      </c>
      <c r="M1352" s="198">
        <f t="shared" si="168"/>
        <v>0</v>
      </c>
      <c r="N1352" s="75">
        <f t="shared" si="171"/>
        <v>45</v>
      </c>
      <c r="O1352" s="202">
        <f t="shared" si="172"/>
        <v>0</v>
      </c>
      <c r="P1352" s="199">
        <f t="shared" si="169"/>
        <v>0</v>
      </c>
      <c r="Q1352" s="203">
        <f t="shared" si="173"/>
        <v>34.00000000000162</v>
      </c>
      <c r="R1352" s="201">
        <f>E1352/B1348-1</f>
        <v>7.6844262295083787E-3</v>
      </c>
      <c r="S1352" s="201">
        <f t="shared" si="174"/>
        <v>-1.0065475084777176E-2</v>
      </c>
    </row>
    <row r="1353" spans="1:19">
      <c r="A1353" s="196">
        <v>41929</v>
      </c>
      <c r="B1353" s="122">
        <v>19.940000999999999</v>
      </c>
      <c r="C1353" s="122">
        <v>20.700001</v>
      </c>
      <c r="D1353" s="122">
        <v>19.579999999999998</v>
      </c>
      <c r="E1353" s="122">
        <v>20.290001</v>
      </c>
      <c r="F1353" s="122">
        <v>16.852353999999998</v>
      </c>
      <c r="G1353" s="197">
        <v>179000</v>
      </c>
      <c r="H1353" s="198">
        <f>IF(AND(E1352&gt;=H1352,E1353&gt;=E1352),E1352*(1+'Trading Model'!$E$13),IF(AND(E1353&lt;E1352,E1352&gt;=H1352),E1353*(1+'Trading Model'!$E$13),H1352))</f>
        <v>27.698998950000004</v>
      </c>
      <c r="I1353" s="198">
        <f>IF(K1353&gt;0,E1353*(1-'Trading Model'!E1363),IF(E1353&lt;I1352,I1352*(1-'Trading Model'!$E$14),I1352))</f>
        <v>8.9840153609188427</v>
      </c>
      <c r="J1353" s="198">
        <f t="shared" si="175"/>
        <v>0</v>
      </c>
      <c r="K1353" s="198">
        <f t="shared" si="170"/>
        <v>0</v>
      </c>
      <c r="L1353" s="198">
        <f>COUNTIF(J1353:K1353,"&lt;&gt;0")*-'Trading Model'!$E$15</f>
        <v>0</v>
      </c>
      <c r="M1353" s="198">
        <f t="shared" si="168"/>
        <v>0</v>
      </c>
      <c r="N1353" s="75">
        <f t="shared" si="171"/>
        <v>45</v>
      </c>
      <c r="O1353" s="202">
        <f t="shared" si="172"/>
        <v>0</v>
      </c>
      <c r="P1353" s="199">
        <f t="shared" si="169"/>
        <v>0</v>
      </c>
      <c r="Q1353" s="203">
        <f t="shared" si="173"/>
        <v>34.00000000000162</v>
      </c>
      <c r="R1353" s="160" t="s">
        <v>55</v>
      </c>
      <c r="S1353" s="201">
        <f t="shared" si="174"/>
        <v>3.1520132180986149E-2</v>
      </c>
    </row>
    <row r="1354" spans="1:19">
      <c r="A1354" s="196">
        <v>41932</v>
      </c>
      <c r="B1354" s="122">
        <v>20.049999</v>
      </c>
      <c r="C1354" s="122">
        <v>21.110001</v>
      </c>
      <c r="D1354" s="122">
        <v>19.77</v>
      </c>
      <c r="E1354" s="122">
        <v>20.67</v>
      </c>
      <c r="F1354" s="122">
        <v>17.167973</v>
      </c>
      <c r="G1354" s="197">
        <v>80400</v>
      </c>
      <c r="H1354" s="198">
        <f>IF(AND(E1353&gt;=H1353,E1354&gt;=E1353),E1353*(1+'Trading Model'!$E$13),IF(AND(E1354&lt;E1353,E1353&gt;=H1353),E1354*(1+'Trading Model'!$E$13),H1353))</f>
        <v>27.698998950000004</v>
      </c>
      <c r="I1354" s="198">
        <f>IF(K1354&gt;0,E1354*(1-'Trading Model'!E1364),IF(E1354&lt;I1353,I1353*(1-'Trading Model'!$E$14),I1353))</f>
        <v>8.9840153609188427</v>
      </c>
      <c r="J1354" s="198">
        <f t="shared" si="175"/>
        <v>0</v>
      </c>
      <c r="K1354" s="198">
        <f t="shared" si="170"/>
        <v>0</v>
      </c>
      <c r="L1354" s="198">
        <f>COUNTIF(J1354:K1354,"&lt;&gt;0")*-'Trading Model'!$E$15</f>
        <v>0</v>
      </c>
      <c r="M1354" s="198">
        <f t="shared" si="168"/>
        <v>0</v>
      </c>
      <c r="N1354" s="75">
        <f t="shared" si="171"/>
        <v>45</v>
      </c>
      <c r="O1354" s="202">
        <f t="shared" si="172"/>
        <v>0</v>
      </c>
      <c r="P1354" s="199">
        <f t="shared" si="169"/>
        <v>0</v>
      </c>
      <c r="Q1354" s="203">
        <f t="shared" si="173"/>
        <v>34.00000000000162</v>
      </c>
      <c r="R1354" s="203" t="s">
        <v>55</v>
      </c>
      <c r="S1354" s="201">
        <f t="shared" si="174"/>
        <v>1.8728387445619221E-2</v>
      </c>
    </row>
    <row r="1355" spans="1:19">
      <c r="A1355" s="196">
        <v>41933</v>
      </c>
      <c r="B1355" s="122">
        <v>20.549999</v>
      </c>
      <c r="C1355" s="122">
        <v>21.15</v>
      </c>
      <c r="D1355" s="122">
        <v>20.389999</v>
      </c>
      <c r="E1355" s="122">
        <v>20.93</v>
      </c>
      <c r="F1355" s="122">
        <v>17.383921000000001</v>
      </c>
      <c r="G1355" s="197">
        <v>80100</v>
      </c>
      <c r="H1355" s="198">
        <f>IF(AND(E1354&gt;=H1354,E1355&gt;=E1354),E1354*(1+'Trading Model'!$E$13),IF(AND(E1355&lt;E1354,E1354&gt;=H1354),E1355*(1+'Trading Model'!$E$13),H1354))</f>
        <v>27.698998950000004</v>
      </c>
      <c r="I1355" s="198">
        <f>IF(K1355&gt;0,E1355*(1-'Trading Model'!E1365),IF(E1355&lt;I1354,I1354*(1-'Trading Model'!$E$14),I1354))</f>
        <v>8.9840153609188427</v>
      </c>
      <c r="J1355" s="198">
        <f t="shared" si="175"/>
        <v>0</v>
      </c>
      <c r="K1355" s="198">
        <f t="shared" si="170"/>
        <v>0</v>
      </c>
      <c r="L1355" s="198">
        <f>COUNTIF(J1355:K1355,"&lt;&gt;0")*-'Trading Model'!$E$15</f>
        <v>0</v>
      </c>
      <c r="M1355" s="198">
        <f t="shared" si="168"/>
        <v>0</v>
      </c>
      <c r="N1355" s="75">
        <f t="shared" si="171"/>
        <v>45</v>
      </c>
      <c r="O1355" s="202">
        <f t="shared" si="172"/>
        <v>0</v>
      </c>
      <c r="P1355" s="199">
        <f t="shared" si="169"/>
        <v>0</v>
      </c>
      <c r="Q1355" s="203">
        <f t="shared" si="173"/>
        <v>34.00000000000162</v>
      </c>
      <c r="R1355" s="203" t="s">
        <v>55</v>
      </c>
      <c r="S1355" s="201">
        <f t="shared" si="174"/>
        <v>1.2578616352201255E-2</v>
      </c>
    </row>
    <row r="1356" spans="1:19">
      <c r="A1356" s="196">
        <v>41934</v>
      </c>
      <c r="B1356" s="122">
        <v>21.08</v>
      </c>
      <c r="C1356" s="122">
        <v>21.43</v>
      </c>
      <c r="D1356" s="122">
        <v>20.66</v>
      </c>
      <c r="E1356" s="122">
        <v>20.889999</v>
      </c>
      <c r="F1356" s="122">
        <v>17.350697</v>
      </c>
      <c r="G1356" s="197">
        <v>71600</v>
      </c>
      <c r="H1356" s="198">
        <f>IF(AND(E1355&gt;=H1355,E1356&gt;=E1355),E1355*(1+'Trading Model'!$E$13),IF(AND(E1356&lt;E1355,E1355&gt;=H1355),E1356*(1+'Trading Model'!$E$13),H1355))</f>
        <v>27.698998950000004</v>
      </c>
      <c r="I1356" s="198">
        <f>IF(K1356&gt;0,E1356*(1-'Trading Model'!E1366),IF(E1356&lt;I1355,I1355*(1-'Trading Model'!$E$14),I1355))</f>
        <v>8.9840153609188427</v>
      </c>
      <c r="J1356" s="198">
        <f t="shared" si="175"/>
        <v>0</v>
      </c>
      <c r="K1356" s="198">
        <f t="shared" si="170"/>
        <v>0</v>
      </c>
      <c r="L1356" s="198">
        <f>COUNTIF(J1356:K1356,"&lt;&gt;0")*-'Trading Model'!$E$15</f>
        <v>0</v>
      </c>
      <c r="M1356" s="198">
        <f t="shared" si="168"/>
        <v>0</v>
      </c>
      <c r="N1356" s="75">
        <f t="shared" si="171"/>
        <v>45</v>
      </c>
      <c r="O1356" s="202">
        <f t="shared" si="172"/>
        <v>0</v>
      </c>
      <c r="P1356" s="199">
        <f t="shared" si="169"/>
        <v>0</v>
      </c>
      <c r="Q1356" s="203">
        <f t="shared" si="173"/>
        <v>33.900000000001619</v>
      </c>
      <c r="R1356" s="203" t="s">
        <v>55</v>
      </c>
      <c r="S1356" s="201">
        <f t="shared" si="174"/>
        <v>-1.9111801242236437E-3</v>
      </c>
    </row>
    <row r="1357" spans="1:19">
      <c r="A1357" s="196">
        <v>41935</v>
      </c>
      <c r="B1357" s="122">
        <v>20.889999</v>
      </c>
      <c r="C1357" s="122">
        <v>21.469999000000001</v>
      </c>
      <c r="D1357" s="122">
        <v>20.82</v>
      </c>
      <c r="E1357" s="122">
        <v>21.309999000000001</v>
      </c>
      <c r="F1357" s="122">
        <v>17.699539000000001</v>
      </c>
      <c r="G1357" s="197">
        <v>43100</v>
      </c>
      <c r="H1357" s="198">
        <f>IF(AND(E1356&gt;=H1356,E1357&gt;=E1356),E1356*(1+'Trading Model'!$E$13),IF(AND(E1357&lt;E1356,E1356&gt;=H1356),E1357*(1+'Trading Model'!$E$13),H1356))</f>
        <v>27.698998950000004</v>
      </c>
      <c r="I1357" s="198">
        <f>IF(K1357&gt;0,E1357*(1-'Trading Model'!E1367),IF(E1357&lt;I1356,I1356*(1-'Trading Model'!$E$14),I1356))</f>
        <v>8.9840153609188427</v>
      </c>
      <c r="J1357" s="198">
        <f t="shared" si="175"/>
        <v>0</v>
      </c>
      <c r="K1357" s="198">
        <f t="shared" si="170"/>
        <v>0</v>
      </c>
      <c r="L1357" s="198">
        <f>COUNTIF(J1357:K1357,"&lt;&gt;0")*-'Trading Model'!$E$15</f>
        <v>0</v>
      </c>
      <c r="M1357" s="198">
        <f t="shared" si="168"/>
        <v>0</v>
      </c>
      <c r="N1357" s="75">
        <f t="shared" si="171"/>
        <v>45</v>
      </c>
      <c r="O1357" s="202">
        <f t="shared" si="172"/>
        <v>0</v>
      </c>
      <c r="P1357" s="199">
        <f t="shared" si="169"/>
        <v>0</v>
      </c>
      <c r="Q1357" s="203">
        <f t="shared" si="173"/>
        <v>33.900000000001619</v>
      </c>
      <c r="R1357" s="201">
        <f>E1357/B1353-1</f>
        <v>6.870601460852499E-2</v>
      </c>
      <c r="S1357" s="201">
        <f t="shared" si="174"/>
        <v>2.0105314509589078E-2</v>
      </c>
    </row>
    <row r="1358" spans="1:19">
      <c r="A1358" s="196">
        <v>41936</v>
      </c>
      <c r="B1358" s="122">
        <v>21.469999000000001</v>
      </c>
      <c r="C1358" s="122">
        <v>21.93</v>
      </c>
      <c r="D1358" s="122">
        <v>21.27</v>
      </c>
      <c r="E1358" s="122">
        <v>21.809999000000001</v>
      </c>
      <c r="F1358" s="122">
        <v>18.114827999999999</v>
      </c>
      <c r="G1358" s="197">
        <v>72300</v>
      </c>
      <c r="H1358" s="198">
        <f>IF(AND(E1357&gt;=H1357,E1358&gt;=E1357),E1357*(1+'Trading Model'!$E$13),IF(AND(E1358&lt;E1357,E1357&gt;=H1357),E1358*(1+'Trading Model'!$E$13),H1357))</f>
        <v>27.698998950000004</v>
      </c>
      <c r="I1358" s="198">
        <f>IF(K1358&gt;0,E1358*(1-'Trading Model'!E1368),IF(E1358&lt;I1357,I1357*(1-'Trading Model'!$E$14),I1357))</f>
        <v>8.9840153609188427</v>
      </c>
      <c r="J1358" s="198">
        <f t="shared" si="175"/>
        <v>0</v>
      </c>
      <c r="K1358" s="198">
        <f t="shared" si="170"/>
        <v>0</v>
      </c>
      <c r="L1358" s="198">
        <f>COUNTIF(J1358:K1358,"&lt;&gt;0")*-'Trading Model'!$E$15</f>
        <v>0</v>
      </c>
      <c r="M1358" s="198">
        <f t="shared" si="168"/>
        <v>0</v>
      </c>
      <c r="N1358" s="75">
        <f t="shared" si="171"/>
        <v>45</v>
      </c>
      <c r="O1358" s="202">
        <f t="shared" si="172"/>
        <v>0</v>
      </c>
      <c r="P1358" s="199">
        <f t="shared" si="169"/>
        <v>0</v>
      </c>
      <c r="Q1358" s="203">
        <f t="shared" si="173"/>
        <v>33.900000000001619</v>
      </c>
      <c r="R1358" s="160" t="s">
        <v>55</v>
      </c>
      <c r="S1358" s="201">
        <f t="shared" si="174"/>
        <v>2.3463163935390163E-2</v>
      </c>
    </row>
    <row r="1359" spans="1:19">
      <c r="A1359" s="196">
        <v>41939</v>
      </c>
      <c r="B1359" s="122">
        <v>21.43</v>
      </c>
      <c r="C1359" s="122">
        <v>22.1</v>
      </c>
      <c r="D1359" s="122">
        <v>20.940000999999999</v>
      </c>
      <c r="E1359" s="122">
        <v>22.07</v>
      </c>
      <c r="F1359" s="122">
        <v>18.330774000000002</v>
      </c>
      <c r="G1359" s="197">
        <v>87400</v>
      </c>
      <c r="H1359" s="198">
        <f>IF(AND(E1358&gt;=H1358,E1359&gt;=E1358),E1358*(1+'Trading Model'!$E$13),IF(AND(E1359&lt;E1358,E1358&gt;=H1358),E1359*(1+'Trading Model'!$E$13),H1358))</f>
        <v>27.698998950000004</v>
      </c>
      <c r="I1359" s="198">
        <f>IF(K1359&gt;0,E1359*(1-'Trading Model'!E1369),IF(E1359&lt;I1358,I1358*(1-'Trading Model'!$E$14),I1358))</f>
        <v>8.9840153609188427</v>
      </c>
      <c r="J1359" s="198">
        <f t="shared" si="175"/>
        <v>0</v>
      </c>
      <c r="K1359" s="198">
        <f t="shared" si="170"/>
        <v>0</v>
      </c>
      <c r="L1359" s="198">
        <f>COUNTIF(J1359:K1359,"&lt;&gt;0")*-'Trading Model'!$E$15</f>
        <v>0</v>
      </c>
      <c r="M1359" s="198">
        <f t="shared" si="168"/>
        <v>0</v>
      </c>
      <c r="N1359" s="75">
        <f t="shared" si="171"/>
        <v>45</v>
      </c>
      <c r="O1359" s="202">
        <f t="shared" si="172"/>
        <v>0</v>
      </c>
      <c r="P1359" s="199">
        <f t="shared" si="169"/>
        <v>0</v>
      </c>
      <c r="Q1359" s="203">
        <f t="shared" si="173"/>
        <v>33.900000000001619</v>
      </c>
      <c r="R1359" s="203" t="s">
        <v>55</v>
      </c>
      <c r="S1359" s="201">
        <f t="shared" si="174"/>
        <v>1.1921183490196441E-2</v>
      </c>
    </row>
    <row r="1360" spans="1:19">
      <c r="A1360" s="196">
        <v>41940</v>
      </c>
      <c r="B1360" s="122">
        <v>22.469999000000001</v>
      </c>
      <c r="C1360" s="122">
        <v>22.469999000000001</v>
      </c>
      <c r="D1360" s="122">
        <v>21.709999</v>
      </c>
      <c r="E1360" s="122">
        <v>22.08</v>
      </c>
      <c r="F1360" s="122">
        <v>18.339079000000002</v>
      </c>
      <c r="G1360" s="197">
        <v>107900</v>
      </c>
      <c r="H1360" s="198">
        <f>IF(AND(E1359&gt;=H1359,E1360&gt;=E1359),E1359*(1+'Trading Model'!$E$13),IF(AND(E1360&lt;E1359,E1359&gt;=H1359),E1360*(1+'Trading Model'!$E$13),H1359))</f>
        <v>27.698998950000004</v>
      </c>
      <c r="I1360" s="198">
        <f>IF(K1360&gt;0,E1360*(1-'Trading Model'!E1370),IF(E1360&lt;I1359,I1359*(1-'Trading Model'!$E$14),I1359))</f>
        <v>8.9840153609188427</v>
      </c>
      <c r="J1360" s="198">
        <f t="shared" si="175"/>
        <v>0</v>
      </c>
      <c r="K1360" s="198">
        <f t="shared" si="170"/>
        <v>0</v>
      </c>
      <c r="L1360" s="198">
        <f>COUNTIF(J1360:K1360,"&lt;&gt;0")*-'Trading Model'!$E$15</f>
        <v>0</v>
      </c>
      <c r="M1360" s="198">
        <f t="shared" si="168"/>
        <v>0</v>
      </c>
      <c r="N1360" s="75">
        <f t="shared" si="171"/>
        <v>45</v>
      </c>
      <c r="O1360" s="202">
        <f t="shared" si="172"/>
        <v>0</v>
      </c>
      <c r="P1360" s="199">
        <f t="shared" si="169"/>
        <v>0</v>
      </c>
      <c r="Q1360" s="203">
        <f t="shared" si="173"/>
        <v>33.900000000001619</v>
      </c>
      <c r="R1360" s="203" t="s">
        <v>55</v>
      </c>
      <c r="S1360" s="201">
        <f t="shared" si="174"/>
        <v>4.5310376076113101E-4</v>
      </c>
    </row>
    <row r="1361" spans="1:19">
      <c r="A1361" s="196">
        <v>41941</v>
      </c>
      <c r="B1361" s="122">
        <v>22.32</v>
      </c>
      <c r="C1361" s="122">
        <v>22.450001</v>
      </c>
      <c r="D1361" s="122">
        <v>21.34</v>
      </c>
      <c r="E1361" s="122">
        <v>21.41</v>
      </c>
      <c r="F1361" s="122">
        <v>17.782598</v>
      </c>
      <c r="G1361" s="197">
        <v>139100</v>
      </c>
      <c r="H1361" s="198">
        <f>IF(AND(E1360&gt;=H1360,E1361&gt;=E1360),E1360*(1+'Trading Model'!$E$13),IF(AND(E1361&lt;E1360,E1360&gt;=H1360),E1361*(1+'Trading Model'!$E$13),H1360))</f>
        <v>27.698998950000004</v>
      </c>
      <c r="I1361" s="198">
        <f>IF(K1361&gt;0,E1361*(1-'Trading Model'!E1371),IF(E1361&lt;I1360,I1360*(1-'Trading Model'!$E$14),I1360))</f>
        <v>8.9840153609188427</v>
      </c>
      <c r="J1361" s="198">
        <f t="shared" si="175"/>
        <v>0</v>
      </c>
      <c r="K1361" s="198">
        <f t="shared" si="170"/>
        <v>0</v>
      </c>
      <c r="L1361" s="198">
        <f>COUNTIF(J1361:K1361,"&lt;&gt;0")*-'Trading Model'!$E$15</f>
        <v>0</v>
      </c>
      <c r="M1361" s="198">
        <f t="shared" si="168"/>
        <v>0</v>
      </c>
      <c r="N1361" s="75">
        <f t="shared" si="171"/>
        <v>45</v>
      </c>
      <c r="O1361" s="202">
        <f t="shared" si="172"/>
        <v>0</v>
      </c>
      <c r="P1361" s="199">
        <f t="shared" si="169"/>
        <v>0</v>
      </c>
      <c r="Q1361" s="203">
        <f t="shared" si="173"/>
        <v>33.800000000001617</v>
      </c>
      <c r="R1361" s="203" t="s">
        <v>55</v>
      </c>
      <c r="S1361" s="201">
        <f t="shared" si="174"/>
        <v>-3.0344202898550665E-2</v>
      </c>
    </row>
    <row r="1362" spans="1:19">
      <c r="A1362" s="196">
        <v>41942</v>
      </c>
      <c r="B1362" s="122">
        <v>21.51</v>
      </c>
      <c r="C1362" s="122">
        <v>23.129999000000002</v>
      </c>
      <c r="D1362" s="122">
        <v>21.41</v>
      </c>
      <c r="E1362" s="122">
        <v>23.129999000000002</v>
      </c>
      <c r="F1362" s="122">
        <v>19.211183999999999</v>
      </c>
      <c r="G1362" s="197">
        <v>130200</v>
      </c>
      <c r="H1362" s="198">
        <f>IF(AND(E1361&gt;=H1361,E1362&gt;=E1361),E1361*(1+'Trading Model'!$E$13),IF(AND(E1362&lt;E1361,E1361&gt;=H1361),E1362*(1+'Trading Model'!$E$13),H1361))</f>
        <v>27.698998950000004</v>
      </c>
      <c r="I1362" s="198">
        <f>IF(K1362&gt;0,E1362*(1-'Trading Model'!E1372),IF(E1362&lt;I1361,I1361*(1-'Trading Model'!$E$14),I1361))</f>
        <v>8.9840153609188427</v>
      </c>
      <c r="J1362" s="198">
        <f t="shared" si="175"/>
        <v>0</v>
      </c>
      <c r="K1362" s="198">
        <f t="shared" si="170"/>
        <v>0</v>
      </c>
      <c r="L1362" s="198">
        <f>COUNTIF(J1362:K1362,"&lt;&gt;0")*-'Trading Model'!$E$15</f>
        <v>0</v>
      </c>
      <c r="M1362" s="198">
        <f t="shared" si="168"/>
        <v>0</v>
      </c>
      <c r="N1362" s="75">
        <f t="shared" si="171"/>
        <v>45</v>
      </c>
      <c r="O1362" s="202">
        <f t="shared" si="172"/>
        <v>0</v>
      </c>
      <c r="P1362" s="199">
        <f t="shared" si="169"/>
        <v>0</v>
      </c>
      <c r="Q1362" s="203">
        <f t="shared" si="173"/>
        <v>33.800000000001617</v>
      </c>
      <c r="R1362" s="201">
        <f>E1362/B1358-1</f>
        <v>7.7317190373413558E-2</v>
      </c>
      <c r="S1362" s="201">
        <f t="shared" si="174"/>
        <v>8.0336244745446095E-2</v>
      </c>
    </row>
    <row r="1363" spans="1:19">
      <c r="A1363" s="196">
        <v>41943</v>
      </c>
      <c r="B1363" s="122">
        <v>23.17</v>
      </c>
      <c r="C1363" s="122">
        <v>23.440000999999999</v>
      </c>
      <c r="D1363" s="122">
        <v>22.360001</v>
      </c>
      <c r="E1363" s="122">
        <v>23.07</v>
      </c>
      <c r="F1363" s="122">
        <v>19.161349999999999</v>
      </c>
      <c r="G1363" s="197">
        <v>144100</v>
      </c>
      <c r="H1363" s="198">
        <f>IF(AND(E1362&gt;=H1362,E1363&gt;=E1362),E1362*(1+'Trading Model'!$E$13),IF(AND(E1363&lt;E1362,E1362&gt;=H1362),E1363*(1+'Trading Model'!$E$13),H1362))</f>
        <v>27.698998950000004</v>
      </c>
      <c r="I1363" s="198">
        <f>IF(K1363&gt;0,E1363*(1-'Trading Model'!E1373),IF(E1363&lt;I1362,I1362*(1-'Trading Model'!$E$14),I1362))</f>
        <v>8.9840153609188427</v>
      </c>
      <c r="J1363" s="198">
        <f t="shared" si="175"/>
        <v>0</v>
      </c>
      <c r="K1363" s="198">
        <f t="shared" si="170"/>
        <v>0</v>
      </c>
      <c r="L1363" s="198">
        <f>COUNTIF(J1363:K1363,"&lt;&gt;0")*-'Trading Model'!$E$15</f>
        <v>0</v>
      </c>
      <c r="M1363" s="198">
        <f t="shared" si="168"/>
        <v>0</v>
      </c>
      <c r="N1363" s="75">
        <f t="shared" si="171"/>
        <v>45</v>
      </c>
      <c r="O1363" s="202">
        <f t="shared" si="172"/>
        <v>0</v>
      </c>
      <c r="P1363" s="199">
        <f t="shared" si="169"/>
        <v>0</v>
      </c>
      <c r="Q1363" s="203">
        <f t="shared" si="173"/>
        <v>33.700000000001616</v>
      </c>
      <c r="R1363" s="160" t="s">
        <v>55</v>
      </c>
      <c r="S1363" s="201">
        <f t="shared" si="174"/>
        <v>-2.5939906006914315E-3</v>
      </c>
    </row>
    <row r="1364" spans="1:19">
      <c r="A1364" s="196">
        <v>41946</v>
      </c>
      <c r="B1364" s="122">
        <v>23.440000999999999</v>
      </c>
      <c r="C1364" s="122">
        <v>23.9</v>
      </c>
      <c r="D1364" s="122">
        <v>23.059999000000001</v>
      </c>
      <c r="E1364" s="122">
        <v>23.18</v>
      </c>
      <c r="F1364" s="122">
        <v>19.252711999999999</v>
      </c>
      <c r="G1364" s="197">
        <v>252900</v>
      </c>
      <c r="H1364" s="198">
        <f>IF(AND(E1363&gt;=H1363,E1364&gt;=E1363),E1363*(1+'Trading Model'!$E$13),IF(AND(E1364&lt;E1363,E1363&gt;=H1363),E1364*(1+'Trading Model'!$E$13),H1363))</f>
        <v>27.698998950000004</v>
      </c>
      <c r="I1364" s="198">
        <f>IF(K1364&gt;0,E1364*(1-'Trading Model'!E1374),IF(E1364&lt;I1363,I1363*(1-'Trading Model'!$E$14),I1363))</f>
        <v>8.9840153609188427</v>
      </c>
      <c r="J1364" s="198">
        <f t="shared" si="175"/>
        <v>0</v>
      </c>
      <c r="K1364" s="198">
        <f t="shared" si="170"/>
        <v>0</v>
      </c>
      <c r="L1364" s="198">
        <f>COUNTIF(J1364:K1364,"&lt;&gt;0")*-'Trading Model'!$E$15</f>
        <v>0</v>
      </c>
      <c r="M1364" s="198">
        <f t="shared" si="168"/>
        <v>0</v>
      </c>
      <c r="N1364" s="75">
        <f t="shared" si="171"/>
        <v>45</v>
      </c>
      <c r="O1364" s="202">
        <f t="shared" si="172"/>
        <v>0</v>
      </c>
      <c r="P1364" s="199">
        <f t="shared" si="169"/>
        <v>0</v>
      </c>
      <c r="Q1364" s="203">
        <f t="shared" si="173"/>
        <v>33.700000000001616</v>
      </c>
      <c r="R1364" s="203" t="s">
        <v>55</v>
      </c>
      <c r="S1364" s="201">
        <f t="shared" si="174"/>
        <v>4.7680970957952873E-3</v>
      </c>
    </row>
    <row r="1365" spans="1:19">
      <c r="A1365" s="196">
        <v>41947</v>
      </c>
      <c r="B1365" s="122">
        <v>23.18</v>
      </c>
      <c r="C1365" s="122">
        <v>23.549999</v>
      </c>
      <c r="D1365" s="122">
        <v>21.82</v>
      </c>
      <c r="E1365" s="122">
        <v>21.969999000000001</v>
      </c>
      <c r="F1365" s="122">
        <v>18.247719</v>
      </c>
      <c r="G1365" s="197">
        <v>276100</v>
      </c>
      <c r="H1365" s="198">
        <f>IF(AND(E1364&gt;=H1364,E1365&gt;=E1364),E1364*(1+'Trading Model'!$E$13),IF(AND(E1365&lt;E1364,E1364&gt;=H1364),E1365*(1+'Trading Model'!$E$13),H1364))</f>
        <v>27.698998950000004</v>
      </c>
      <c r="I1365" s="198">
        <f>IF(K1365&gt;0,E1365*(1-'Trading Model'!E1375),IF(E1365&lt;I1364,I1364*(1-'Trading Model'!$E$14),I1364))</f>
        <v>8.9840153609188427</v>
      </c>
      <c r="J1365" s="198">
        <f t="shared" si="175"/>
        <v>0</v>
      </c>
      <c r="K1365" s="198">
        <f t="shared" si="170"/>
        <v>0</v>
      </c>
      <c r="L1365" s="198">
        <f>COUNTIF(J1365:K1365,"&lt;&gt;0")*-'Trading Model'!$E$15</f>
        <v>0</v>
      </c>
      <c r="M1365" s="198">
        <f t="shared" si="168"/>
        <v>0</v>
      </c>
      <c r="N1365" s="75">
        <f t="shared" si="171"/>
        <v>45</v>
      </c>
      <c r="O1365" s="202">
        <f t="shared" si="172"/>
        <v>0</v>
      </c>
      <c r="P1365" s="199">
        <f t="shared" si="169"/>
        <v>0</v>
      </c>
      <c r="Q1365" s="203">
        <f t="shared" si="173"/>
        <v>33.600000000001614</v>
      </c>
      <c r="R1365" s="203" t="s">
        <v>55</v>
      </c>
      <c r="S1365" s="201">
        <f t="shared" si="174"/>
        <v>-5.2200215703192332E-2</v>
      </c>
    </row>
    <row r="1366" spans="1:19">
      <c r="A1366" s="196">
        <v>41948</v>
      </c>
      <c r="B1366" s="122">
        <v>21.92</v>
      </c>
      <c r="C1366" s="122">
        <v>22.040001</v>
      </c>
      <c r="D1366" s="122">
        <v>21.190000999999999</v>
      </c>
      <c r="E1366" s="122">
        <v>21.33</v>
      </c>
      <c r="F1366" s="122">
        <v>17.716149999999999</v>
      </c>
      <c r="G1366" s="197">
        <v>209500</v>
      </c>
      <c r="H1366" s="198">
        <f>IF(AND(E1365&gt;=H1365,E1366&gt;=E1365),E1365*(1+'Trading Model'!$E$13),IF(AND(E1366&lt;E1365,E1365&gt;=H1365),E1366*(1+'Trading Model'!$E$13),H1365))</f>
        <v>27.698998950000004</v>
      </c>
      <c r="I1366" s="198">
        <f>IF(K1366&gt;0,E1366*(1-'Trading Model'!E1376),IF(E1366&lt;I1365,I1365*(1-'Trading Model'!$E$14),I1365))</f>
        <v>8.9840153609188427</v>
      </c>
      <c r="J1366" s="198">
        <f t="shared" si="175"/>
        <v>0</v>
      </c>
      <c r="K1366" s="198">
        <f t="shared" si="170"/>
        <v>0</v>
      </c>
      <c r="L1366" s="198">
        <f>COUNTIF(J1366:K1366,"&lt;&gt;0")*-'Trading Model'!$E$15</f>
        <v>0</v>
      </c>
      <c r="M1366" s="198">
        <f t="shared" si="168"/>
        <v>0</v>
      </c>
      <c r="N1366" s="75">
        <f t="shared" si="171"/>
        <v>45</v>
      </c>
      <c r="O1366" s="202">
        <f t="shared" si="172"/>
        <v>0</v>
      </c>
      <c r="P1366" s="199">
        <f t="shared" si="169"/>
        <v>0</v>
      </c>
      <c r="Q1366" s="203">
        <f t="shared" si="173"/>
        <v>33.500000000001613</v>
      </c>
      <c r="R1366" s="203" t="s">
        <v>55</v>
      </c>
      <c r="S1366" s="201">
        <f t="shared" si="174"/>
        <v>-2.9130588490240861E-2</v>
      </c>
    </row>
    <row r="1367" spans="1:19">
      <c r="A1367" s="196">
        <v>41949</v>
      </c>
      <c r="B1367" s="122">
        <v>21.370000999999998</v>
      </c>
      <c r="C1367" s="122">
        <v>21.790001</v>
      </c>
      <c r="D1367" s="122">
        <v>20.32</v>
      </c>
      <c r="E1367" s="122">
        <v>21.780000999999999</v>
      </c>
      <c r="F1367" s="122">
        <v>18.089908999999999</v>
      </c>
      <c r="G1367" s="197">
        <v>82400</v>
      </c>
      <c r="H1367" s="198">
        <f>IF(AND(E1366&gt;=H1366,E1367&gt;=E1366),E1366*(1+'Trading Model'!$E$13),IF(AND(E1367&lt;E1366,E1366&gt;=H1366),E1367*(1+'Trading Model'!$E$13),H1366))</f>
        <v>27.698998950000004</v>
      </c>
      <c r="I1367" s="198">
        <f>IF(K1367&gt;0,E1367*(1-'Trading Model'!E1377),IF(E1367&lt;I1366,I1366*(1-'Trading Model'!$E$14),I1366))</f>
        <v>8.9840153609188427</v>
      </c>
      <c r="J1367" s="198">
        <f t="shared" si="175"/>
        <v>0</v>
      </c>
      <c r="K1367" s="198">
        <f t="shared" si="170"/>
        <v>0</v>
      </c>
      <c r="L1367" s="198">
        <f>COUNTIF(J1367:K1367,"&lt;&gt;0")*-'Trading Model'!$E$15</f>
        <v>0</v>
      </c>
      <c r="M1367" s="198">
        <f t="shared" si="168"/>
        <v>0</v>
      </c>
      <c r="N1367" s="75">
        <f t="shared" si="171"/>
        <v>45</v>
      </c>
      <c r="O1367" s="202">
        <f t="shared" si="172"/>
        <v>0</v>
      </c>
      <c r="P1367" s="199">
        <f t="shared" si="169"/>
        <v>0</v>
      </c>
      <c r="Q1367" s="203">
        <f t="shared" si="173"/>
        <v>33.500000000001613</v>
      </c>
      <c r="R1367" s="201">
        <f>E1367/B1363-1</f>
        <v>-5.9991324989210337E-2</v>
      </c>
      <c r="S1367" s="201">
        <f t="shared" si="174"/>
        <v>2.1097093295827429E-2</v>
      </c>
    </row>
    <row r="1368" spans="1:19">
      <c r="A1368" s="196">
        <v>41950</v>
      </c>
      <c r="B1368" s="122">
        <v>21.67</v>
      </c>
      <c r="C1368" s="122">
        <v>22.02</v>
      </c>
      <c r="D1368" s="122">
        <v>21.040001</v>
      </c>
      <c r="E1368" s="122">
        <v>21.18</v>
      </c>
      <c r="F1368" s="122">
        <v>17.591564000000002</v>
      </c>
      <c r="G1368" s="197">
        <v>59100</v>
      </c>
      <c r="H1368" s="198">
        <f>IF(AND(E1367&gt;=H1367,E1368&gt;=E1367),E1367*(1+'Trading Model'!$E$13),IF(AND(E1368&lt;E1367,E1367&gt;=H1367),E1368*(1+'Trading Model'!$E$13),H1367))</f>
        <v>27.698998950000004</v>
      </c>
      <c r="I1368" s="198">
        <f>IF(K1368&gt;0,E1368*(1-'Trading Model'!E1378),IF(E1368&lt;I1367,I1367*(1-'Trading Model'!$E$14),I1367))</f>
        <v>8.9840153609188427</v>
      </c>
      <c r="J1368" s="198">
        <f t="shared" si="175"/>
        <v>0</v>
      </c>
      <c r="K1368" s="198">
        <f t="shared" si="170"/>
        <v>0</v>
      </c>
      <c r="L1368" s="198">
        <f>COUNTIF(J1368:K1368,"&lt;&gt;0")*-'Trading Model'!$E$15</f>
        <v>0</v>
      </c>
      <c r="M1368" s="198">
        <f t="shared" si="168"/>
        <v>0</v>
      </c>
      <c r="N1368" s="75">
        <f t="shared" si="171"/>
        <v>45</v>
      </c>
      <c r="O1368" s="202">
        <f t="shared" si="172"/>
        <v>0</v>
      </c>
      <c r="P1368" s="199">
        <f t="shared" si="169"/>
        <v>0</v>
      </c>
      <c r="Q1368" s="203">
        <f t="shared" si="173"/>
        <v>33.400000000001612</v>
      </c>
      <c r="R1368" s="160" t="s">
        <v>55</v>
      </c>
      <c r="S1368" s="201">
        <f t="shared" si="174"/>
        <v>-2.7548254015231644E-2</v>
      </c>
    </row>
    <row r="1369" spans="1:19">
      <c r="A1369" s="196">
        <v>41953</v>
      </c>
      <c r="B1369" s="122">
        <v>21.32</v>
      </c>
      <c r="C1369" s="122">
        <v>21.459999</v>
      </c>
      <c r="D1369" s="122">
        <v>20.799999</v>
      </c>
      <c r="E1369" s="122">
        <v>21.16</v>
      </c>
      <c r="F1369" s="122">
        <v>17.574950999999999</v>
      </c>
      <c r="G1369" s="197">
        <v>36700</v>
      </c>
      <c r="H1369" s="198">
        <f>IF(AND(E1368&gt;=H1368,E1369&gt;=E1368),E1368*(1+'Trading Model'!$E$13),IF(AND(E1369&lt;E1368,E1368&gt;=H1368),E1369*(1+'Trading Model'!$E$13),H1368))</f>
        <v>27.698998950000004</v>
      </c>
      <c r="I1369" s="198">
        <f>IF(K1369&gt;0,E1369*(1-'Trading Model'!E1379),IF(E1369&lt;I1368,I1368*(1-'Trading Model'!$E$14),I1368))</f>
        <v>8.9840153609188427</v>
      </c>
      <c r="J1369" s="198">
        <f t="shared" si="175"/>
        <v>0</v>
      </c>
      <c r="K1369" s="198">
        <f t="shared" si="170"/>
        <v>0</v>
      </c>
      <c r="L1369" s="198">
        <f>COUNTIF(J1369:K1369,"&lt;&gt;0")*-'Trading Model'!$E$15</f>
        <v>0</v>
      </c>
      <c r="M1369" s="198">
        <f t="shared" si="168"/>
        <v>0</v>
      </c>
      <c r="N1369" s="75">
        <f t="shared" si="171"/>
        <v>45</v>
      </c>
      <c r="O1369" s="202">
        <f t="shared" si="172"/>
        <v>0</v>
      </c>
      <c r="P1369" s="199">
        <f t="shared" si="169"/>
        <v>0</v>
      </c>
      <c r="Q1369" s="203">
        <f t="shared" si="173"/>
        <v>33.30000000000161</v>
      </c>
      <c r="R1369" s="203" t="s">
        <v>55</v>
      </c>
      <c r="S1369" s="201">
        <f t="shared" si="174"/>
        <v>-9.442870632672129E-4</v>
      </c>
    </row>
    <row r="1370" spans="1:19">
      <c r="A1370" s="196">
        <v>41954</v>
      </c>
      <c r="B1370" s="122">
        <v>21.09</v>
      </c>
      <c r="C1370" s="122">
        <v>21.15</v>
      </c>
      <c r="D1370" s="122">
        <v>20.68</v>
      </c>
      <c r="E1370" s="122">
        <v>21.129999000000002</v>
      </c>
      <c r="F1370" s="122">
        <v>17.550034</v>
      </c>
      <c r="G1370" s="197">
        <v>53000</v>
      </c>
      <c r="H1370" s="198">
        <f>IF(AND(E1369&gt;=H1369,E1370&gt;=E1369),E1369*(1+'Trading Model'!$E$13),IF(AND(E1370&lt;E1369,E1369&gt;=H1369),E1370*(1+'Trading Model'!$E$13),H1369))</f>
        <v>27.698998950000004</v>
      </c>
      <c r="I1370" s="198">
        <f>IF(K1370&gt;0,E1370*(1-'Trading Model'!E1380),IF(E1370&lt;I1369,I1369*(1-'Trading Model'!$E$14),I1369))</f>
        <v>8.9840153609188427</v>
      </c>
      <c r="J1370" s="198">
        <f t="shared" si="175"/>
        <v>0</v>
      </c>
      <c r="K1370" s="198">
        <f t="shared" si="170"/>
        <v>0</v>
      </c>
      <c r="L1370" s="198">
        <f>COUNTIF(J1370:K1370,"&lt;&gt;0")*-'Trading Model'!$E$15</f>
        <v>0</v>
      </c>
      <c r="M1370" s="198">
        <f t="shared" si="168"/>
        <v>0</v>
      </c>
      <c r="N1370" s="75">
        <f t="shared" si="171"/>
        <v>45</v>
      </c>
      <c r="O1370" s="202">
        <f t="shared" si="172"/>
        <v>0</v>
      </c>
      <c r="P1370" s="199">
        <f t="shared" si="169"/>
        <v>0</v>
      </c>
      <c r="Q1370" s="203">
        <f t="shared" si="173"/>
        <v>33.200000000001609</v>
      </c>
      <c r="R1370" s="203" t="s">
        <v>55</v>
      </c>
      <c r="S1370" s="201">
        <f t="shared" si="174"/>
        <v>-1.417816635160607E-3</v>
      </c>
    </row>
    <row r="1371" spans="1:19">
      <c r="A1371" s="196">
        <v>41955</v>
      </c>
      <c r="B1371" s="122">
        <v>21.209999</v>
      </c>
      <c r="C1371" s="122">
        <v>21.41</v>
      </c>
      <c r="D1371" s="122">
        <v>20.809999000000001</v>
      </c>
      <c r="E1371" s="122">
        <v>21.139999</v>
      </c>
      <c r="F1371" s="122">
        <v>17.558340000000001</v>
      </c>
      <c r="G1371" s="197">
        <v>52400</v>
      </c>
      <c r="H1371" s="198">
        <f>IF(AND(E1370&gt;=H1370,E1371&gt;=E1370),E1370*(1+'Trading Model'!$E$13),IF(AND(E1371&lt;E1370,E1370&gt;=H1370),E1371*(1+'Trading Model'!$E$13),H1370))</f>
        <v>27.698998950000004</v>
      </c>
      <c r="I1371" s="198">
        <f>IF(K1371&gt;0,E1371*(1-'Trading Model'!E1381),IF(E1371&lt;I1370,I1370*(1-'Trading Model'!$E$14),I1370))</f>
        <v>8.9840153609188427</v>
      </c>
      <c r="J1371" s="198">
        <f t="shared" si="175"/>
        <v>0</v>
      </c>
      <c r="K1371" s="198">
        <f t="shared" si="170"/>
        <v>0</v>
      </c>
      <c r="L1371" s="198">
        <f>COUNTIF(J1371:K1371,"&lt;&gt;0")*-'Trading Model'!$E$15</f>
        <v>0</v>
      </c>
      <c r="M1371" s="198">
        <f t="shared" si="168"/>
        <v>0</v>
      </c>
      <c r="N1371" s="75">
        <f t="shared" si="171"/>
        <v>45</v>
      </c>
      <c r="O1371" s="202">
        <f t="shared" si="172"/>
        <v>0</v>
      </c>
      <c r="P1371" s="199">
        <f t="shared" si="169"/>
        <v>0</v>
      </c>
      <c r="Q1371" s="203">
        <f t="shared" si="173"/>
        <v>33.200000000001609</v>
      </c>
      <c r="R1371" s="203" t="s">
        <v>55</v>
      </c>
      <c r="S1371" s="201">
        <f t="shared" si="174"/>
        <v>4.7326078907983238E-4</v>
      </c>
    </row>
    <row r="1372" spans="1:19">
      <c r="A1372" s="196">
        <v>41956</v>
      </c>
      <c r="B1372" s="122">
        <v>21.32</v>
      </c>
      <c r="C1372" s="122">
        <v>22.07</v>
      </c>
      <c r="D1372" s="122">
        <v>20.860001</v>
      </c>
      <c r="E1372" s="122">
        <v>21.790001</v>
      </c>
      <c r="F1372" s="122">
        <v>18.098215</v>
      </c>
      <c r="G1372" s="197">
        <v>99300</v>
      </c>
      <c r="H1372" s="198">
        <f>IF(AND(E1371&gt;=H1371,E1372&gt;=E1371),E1371*(1+'Trading Model'!$E$13),IF(AND(E1372&lt;E1371,E1371&gt;=H1371),E1372*(1+'Trading Model'!$E$13),H1371))</f>
        <v>27.698998950000004</v>
      </c>
      <c r="I1372" s="198">
        <f>IF(K1372&gt;0,E1372*(1-'Trading Model'!E1382),IF(E1372&lt;I1371,I1371*(1-'Trading Model'!$E$14),I1371))</f>
        <v>8.9840153609188427</v>
      </c>
      <c r="J1372" s="198">
        <f t="shared" si="175"/>
        <v>0</v>
      </c>
      <c r="K1372" s="198">
        <f t="shared" si="170"/>
        <v>0</v>
      </c>
      <c r="L1372" s="198">
        <f>COUNTIF(J1372:K1372,"&lt;&gt;0")*-'Trading Model'!$E$15</f>
        <v>0</v>
      </c>
      <c r="M1372" s="198">
        <f t="shared" si="168"/>
        <v>0</v>
      </c>
      <c r="N1372" s="75">
        <f t="shared" si="171"/>
        <v>45</v>
      </c>
      <c r="O1372" s="202">
        <f t="shared" si="172"/>
        <v>0</v>
      </c>
      <c r="P1372" s="199">
        <f t="shared" si="169"/>
        <v>0</v>
      </c>
      <c r="Q1372" s="203">
        <f t="shared" si="173"/>
        <v>33.200000000001609</v>
      </c>
      <c r="R1372" s="201">
        <f>E1372/B1368-1</f>
        <v>5.5376557452699871E-3</v>
      </c>
      <c r="S1372" s="201">
        <f t="shared" si="174"/>
        <v>3.0747494358916549E-2</v>
      </c>
    </row>
    <row r="1373" spans="1:19">
      <c r="A1373" s="196">
        <v>41957</v>
      </c>
      <c r="B1373" s="122">
        <v>21.74</v>
      </c>
      <c r="C1373" s="122">
        <v>22.360001</v>
      </c>
      <c r="D1373" s="122">
        <v>21.74</v>
      </c>
      <c r="E1373" s="122">
        <v>22.15</v>
      </c>
      <c r="F1373" s="122">
        <v>18.397220999999998</v>
      </c>
      <c r="G1373" s="197">
        <v>109200</v>
      </c>
      <c r="H1373" s="198">
        <f>IF(AND(E1372&gt;=H1372,E1373&gt;=E1372),E1372*(1+'Trading Model'!$E$13),IF(AND(E1373&lt;E1372,E1372&gt;=H1372),E1373*(1+'Trading Model'!$E$13),H1372))</f>
        <v>27.698998950000004</v>
      </c>
      <c r="I1373" s="198">
        <f>IF(K1373&gt;0,E1373*(1-'Trading Model'!E1383),IF(E1373&lt;I1372,I1372*(1-'Trading Model'!$E$14),I1372))</f>
        <v>8.9840153609188427</v>
      </c>
      <c r="J1373" s="198">
        <f t="shared" si="175"/>
        <v>0</v>
      </c>
      <c r="K1373" s="198">
        <f t="shared" si="170"/>
        <v>0</v>
      </c>
      <c r="L1373" s="198">
        <f>COUNTIF(J1373:K1373,"&lt;&gt;0")*-'Trading Model'!$E$15</f>
        <v>0</v>
      </c>
      <c r="M1373" s="198">
        <f t="shared" si="168"/>
        <v>0</v>
      </c>
      <c r="N1373" s="75">
        <f t="shared" si="171"/>
        <v>45</v>
      </c>
      <c r="O1373" s="202">
        <f t="shared" si="172"/>
        <v>0</v>
      </c>
      <c r="P1373" s="199">
        <f t="shared" si="169"/>
        <v>0</v>
      </c>
      <c r="Q1373" s="203">
        <f t="shared" si="173"/>
        <v>33.200000000001609</v>
      </c>
      <c r="R1373" s="160" t="s">
        <v>55</v>
      </c>
      <c r="S1373" s="201">
        <f t="shared" si="174"/>
        <v>1.6521293413432891E-2</v>
      </c>
    </row>
    <row r="1374" spans="1:19">
      <c r="A1374" s="196">
        <v>41960</v>
      </c>
      <c r="B1374" s="122">
        <v>22.290001</v>
      </c>
      <c r="C1374" s="122">
        <v>22.290001</v>
      </c>
      <c r="D1374" s="122">
        <v>21.790001</v>
      </c>
      <c r="E1374" s="122">
        <v>22.139999</v>
      </c>
      <c r="F1374" s="122">
        <v>18.388914</v>
      </c>
      <c r="G1374" s="197">
        <v>51000</v>
      </c>
      <c r="H1374" s="198">
        <f>IF(AND(E1373&gt;=H1373,E1374&gt;=E1373),E1373*(1+'Trading Model'!$E$13),IF(AND(E1374&lt;E1373,E1373&gt;=H1373),E1374*(1+'Trading Model'!$E$13),H1373))</f>
        <v>27.698998950000004</v>
      </c>
      <c r="I1374" s="198">
        <f>IF(K1374&gt;0,E1374*(1-'Trading Model'!E1384),IF(E1374&lt;I1373,I1373*(1-'Trading Model'!$E$14),I1373))</f>
        <v>8.9840153609188427</v>
      </c>
      <c r="J1374" s="198">
        <f t="shared" si="175"/>
        <v>0</v>
      </c>
      <c r="K1374" s="198">
        <f t="shared" si="170"/>
        <v>0</v>
      </c>
      <c r="L1374" s="198">
        <f>COUNTIF(J1374:K1374,"&lt;&gt;0")*-'Trading Model'!$E$15</f>
        <v>0</v>
      </c>
      <c r="M1374" s="198">
        <f t="shared" si="168"/>
        <v>0</v>
      </c>
      <c r="N1374" s="75">
        <f t="shared" si="171"/>
        <v>45</v>
      </c>
      <c r="O1374" s="202">
        <f t="shared" si="172"/>
        <v>0</v>
      </c>
      <c r="P1374" s="199">
        <f t="shared" si="169"/>
        <v>0</v>
      </c>
      <c r="Q1374" s="203">
        <f t="shared" si="173"/>
        <v>33.100000000001607</v>
      </c>
      <c r="R1374" s="203" t="s">
        <v>55</v>
      </c>
      <c r="S1374" s="201">
        <f t="shared" si="174"/>
        <v>-4.5151241534979736E-4</v>
      </c>
    </row>
    <row r="1375" spans="1:19">
      <c r="A1375" s="196">
        <v>41961</v>
      </c>
      <c r="B1375" s="122">
        <v>22.040001</v>
      </c>
      <c r="C1375" s="122">
        <v>22.75</v>
      </c>
      <c r="D1375" s="122">
        <v>21.9</v>
      </c>
      <c r="E1375" s="122">
        <v>22.290001</v>
      </c>
      <c r="F1375" s="122">
        <v>18.513500000000001</v>
      </c>
      <c r="G1375" s="197">
        <v>84600</v>
      </c>
      <c r="H1375" s="198">
        <f>IF(AND(E1374&gt;=H1374,E1375&gt;=E1374),E1374*(1+'Trading Model'!$E$13),IF(AND(E1375&lt;E1374,E1374&gt;=H1374),E1375*(1+'Trading Model'!$E$13),H1374))</f>
        <v>27.698998950000004</v>
      </c>
      <c r="I1375" s="198">
        <f>IF(K1375&gt;0,E1375*(1-'Trading Model'!E1385),IF(E1375&lt;I1374,I1374*(1-'Trading Model'!$E$14),I1374))</f>
        <v>8.9840153609188427</v>
      </c>
      <c r="J1375" s="198">
        <f t="shared" si="175"/>
        <v>0</v>
      </c>
      <c r="K1375" s="198">
        <f t="shared" si="170"/>
        <v>0</v>
      </c>
      <c r="L1375" s="198">
        <f>COUNTIF(J1375:K1375,"&lt;&gt;0")*-'Trading Model'!$E$15</f>
        <v>0</v>
      </c>
      <c r="M1375" s="198">
        <f t="shared" si="168"/>
        <v>0</v>
      </c>
      <c r="N1375" s="75">
        <f t="shared" si="171"/>
        <v>45</v>
      </c>
      <c r="O1375" s="202">
        <f t="shared" si="172"/>
        <v>0</v>
      </c>
      <c r="P1375" s="199">
        <f t="shared" si="169"/>
        <v>0</v>
      </c>
      <c r="Q1375" s="203">
        <f t="shared" si="173"/>
        <v>33.100000000001607</v>
      </c>
      <c r="R1375" s="203" t="s">
        <v>55</v>
      </c>
      <c r="S1375" s="201">
        <f t="shared" si="174"/>
        <v>6.7751583909285706E-3</v>
      </c>
    </row>
    <row r="1376" spans="1:19">
      <c r="A1376" s="196">
        <v>41962</v>
      </c>
      <c r="B1376" s="122">
        <v>22.41</v>
      </c>
      <c r="C1376" s="122">
        <v>22.719999000000001</v>
      </c>
      <c r="D1376" s="122">
        <v>22.01</v>
      </c>
      <c r="E1376" s="122">
        <v>22.549999</v>
      </c>
      <c r="F1376" s="122">
        <v>18.729451999999998</v>
      </c>
      <c r="G1376" s="197">
        <v>45500</v>
      </c>
      <c r="H1376" s="198">
        <f>IF(AND(E1375&gt;=H1375,E1376&gt;=E1375),E1375*(1+'Trading Model'!$E$13),IF(AND(E1376&lt;E1375,E1375&gt;=H1375),E1376*(1+'Trading Model'!$E$13),H1375))</f>
        <v>27.698998950000004</v>
      </c>
      <c r="I1376" s="198">
        <f>IF(K1376&gt;0,E1376*(1-'Trading Model'!E1386),IF(E1376&lt;I1375,I1375*(1-'Trading Model'!$E$14),I1375))</f>
        <v>8.9840153609188427</v>
      </c>
      <c r="J1376" s="198">
        <f t="shared" si="175"/>
        <v>0</v>
      </c>
      <c r="K1376" s="198">
        <f t="shared" si="170"/>
        <v>0</v>
      </c>
      <c r="L1376" s="198">
        <f>COUNTIF(J1376:K1376,"&lt;&gt;0")*-'Trading Model'!$E$15</f>
        <v>0</v>
      </c>
      <c r="M1376" s="198">
        <f t="shared" si="168"/>
        <v>0</v>
      </c>
      <c r="N1376" s="75">
        <f t="shared" si="171"/>
        <v>45</v>
      </c>
      <c r="O1376" s="202">
        <f t="shared" si="172"/>
        <v>0</v>
      </c>
      <c r="P1376" s="199">
        <f t="shared" si="169"/>
        <v>0</v>
      </c>
      <c r="Q1376" s="203">
        <f t="shared" si="173"/>
        <v>33.100000000001607</v>
      </c>
      <c r="R1376" s="203" t="s">
        <v>55</v>
      </c>
      <c r="S1376" s="201">
        <f t="shared" si="174"/>
        <v>1.1664333258666115E-2</v>
      </c>
    </row>
    <row r="1377" spans="1:19">
      <c r="A1377" s="196">
        <v>41963</v>
      </c>
      <c r="B1377" s="122">
        <v>22.34</v>
      </c>
      <c r="C1377" s="122">
        <v>22.34</v>
      </c>
      <c r="D1377" s="122">
        <v>21.66</v>
      </c>
      <c r="E1377" s="122">
        <v>21.75</v>
      </c>
      <c r="F1377" s="122">
        <v>18.064990999999999</v>
      </c>
      <c r="G1377" s="197">
        <v>130400</v>
      </c>
      <c r="H1377" s="198">
        <f>IF(AND(E1376&gt;=H1376,E1377&gt;=E1376),E1376*(1+'Trading Model'!$E$13),IF(AND(E1377&lt;E1376,E1376&gt;=H1376),E1377*(1+'Trading Model'!$E$13),H1376))</f>
        <v>27.698998950000004</v>
      </c>
      <c r="I1377" s="198">
        <f>IF(K1377&gt;0,E1377*(1-'Trading Model'!E1387),IF(E1377&lt;I1376,I1376*(1-'Trading Model'!$E$14),I1376))</f>
        <v>8.9840153609188427</v>
      </c>
      <c r="J1377" s="198">
        <f t="shared" si="175"/>
        <v>0</v>
      </c>
      <c r="K1377" s="198">
        <f t="shared" si="170"/>
        <v>0</v>
      </c>
      <c r="L1377" s="198">
        <f>COUNTIF(J1377:K1377,"&lt;&gt;0")*-'Trading Model'!$E$15</f>
        <v>0</v>
      </c>
      <c r="M1377" s="198">
        <f t="shared" si="168"/>
        <v>0</v>
      </c>
      <c r="N1377" s="75">
        <f t="shared" si="171"/>
        <v>45</v>
      </c>
      <c r="O1377" s="202">
        <f t="shared" si="172"/>
        <v>0</v>
      </c>
      <c r="P1377" s="199">
        <f t="shared" si="169"/>
        <v>0</v>
      </c>
      <c r="Q1377" s="203">
        <f t="shared" si="173"/>
        <v>33.000000000001606</v>
      </c>
      <c r="R1377" s="201">
        <f>E1377/B1373-1</f>
        <v>4.5998160073601468E-4</v>
      </c>
      <c r="S1377" s="201">
        <f t="shared" si="174"/>
        <v>-3.5476675630894738E-2</v>
      </c>
    </row>
    <row r="1378" spans="1:19">
      <c r="A1378" s="196">
        <v>41964</v>
      </c>
      <c r="B1378" s="122">
        <v>22.040001</v>
      </c>
      <c r="C1378" s="122">
        <v>22.459999</v>
      </c>
      <c r="D1378" s="122">
        <v>21.879999000000002</v>
      </c>
      <c r="E1378" s="122">
        <v>22.35</v>
      </c>
      <c r="F1378" s="122">
        <v>18.563334999999999</v>
      </c>
      <c r="G1378" s="197">
        <v>93100</v>
      </c>
      <c r="H1378" s="198">
        <f>IF(AND(E1377&gt;=H1377,E1378&gt;=E1377),E1377*(1+'Trading Model'!$E$13),IF(AND(E1378&lt;E1377,E1377&gt;=H1377),E1378*(1+'Trading Model'!$E$13),H1377))</f>
        <v>27.698998950000004</v>
      </c>
      <c r="I1378" s="198">
        <f>IF(K1378&gt;0,E1378*(1-'Trading Model'!E1388),IF(E1378&lt;I1377,I1377*(1-'Trading Model'!$E$14),I1377))</f>
        <v>8.9840153609188427</v>
      </c>
      <c r="J1378" s="198">
        <f t="shared" si="175"/>
        <v>0</v>
      </c>
      <c r="K1378" s="198">
        <f t="shared" si="170"/>
        <v>0</v>
      </c>
      <c r="L1378" s="198">
        <f>COUNTIF(J1378:K1378,"&lt;&gt;0")*-'Trading Model'!$E$15</f>
        <v>0</v>
      </c>
      <c r="M1378" s="198">
        <f t="shared" si="168"/>
        <v>0</v>
      </c>
      <c r="N1378" s="75">
        <f t="shared" si="171"/>
        <v>45</v>
      </c>
      <c r="O1378" s="202">
        <f t="shared" si="172"/>
        <v>0</v>
      </c>
      <c r="P1378" s="199">
        <f t="shared" si="169"/>
        <v>0</v>
      </c>
      <c r="Q1378" s="203">
        <f t="shared" si="173"/>
        <v>33.000000000001606</v>
      </c>
      <c r="R1378" s="160" t="s">
        <v>55</v>
      </c>
      <c r="S1378" s="201">
        <f t="shared" si="174"/>
        <v>2.7586206896551779E-2</v>
      </c>
    </row>
    <row r="1379" spans="1:19">
      <c r="A1379" s="196">
        <v>41967</v>
      </c>
      <c r="B1379" s="122">
        <v>22.360001</v>
      </c>
      <c r="C1379" s="122">
        <v>22.360001</v>
      </c>
      <c r="D1379" s="122">
        <v>21.76</v>
      </c>
      <c r="E1379" s="122">
        <v>21.790001</v>
      </c>
      <c r="F1379" s="122">
        <v>18.098215</v>
      </c>
      <c r="G1379" s="197">
        <v>99500</v>
      </c>
      <c r="H1379" s="198">
        <f>IF(AND(E1378&gt;=H1378,E1379&gt;=E1378),E1378*(1+'Trading Model'!$E$13),IF(AND(E1379&lt;E1378,E1378&gt;=H1378),E1379*(1+'Trading Model'!$E$13),H1378))</f>
        <v>27.698998950000004</v>
      </c>
      <c r="I1379" s="198">
        <f>IF(K1379&gt;0,E1379*(1-'Trading Model'!E1389),IF(E1379&lt;I1378,I1378*(1-'Trading Model'!$E$14),I1378))</f>
        <v>8.9840153609188427</v>
      </c>
      <c r="J1379" s="198">
        <f t="shared" si="175"/>
        <v>0</v>
      </c>
      <c r="K1379" s="198">
        <f t="shared" si="170"/>
        <v>0</v>
      </c>
      <c r="L1379" s="198">
        <f>COUNTIF(J1379:K1379,"&lt;&gt;0")*-'Trading Model'!$E$15</f>
        <v>0</v>
      </c>
      <c r="M1379" s="198">
        <f t="shared" si="168"/>
        <v>0</v>
      </c>
      <c r="N1379" s="75">
        <f t="shared" si="171"/>
        <v>45</v>
      </c>
      <c r="O1379" s="202">
        <f t="shared" si="172"/>
        <v>0</v>
      </c>
      <c r="P1379" s="199">
        <f t="shared" si="169"/>
        <v>0</v>
      </c>
      <c r="Q1379" s="203">
        <f t="shared" si="173"/>
        <v>32.900000000001604</v>
      </c>
      <c r="R1379" s="203" t="s">
        <v>55</v>
      </c>
      <c r="S1379" s="201">
        <f t="shared" si="174"/>
        <v>-2.5055883668903878E-2</v>
      </c>
    </row>
    <row r="1380" spans="1:19">
      <c r="A1380" s="196">
        <v>41968</v>
      </c>
      <c r="B1380" s="122">
        <v>21.99</v>
      </c>
      <c r="C1380" s="122">
        <v>22.17</v>
      </c>
      <c r="D1380" s="122">
        <v>21.34</v>
      </c>
      <c r="E1380" s="122">
        <v>21.940000999999999</v>
      </c>
      <c r="F1380" s="122">
        <v>18.222801</v>
      </c>
      <c r="G1380" s="197">
        <v>231700</v>
      </c>
      <c r="H1380" s="198">
        <f>IF(AND(E1379&gt;=H1379,E1380&gt;=E1379),E1379*(1+'Trading Model'!$E$13),IF(AND(E1380&lt;E1379,E1379&gt;=H1379),E1380*(1+'Trading Model'!$E$13),H1379))</f>
        <v>27.698998950000004</v>
      </c>
      <c r="I1380" s="198">
        <f>IF(K1380&gt;0,E1380*(1-'Trading Model'!E1390),IF(E1380&lt;I1379,I1379*(1-'Trading Model'!$E$14),I1379))</f>
        <v>8.9840153609188427</v>
      </c>
      <c r="J1380" s="198">
        <f t="shared" si="175"/>
        <v>0</v>
      </c>
      <c r="K1380" s="198">
        <f t="shared" si="170"/>
        <v>0</v>
      </c>
      <c r="L1380" s="198">
        <f>COUNTIF(J1380:K1380,"&lt;&gt;0")*-'Trading Model'!$E$15</f>
        <v>0</v>
      </c>
      <c r="M1380" s="198">
        <f t="shared" si="168"/>
        <v>0</v>
      </c>
      <c r="N1380" s="75">
        <f t="shared" si="171"/>
        <v>45</v>
      </c>
      <c r="O1380" s="202">
        <f t="shared" si="172"/>
        <v>0</v>
      </c>
      <c r="P1380" s="199">
        <f t="shared" si="169"/>
        <v>0</v>
      </c>
      <c r="Q1380" s="203">
        <f t="shared" si="173"/>
        <v>32.900000000001604</v>
      </c>
      <c r="R1380" s="203" t="s">
        <v>55</v>
      </c>
      <c r="S1380" s="201">
        <f t="shared" si="174"/>
        <v>6.8838913775175481E-3</v>
      </c>
    </row>
    <row r="1381" spans="1:19">
      <c r="A1381" s="196">
        <v>41969</v>
      </c>
      <c r="B1381" s="122">
        <v>21.93</v>
      </c>
      <c r="C1381" s="122">
        <v>22.639999</v>
      </c>
      <c r="D1381" s="122">
        <v>21.610001</v>
      </c>
      <c r="E1381" s="122">
        <v>22.389999</v>
      </c>
      <c r="F1381" s="122">
        <v>18.596556</v>
      </c>
      <c r="G1381" s="197">
        <v>155600</v>
      </c>
      <c r="H1381" s="198">
        <f>IF(AND(E1380&gt;=H1380,E1381&gt;=E1380),E1380*(1+'Trading Model'!$E$13),IF(AND(E1381&lt;E1380,E1380&gt;=H1380),E1381*(1+'Trading Model'!$E$13),H1380))</f>
        <v>27.698998950000004</v>
      </c>
      <c r="I1381" s="198">
        <f>IF(K1381&gt;0,E1381*(1-'Trading Model'!E1391),IF(E1381&lt;I1380,I1380*(1-'Trading Model'!$E$14),I1380))</f>
        <v>8.9840153609188427</v>
      </c>
      <c r="J1381" s="198">
        <f t="shared" si="175"/>
        <v>0</v>
      </c>
      <c r="K1381" s="198">
        <f t="shared" si="170"/>
        <v>0</v>
      </c>
      <c r="L1381" s="198">
        <f>COUNTIF(J1381:K1381,"&lt;&gt;0")*-'Trading Model'!$E$15</f>
        <v>0</v>
      </c>
      <c r="M1381" s="198">
        <f t="shared" si="168"/>
        <v>0</v>
      </c>
      <c r="N1381" s="75">
        <f t="shared" si="171"/>
        <v>45</v>
      </c>
      <c r="O1381" s="202">
        <f t="shared" si="172"/>
        <v>0</v>
      </c>
      <c r="P1381" s="199">
        <f t="shared" si="169"/>
        <v>0</v>
      </c>
      <c r="Q1381" s="203">
        <f t="shared" si="173"/>
        <v>32.900000000001604</v>
      </c>
      <c r="R1381" s="203" t="s">
        <v>55</v>
      </c>
      <c r="S1381" s="201">
        <f t="shared" si="174"/>
        <v>2.0510391043282228E-2</v>
      </c>
    </row>
    <row r="1382" spans="1:19">
      <c r="A1382" s="196">
        <v>41971</v>
      </c>
      <c r="B1382" s="122">
        <v>22.18</v>
      </c>
      <c r="C1382" s="122">
        <v>22.43</v>
      </c>
      <c r="D1382" s="122">
        <v>21.440000999999999</v>
      </c>
      <c r="E1382" s="122">
        <v>21.93</v>
      </c>
      <c r="F1382" s="122">
        <v>18.214494999999999</v>
      </c>
      <c r="G1382" s="197">
        <v>108300</v>
      </c>
      <c r="H1382" s="198">
        <f>IF(AND(E1381&gt;=H1381,E1382&gt;=E1381),E1381*(1+'Trading Model'!$E$13),IF(AND(E1382&lt;E1381,E1381&gt;=H1381),E1382*(1+'Trading Model'!$E$13),H1381))</f>
        <v>27.698998950000004</v>
      </c>
      <c r="I1382" s="198">
        <f>IF(K1382&gt;0,E1382*(1-'Trading Model'!E1392),IF(E1382&lt;I1381,I1381*(1-'Trading Model'!$E$14),I1381))</f>
        <v>8.9840153609188427</v>
      </c>
      <c r="J1382" s="198">
        <f t="shared" si="175"/>
        <v>0</v>
      </c>
      <c r="K1382" s="198">
        <f t="shared" si="170"/>
        <v>0</v>
      </c>
      <c r="L1382" s="198">
        <f>COUNTIF(J1382:K1382,"&lt;&gt;0")*-'Trading Model'!$E$15</f>
        <v>0</v>
      </c>
      <c r="M1382" s="198">
        <f t="shared" si="168"/>
        <v>0</v>
      </c>
      <c r="N1382" s="75">
        <f t="shared" si="171"/>
        <v>45</v>
      </c>
      <c r="O1382" s="202">
        <f t="shared" si="172"/>
        <v>0</v>
      </c>
      <c r="P1382" s="199">
        <f t="shared" si="169"/>
        <v>0</v>
      </c>
      <c r="Q1382" s="203">
        <f t="shared" si="173"/>
        <v>32.800000000001603</v>
      </c>
      <c r="R1382" s="201">
        <f>E1382/B1378-1</f>
        <v>-4.9909707354369726E-3</v>
      </c>
      <c r="S1382" s="201">
        <f t="shared" si="174"/>
        <v>-2.0544842364664695E-2</v>
      </c>
    </row>
    <row r="1383" spans="1:19">
      <c r="A1383" s="196">
        <v>41974</v>
      </c>
      <c r="B1383" s="122">
        <v>21.700001</v>
      </c>
      <c r="C1383" s="122">
        <v>22.030000999999999</v>
      </c>
      <c r="D1383" s="122">
        <v>21.280000999999999</v>
      </c>
      <c r="E1383" s="122">
        <v>21.75</v>
      </c>
      <c r="F1383" s="122">
        <v>18.064990999999999</v>
      </c>
      <c r="G1383" s="197">
        <v>89200</v>
      </c>
      <c r="H1383" s="198">
        <f>IF(AND(E1382&gt;=H1382,E1383&gt;=E1382),E1382*(1+'Trading Model'!$E$13),IF(AND(E1383&lt;E1382,E1382&gt;=H1382),E1383*(1+'Trading Model'!$E$13),H1382))</f>
        <v>27.698998950000004</v>
      </c>
      <c r="I1383" s="198">
        <f>IF(K1383&gt;0,E1383*(1-'Trading Model'!E1393),IF(E1383&lt;I1382,I1382*(1-'Trading Model'!$E$14),I1382))</f>
        <v>8.9840153609188427</v>
      </c>
      <c r="J1383" s="198">
        <f t="shared" si="175"/>
        <v>0</v>
      </c>
      <c r="K1383" s="198">
        <f t="shared" si="170"/>
        <v>0</v>
      </c>
      <c r="L1383" s="198">
        <f>COUNTIF(J1383:K1383,"&lt;&gt;0")*-'Trading Model'!$E$15</f>
        <v>0</v>
      </c>
      <c r="M1383" s="198">
        <f t="shared" si="168"/>
        <v>0</v>
      </c>
      <c r="N1383" s="75">
        <f t="shared" si="171"/>
        <v>45</v>
      </c>
      <c r="O1383" s="202">
        <f t="shared" si="172"/>
        <v>0</v>
      </c>
      <c r="P1383" s="199">
        <f t="shared" si="169"/>
        <v>0</v>
      </c>
      <c r="Q1383" s="203">
        <f t="shared" si="173"/>
        <v>32.700000000001602</v>
      </c>
      <c r="R1383" s="160" t="s">
        <v>55</v>
      </c>
      <c r="S1383" s="201">
        <f t="shared" si="174"/>
        <v>-8.2079343365253354E-3</v>
      </c>
    </row>
    <row r="1384" spans="1:19">
      <c r="A1384" s="196">
        <v>41975</v>
      </c>
      <c r="B1384" s="122">
        <v>21.75</v>
      </c>
      <c r="C1384" s="122">
        <v>22.200001</v>
      </c>
      <c r="D1384" s="122">
        <v>21.139999</v>
      </c>
      <c r="E1384" s="122">
        <v>22.059999000000001</v>
      </c>
      <c r="F1384" s="122">
        <v>18.322469999999999</v>
      </c>
      <c r="G1384" s="197">
        <v>106400</v>
      </c>
      <c r="H1384" s="198">
        <f>IF(AND(E1383&gt;=H1383,E1384&gt;=E1383),E1383*(1+'Trading Model'!$E$13),IF(AND(E1384&lt;E1383,E1383&gt;=H1383),E1384*(1+'Trading Model'!$E$13),H1383))</f>
        <v>27.698998950000004</v>
      </c>
      <c r="I1384" s="198">
        <f>IF(K1384&gt;0,E1384*(1-'Trading Model'!E1394),IF(E1384&lt;I1383,I1383*(1-'Trading Model'!$E$14),I1383))</f>
        <v>8.9840153609188427</v>
      </c>
      <c r="J1384" s="198">
        <f t="shared" si="175"/>
        <v>0</v>
      </c>
      <c r="K1384" s="198">
        <f t="shared" si="170"/>
        <v>0</v>
      </c>
      <c r="L1384" s="198">
        <f>COUNTIF(J1384:K1384,"&lt;&gt;0")*-'Trading Model'!$E$15</f>
        <v>0</v>
      </c>
      <c r="M1384" s="198">
        <f t="shared" si="168"/>
        <v>0</v>
      </c>
      <c r="N1384" s="75">
        <f t="shared" si="171"/>
        <v>45</v>
      </c>
      <c r="O1384" s="202">
        <f t="shared" si="172"/>
        <v>0</v>
      </c>
      <c r="P1384" s="199">
        <f t="shared" si="169"/>
        <v>0</v>
      </c>
      <c r="Q1384" s="203">
        <f t="shared" si="173"/>
        <v>32.700000000001602</v>
      </c>
      <c r="R1384" s="203" t="s">
        <v>55</v>
      </c>
      <c r="S1384" s="201">
        <f t="shared" si="174"/>
        <v>1.4252827586207051E-2</v>
      </c>
    </row>
    <row r="1385" spans="1:19">
      <c r="A1385" s="196">
        <v>41976</v>
      </c>
      <c r="B1385" s="122">
        <v>22.1</v>
      </c>
      <c r="C1385" s="122">
        <v>22.1</v>
      </c>
      <c r="D1385" s="122">
        <v>21.700001</v>
      </c>
      <c r="E1385" s="122">
        <v>21.9</v>
      </c>
      <c r="F1385" s="122">
        <v>18.189577</v>
      </c>
      <c r="G1385" s="197">
        <v>115600</v>
      </c>
      <c r="H1385" s="198">
        <f>IF(AND(E1384&gt;=H1384,E1385&gt;=E1384),E1384*(1+'Trading Model'!$E$13),IF(AND(E1385&lt;E1384,E1384&gt;=H1384),E1385*(1+'Trading Model'!$E$13),H1384))</f>
        <v>27.698998950000004</v>
      </c>
      <c r="I1385" s="198">
        <f>IF(K1385&gt;0,E1385*(1-'Trading Model'!E1395),IF(E1385&lt;I1384,I1384*(1-'Trading Model'!$E$14),I1384))</f>
        <v>8.9840153609188427</v>
      </c>
      <c r="J1385" s="198">
        <f t="shared" si="175"/>
        <v>0</v>
      </c>
      <c r="K1385" s="198">
        <f t="shared" si="170"/>
        <v>0</v>
      </c>
      <c r="L1385" s="198">
        <f>COUNTIF(J1385:K1385,"&lt;&gt;0")*-'Trading Model'!$E$15</f>
        <v>0</v>
      </c>
      <c r="M1385" s="198">
        <f t="shared" si="168"/>
        <v>0</v>
      </c>
      <c r="N1385" s="75">
        <f t="shared" si="171"/>
        <v>45</v>
      </c>
      <c r="O1385" s="202">
        <f t="shared" si="172"/>
        <v>0</v>
      </c>
      <c r="P1385" s="199">
        <f t="shared" si="169"/>
        <v>0</v>
      </c>
      <c r="Q1385" s="203">
        <f t="shared" si="173"/>
        <v>32.6000000000016</v>
      </c>
      <c r="R1385" s="203" t="s">
        <v>55</v>
      </c>
      <c r="S1385" s="201">
        <f t="shared" si="174"/>
        <v>-7.2529015073845571E-3</v>
      </c>
    </row>
    <row r="1386" spans="1:19">
      <c r="A1386" s="196">
        <v>41977</v>
      </c>
      <c r="B1386" s="122">
        <v>21.940000999999999</v>
      </c>
      <c r="C1386" s="122">
        <v>22.139999</v>
      </c>
      <c r="D1386" s="122">
        <v>21.59</v>
      </c>
      <c r="E1386" s="122">
        <v>22.049999</v>
      </c>
      <c r="F1386" s="122">
        <v>18.314160999999999</v>
      </c>
      <c r="G1386" s="197">
        <v>82100</v>
      </c>
      <c r="H1386" s="198">
        <f>IF(AND(E1385&gt;=H1385,E1386&gt;=E1385),E1385*(1+'Trading Model'!$E$13),IF(AND(E1386&lt;E1385,E1385&gt;=H1385),E1386*(1+'Trading Model'!$E$13),H1385))</f>
        <v>27.698998950000004</v>
      </c>
      <c r="I1386" s="198">
        <f>IF(K1386&gt;0,E1386*(1-'Trading Model'!E1396),IF(E1386&lt;I1385,I1385*(1-'Trading Model'!$E$14),I1385))</f>
        <v>8.9840153609188427</v>
      </c>
      <c r="J1386" s="198">
        <f t="shared" si="175"/>
        <v>0</v>
      </c>
      <c r="K1386" s="198">
        <f t="shared" si="170"/>
        <v>0</v>
      </c>
      <c r="L1386" s="198">
        <f>COUNTIF(J1386:K1386,"&lt;&gt;0")*-'Trading Model'!$E$15</f>
        <v>0</v>
      </c>
      <c r="M1386" s="198">
        <f t="shared" si="168"/>
        <v>0</v>
      </c>
      <c r="N1386" s="75">
        <f t="shared" si="171"/>
        <v>45</v>
      </c>
      <c r="O1386" s="202">
        <f t="shared" si="172"/>
        <v>0</v>
      </c>
      <c r="P1386" s="199">
        <f t="shared" si="169"/>
        <v>0</v>
      </c>
      <c r="Q1386" s="203">
        <f t="shared" si="173"/>
        <v>32.6000000000016</v>
      </c>
      <c r="R1386" s="203" t="s">
        <v>55</v>
      </c>
      <c r="S1386" s="201">
        <f t="shared" si="174"/>
        <v>6.849269406392855E-3</v>
      </c>
    </row>
    <row r="1387" spans="1:19">
      <c r="A1387" s="196">
        <v>41978</v>
      </c>
      <c r="B1387" s="122">
        <v>21.950001</v>
      </c>
      <c r="C1387" s="122">
        <v>22.209999</v>
      </c>
      <c r="D1387" s="122">
        <v>21.639999</v>
      </c>
      <c r="E1387" s="122">
        <v>21.889999</v>
      </c>
      <c r="F1387" s="122">
        <v>18.181269</v>
      </c>
      <c r="G1387" s="197">
        <v>68200</v>
      </c>
      <c r="H1387" s="198">
        <f>IF(AND(E1386&gt;=H1386,E1387&gt;=E1386),E1386*(1+'Trading Model'!$E$13),IF(AND(E1387&lt;E1386,E1386&gt;=H1386),E1387*(1+'Trading Model'!$E$13),H1386))</f>
        <v>27.698998950000004</v>
      </c>
      <c r="I1387" s="198">
        <f>IF(K1387&gt;0,E1387*(1-'Trading Model'!E1397),IF(E1387&lt;I1386,I1386*(1-'Trading Model'!$E$14),I1386))</f>
        <v>8.9840153609188427</v>
      </c>
      <c r="J1387" s="198">
        <f t="shared" si="175"/>
        <v>0</v>
      </c>
      <c r="K1387" s="198">
        <f t="shared" si="170"/>
        <v>0</v>
      </c>
      <c r="L1387" s="198">
        <f>COUNTIF(J1387:K1387,"&lt;&gt;0")*-'Trading Model'!$E$15</f>
        <v>0</v>
      </c>
      <c r="M1387" s="198">
        <f t="shared" si="168"/>
        <v>0</v>
      </c>
      <c r="N1387" s="75">
        <f t="shared" si="171"/>
        <v>45</v>
      </c>
      <c r="O1387" s="202">
        <f t="shared" si="172"/>
        <v>0</v>
      </c>
      <c r="P1387" s="199">
        <f t="shared" si="169"/>
        <v>0</v>
      </c>
      <c r="Q1387" s="203">
        <f t="shared" si="173"/>
        <v>32.500000000001599</v>
      </c>
      <c r="R1387" s="201">
        <f>E1387/B1383-1</f>
        <v>8.7556677992779441E-3</v>
      </c>
      <c r="S1387" s="201">
        <f t="shared" si="174"/>
        <v>-7.2562361567454214E-3</v>
      </c>
    </row>
    <row r="1388" spans="1:19">
      <c r="A1388" s="196">
        <v>41981</v>
      </c>
      <c r="B1388" s="122">
        <v>21.969999000000001</v>
      </c>
      <c r="C1388" s="122">
        <v>21.969999000000001</v>
      </c>
      <c r="D1388" s="122">
        <v>21.389999</v>
      </c>
      <c r="E1388" s="122">
        <v>21.700001</v>
      </c>
      <c r="F1388" s="122">
        <v>18.023461999999999</v>
      </c>
      <c r="G1388" s="197">
        <v>165400</v>
      </c>
      <c r="H1388" s="198">
        <f>IF(AND(E1387&gt;=H1387,E1388&gt;=E1387),E1387*(1+'Trading Model'!$E$13),IF(AND(E1388&lt;E1387,E1387&gt;=H1387),E1388*(1+'Trading Model'!$E$13),H1387))</f>
        <v>27.698998950000004</v>
      </c>
      <c r="I1388" s="198">
        <f>IF(K1388&gt;0,E1388*(1-'Trading Model'!E1398),IF(E1388&lt;I1387,I1387*(1-'Trading Model'!$E$14),I1387))</f>
        <v>8.9840153609188427</v>
      </c>
      <c r="J1388" s="198">
        <f t="shared" si="175"/>
        <v>0</v>
      </c>
      <c r="K1388" s="198">
        <f t="shared" si="170"/>
        <v>0</v>
      </c>
      <c r="L1388" s="198">
        <f>COUNTIF(J1388:K1388,"&lt;&gt;0")*-'Trading Model'!$E$15</f>
        <v>0</v>
      </c>
      <c r="M1388" s="198">
        <f t="shared" si="168"/>
        <v>0</v>
      </c>
      <c r="N1388" s="75">
        <f t="shared" si="171"/>
        <v>45</v>
      </c>
      <c r="O1388" s="202">
        <f t="shared" si="172"/>
        <v>0</v>
      </c>
      <c r="P1388" s="199">
        <f t="shared" si="169"/>
        <v>0</v>
      </c>
      <c r="Q1388" s="203">
        <f t="shared" si="173"/>
        <v>32.400000000001597</v>
      </c>
      <c r="R1388" s="160" t="s">
        <v>55</v>
      </c>
      <c r="S1388" s="201">
        <f t="shared" si="174"/>
        <v>-8.6796714791992358E-3</v>
      </c>
    </row>
    <row r="1389" spans="1:19">
      <c r="A1389" s="196">
        <v>41982</v>
      </c>
      <c r="B1389" s="122">
        <v>21.49</v>
      </c>
      <c r="C1389" s="122">
        <v>21.540001</v>
      </c>
      <c r="D1389" s="122">
        <v>20.98</v>
      </c>
      <c r="E1389" s="122">
        <v>21.41</v>
      </c>
      <c r="F1389" s="122">
        <v>17.782598</v>
      </c>
      <c r="G1389" s="197">
        <v>89700</v>
      </c>
      <c r="H1389" s="198">
        <f>IF(AND(E1388&gt;=H1388,E1389&gt;=E1388),E1388*(1+'Trading Model'!$E$13),IF(AND(E1389&lt;E1388,E1388&gt;=H1388),E1389*(1+'Trading Model'!$E$13),H1388))</f>
        <v>27.698998950000004</v>
      </c>
      <c r="I1389" s="198">
        <f>IF(K1389&gt;0,E1389*(1-'Trading Model'!E1399),IF(E1389&lt;I1388,I1388*(1-'Trading Model'!$E$14),I1388))</f>
        <v>8.9840153609188427</v>
      </c>
      <c r="J1389" s="198">
        <f t="shared" si="175"/>
        <v>0</v>
      </c>
      <c r="K1389" s="198">
        <f t="shared" si="170"/>
        <v>0</v>
      </c>
      <c r="L1389" s="198">
        <f>COUNTIF(J1389:K1389,"&lt;&gt;0")*-'Trading Model'!$E$15</f>
        <v>0</v>
      </c>
      <c r="M1389" s="198">
        <f t="shared" si="168"/>
        <v>0</v>
      </c>
      <c r="N1389" s="75">
        <f t="shared" si="171"/>
        <v>45</v>
      </c>
      <c r="O1389" s="202">
        <f t="shared" si="172"/>
        <v>0</v>
      </c>
      <c r="P1389" s="199">
        <f t="shared" si="169"/>
        <v>0</v>
      </c>
      <c r="Q1389" s="203">
        <f t="shared" si="173"/>
        <v>32.300000000001596</v>
      </c>
      <c r="R1389" s="203" t="s">
        <v>55</v>
      </c>
      <c r="S1389" s="201">
        <f t="shared" si="174"/>
        <v>-1.3364100766631304E-2</v>
      </c>
    </row>
    <row r="1390" spans="1:19">
      <c r="A1390" s="196">
        <v>41983</v>
      </c>
      <c r="B1390" s="122">
        <v>21.4</v>
      </c>
      <c r="C1390" s="122">
        <v>21.93</v>
      </c>
      <c r="D1390" s="122">
        <v>19.670000000000002</v>
      </c>
      <c r="E1390" s="122">
        <v>20.530000999999999</v>
      </c>
      <c r="F1390" s="122">
        <v>17.051691000000002</v>
      </c>
      <c r="G1390" s="197">
        <v>204600</v>
      </c>
      <c r="H1390" s="198">
        <f>IF(AND(E1389&gt;=H1389,E1390&gt;=E1389),E1389*(1+'Trading Model'!$E$13),IF(AND(E1390&lt;E1389,E1389&gt;=H1389),E1390*(1+'Trading Model'!$E$13),H1389))</f>
        <v>27.698998950000004</v>
      </c>
      <c r="I1390" s="198">
        <f>IF(K1390&gt;0,E1390*(1-'Trading Model'!E1400),IF(E1390&lt;I1389,I1389*(1-'Trading Model'!$E$14),I1389))</f>
        <v>8.9840153609188427</v>
      </c>
      <c r="J1390" s="198">
        <f t="shared" si="175"/>
        <v>0</v>
      </c>
      <c r="K1390" s="198">
        <f t="shared" si="170"/>
        <v>0</v>
      </c>
      <c r="L1390" s="198">
        <f>COUNTIF(J1390:K1390,"&lt;&gt;0")*-'Trading Model'!$E$15</f>
        <v>0</v>
      </c>
      <c r="M1390" s="198">
        <f t="shared" si="168"/>
        <v>0</v>
      </c>
      <c r="N1390" s="75">
        <f t="shared" si="171"/>
        <v>45</v>
      </c>
      <c r="O1390" s="202">
        <f t="shared" si="172"/>
        <v>0</v>
      </c>
      <c r="P1390" s="199">
        <f t="shared" si="169"/>
        <v>0</v>
      </c>
      <c r="Q1390" s="203">
        <f t="shared" si="173"/>
        <v>32.200000000001594</v>
      </c>
      <c r="R1390" s="203" t="s">
        <v>55</v>
      </c>
      <c r="S1390" s="201">
        <f t="shared" si="174"/>
        <v>-4.110224194301737E-2</v>
      </c>
    </row>
    <row r="1391" spans="1:19">
      <c r="A1391" s="196">
        <v>41984</v>
      </c>
      <c r="B1391" s="122">
        <v>20.360001</v>
      </c>
      <c r="C1391" s="122">
        <v>20.65</v>
      </c>
      <c r="D1391" s="122">
        <v>20.129999000000002</v>
      </c>
      <c r="E1391" s="122">
        <v>20.5</v>
      </c>
      <c r="F1391" s="122">
        <v>17.026772999999999</v>
      </c>
      <c r="G1391" s="197">
        <v>244700</v>
      </c>
      <c r="H1391" s="198">
        <f>IF(AND(E1390&gt;=H1390,E1391&gt;=E1390),E1390*(1+'Trading Model'!$E$13),IF(AND(E1391&lt;E1390,E1390&gt;=H1390),E1391*(1+'Trading Model'!$E$13),H1390))</f>
        <v>27.698998950000004</v>
      </c>
      <c r="I1391" s="198">
        <f>IF(K1391&gt;0,E1391*(1-'Trading Model'!E1401),IF(E1391&lt;I1390,I1390*(1-'Trading Model'!$E$14),I1390))</f>
        <v>8.9840153609188427</v>
      </c>
      <c r="J1391" s="198">
        <f t="shared" si="175"/>
        <v>0</v>
      </c>
      <c r="K1391" s="198">
        <f t="shared" si="170"/>
        <v>0</v>
      </c>
      <c r="L1391" s="198">
        <f>COUNTIF(J1391:K1391,"&lt;&gt;0")*-'Trading Model'!$E$15</f>
        <v>0</v>
      </c>
      <c r="M1391" s="198">
        <f t="shared" si="168"/>
        <v>0</v>
      </c>
      <c r="N1391" s="75">
        <f t="shared" si="171"/>
        <v>45</v>
      </c>
      <c r="O1391" s="202">
        <f t="shared" si="172"/>
        <v>0</v>
      </c>
      <c r="P1391" s="199">
        <f t="shared" si="169"/>
        <v>0</v>
      </c>
      <c r="Q1391" s="203">
        <f t="shared" si="173"/>
        <v>32.100000000001593</v>
      </c>
      <c r="R1391" s="203" t="s">
        <v>55</v>
      </c>
      <c r="S1391" s="201">
        <f t="shared" si="174"/>
        <v>-1.4613248192242301E-3</v>
      </c>
    </row>
    <row r="1392" spans="1:19">
      <c r="A1392" s="196">
        <v>41985</v>
      </c>
      <c r="B1392" s="122">
        <v>20.27</v>
      </c>
      <c r="C1392" s="122">
        <v>20.51</v>
      </c>
      <c r="D1392" s="122">
        <v>19.600000000000001</v>
      </c>
      <c r="E1392" s="122">
        <v>19.649999999999999</v>
      </c>
      <c r="F1392" s="122">
        <v>16.320784</v>
      </c>
      <c r="G1392" s="197">
        <v>233000</v>
      </c>
      <c r="H1392" s="198">
        <f>IF(AND(E1391&gt;=H1391,E1392&gt;=E1391),E1391*(1+'Trading Model'!$E$13),IF(AND(E1392&lt;E1391,E1391&gt;=H1391),E1392*(1+'Trading Model'!$E$13),H1391))</f>
        <v>27.698998950000004</v>
      </c>
      <c r="I1392" s="198">
        <f>IF(K1392&gt;0,E1392*(1-'Trading Model'!E1402),IF(E1392&lt;I1391,I1391*(1-'Trading Model'!$E$14),I1391))</f>
        <v>8.9840153609188427</v>
      </c>
      <c r="J1392" s="198">
        <f t="shared" si="175"/>
        <v>0</v>
      </c>
      <c r="K1392" s="198">
        <f t="shared" si="170"/>
        <v>0</v>
      </c>
      <c r="L1392" s="198">
        <f>COUNTIF(J1392:K1392,"&lt;&gt;0")*-'Trading Model'!$E$15</f>
        <v>0</v>
      </c>
      <c r="M1392" s="198">
        <f t="shared" si="168"/>
        <v>0</v>
      </c>
      <c r="N1392" s="75">
        <f t="shared" si="171"/>
        <v>45</v>
      </c>
      <c r="O1392" s="202">
        <f t="shared" si="172"/>
        <v>0</v>
      </c>
      <c r="P1392" s="199">
        <f t="shared" si="169"/>
        <v>0</v>
      </c>
      <c r="Q1392" s="203">
        <f t="shared" si="173"/>
        <v>32.000000000001592</v>
      </c>
      <c r="R1392" s="201">
        <f>E1392/B1388-1</f>
        <v>-0.10559850275823879</v>
      </c>
      <c r="S1392" s="201">
        <f t="shared" si="174"/>
        <v>-4.1463414634146378E-2</v>
      </c>
    </row>
    <row r="1393" spans="1:19">
      <c r="A1393" s="196">
        <v>41988</v>
      </c>
      <c r="B1393" s="122">
        <v>19.790001</v>
      </c>
      <c r="C1393" s="122">
        <v>19.790001</v>
      </c>
      <c r="D1393" s="122">
        <v>19.16</v>
      </c>
      <c r="E1393" s="122">
        <v>19.350000000000001</v>
      </c>
      <c r="F1393" s="122">
        <v>16.071612999999999</v>
      </c>
      <c r="G1393" s="197">
        <v>206500</v>
      </c>
      <c r="H1393" s="198">
        <f>IF(AND(E1392&gt;=H1392,E1393&gt;=E1392),E1392*(1+'Trading Model'!$E$13),IF(AND(E1393&lt;E1392,E1392&gt;=H1392),E1393*(1+'Trading Model'!$E$13),H1392))</f>
        <v>27.698998950000004</v>
      </c>
      <c r="I1393" s="198">
        <f>IF(K1393&gt;0,E1393*(1-'Trading Model'!E1403),IF(E1393&lt;I1392,I1392*(1-'Trading Model'!$E$14),I1392))</f>
        <v>8.9840153609188427</v>
      </c>
      <c r="J1393" s="198">
        <f t="shared" si="175"/>
        <v>0</v>
      </c>
      <c r="K1393" s="198">
        <f t="shared" si="170"/>
        <v>0</v>
      </c>
      <c r="L1393" s="198">
        <f>COUNTIF(J1393:K1393,"&lt;&gt;0")*-'Trading Model'!$E$15</f>
        <v>0</v>
      </c>
      <c r="M1393" s="198">
        <f t="shared" si="168"/>
        <v>0</v>
      </c>
      <c r="N1393" s="75">
        <f t="shared" si="171"/>
        <v>45</v>
      </c>
      <c r="O1393" s="202">
        <f t="shared" si="172"/>
        <v>0</v>
      </c>
      <c r="P1393" s="199">
        <f t="shared" si="169"/>
        <v>0</v>
      </c>
      <c r="Q1393" s="203">
        <f t="shared" si="173"/>
        <v>31.90000000000159</v>
      </c>
      <c r="R1393" s="160" t="s">
        <v>55</v>
      </c>
      <c r="S1393" s="201">
        <f t="shared" si="174"/>
        <v>-1.5267175572518887E-2</v>
      </c>
    </row>
    <row r="1394" spans="1:19">
      <c r="A1394" s="196">
        <v>41989</v>
      </c>
      <c r="B1394" s="122">
        <v>19</v>
      </c>
      <c r="C1394" s="122">
        <v>19.860001</v>
      </c>
      <c r="D1394" s="122">
        <v>18.920000000000002</v>
      </c>
      <c r="E1394" s="122">
        <v>19.739999999999998</v>
      </c>
      <c r="F1394" s="122">
        <v>16.395536</v>
      </c>
      <c r="G1394" s="197">
        <v>103900</v>
      </c>
      <c r="H1394" s="198">
        <f>IF(AND(E1393&gt;=H1393,E1394&gt;=E1393),E1393*(1+'Trading Model'!$E$13),IF(AND(E1394&lt;E1393,E1393&gt;=H1393),E1394*(1+'Trading Model'!$E$13),H1393))</f>
        <v>27.698998950000004</v>
      </c>
      <c r="I1394" s="198">
        <f>IF(K1394&gt;0,E1394*(1-'Trading Model'!E1404),IF(E1394&lt;I1393,I1393*(1-'Trading Model'!$E$14),I1393))</f>
        <v>8.9840153609188427</v>
      </c>
      <c r="J1394" s="198">
        <f t="shared" si="175"/>
        <v>0</v>
      </c>
      <c r="K1394" s="198">
        <f t="shared" si="170"/>
        <v>0</v>
      </c>
      <c r="L1394" s="198">
        <f>COUNTIF(J1394:K1394,"&lt;&gt;0")*-'Trading Model'!$E$15</f>
        <v>0</v>
      </c>
      <c r="M1394" s="198">
        <f t="shared" si="168"/>
        <v>0</v>
      </c>
      <c r="N1394" s="75">
        <f t="shared" si="171"/>
        <v>45</v>
      </c>
      <c r="O1394" s="202">
        <f t="shared" si="172"/>
        <v>0</v>
      </c>
      <c r="P1394" s="199">
        <f t="shared" si="169"/>
        <v>0</v>
      </c>
      <c r="Q1394" s="203">
        <f t="shared" si="173"/>
        <v>31.90000000000159</v>
      </c>
      <c r="R1394" s="203" t="s">
        <v>55</v>
      </c>
      <c r="S1394" s="201">
        <f t="shared" si="174"/>
        <v>2.0155038759689825E-2</v>
      </c>
    </row>
    <row r="1395" spans="1:19">
      <c r="A1395" s="196">
        <v>41990</v>
      </c>
      <c r="B1395" s="122">
        <v>19.700001</v>
      </c>
      <c r="C1395" s="122">
        <v>20.280000999999999</v>
      </c>
      <c r="D1395" s="122">
        <v>19.690000999999999</v>
      </c>
      <c r="E1395" s="122">
        <v>20.120000999999998</v>
      </c>
      <c r="F1395" s="122">
        <v>16.711155000000002</v>
      </c>
      <c r="G1395" s="197">
        <v>291000</v>
      </c>
      <c r="H1395" s="198">
        <f>IF(AND(E1394&gt;=H1394,E1395&gt;=E1394),E1394*(1+'Trading Model'!$E$13),IF(AND(E1395&lt;E1394,E1394&gt;=H1394),E1395*(1+'Trading Model'!$E$13),H1394))</f>
        <v>27.698998950000004</v>
      </c>
      <c r="I1395" s="198">
        <f>IF(K1395&gt;0,E1395*(1-'Trading Model'!E1405),IF(E1395&lt;I1394,I1394*(1-'Trading Model'!$E$14),I1394))</f>
        <v>8.9840153609188427</v>
      </c>
      <c r="J1395" s="198">
        <f t="shared" si="175"/>
        <v>0</v>
      </c>
      <c r="K1395" s="198">
        <f t="shared" si="170"/>
        <v>0</v>
      </c>
      <c r="L1395" s="198">
        <f>COUNTIF(J1395:K1395,"&lt;&gt;0")*-'Trading Model'!$E$15</f>
        <v>0</v>
      </c>
      <c r="M1395" s="198">
        <f t="shared" si="168"/>
        <v>0</v>
      </c>
      <c r="N1395" s="75">
        <f t="shared" si="171"/>
        <v>45</v>
      </c>
      <c r="O1395" s="202">
        <f t="shared" si="172"/>
        <v>0</v>
      </c>
      <c r="P1395" s="199">
        <f t="shared" si="169"/>
        <v>0</v>
      </c>
      <c r="Q1395" s="203">
        <f t="shared" si="173"/>
        <v>31.90000000000159</v>
      </c>
      <c r="R1395" s="203" t="s">
        <v>55</v>
      </c>
      <c r="S1395" s="201">
        <f t="shared" si="174"/>
        <v>1.9250303951367842E-2</v>
      </c>
    </row>
    <row r="1396" spans="1:19">
      <c r="A1396" s="196">
        <v>41991</v>
      </c>
      <c r="B1396" s="122">
        <v>20.25</v>
      </c>
      <c r="C1396" s="122">
        <v>20.370000999999998</v>
      </c>
      <c r="D1396" s="122">
        <v>19.760000000000002</v>
      </c>
      <c r="E1396" s="122">
        <v>20.02</v>
      </c>
      <c r="F1396" s="122">
        <v>16.628098000000001</v>
      </c>
      <c r="G1396" s="197">
        <v>222000</v>
      </c>
      <c r="H1396" s="198">
        <f>IF(AND(E1395&gt;=H1395,E1396&gt;=E1395),E1395*(1+'Trading Model'!$E$13),IF(AND(E1396&lt;E1395,E1395&gt;=H1395),E1396*(1+'Trading Model'!$E$13),H1395))</f>
        <v>27.698998950000004</v>
      </c>
      <c r="I1396" s="198">
        <f>IF(K1396&gt;0,E1396*(1-'Trading Model'!E1406),IF(E1396&lt;I1395,I1395*(1-'Trading Model'!$E$14),I1395))</f>
        <v>8.9840153609188427</v>
      </c>
      <c r="J1396" s="198">
        <f t="shared" si="175"/>
        <v>0</v>
      </c>
      <c r="K1396" s="198">
        <f t="shared" si="170"/>
        <v>0</v>
      </c>
      <c r="L1396" s="198">
        <f>COUNTIF(J1396:K1396,"&lt;&gt;0")*-'Trading Model'!$E$15</f>
        <v>0</v>
      </c>
      <c r="M1396" s="198">
        <f t="shared" si="168"/>
        <v>0</v>
      </c>
      <c r="N1396" s="75">
        <f t="shared" si="171"/>
        <v>45</v>
      </c>
      <c r="O1396" s="202">
        <f t="shared" si="172"/>
        <v>0</v>
      </c>
      <c r="P1396" s="199">
        <f t="shared" si="169"/>
        <v>0</v>
      </c>
      <c r="Q1396" s="203">
        <f t="shared" si="173"/>
        <v>31.800000000001589</v>
      </c>
      <c r="R1396" s="203" t="s">
        <v>55</v>
      </c>
      <c r="S1396" s="201">
        <f t="shared" si="174"/>
        <v>-4.9702283812013137E-3</v>
      </c>
    </row>
    <row r="1397" spans="1:19">
      <c r="A1397" s="196">
        <v>41992</v>
      </c>
      <c r="B1397" s="122">
        <v>20.09</v>
      </c>
      <c r="C1397" s="122">
        <v>20.27</v>
      </c>
      <c r="D1397" s="122">
        <v>19.860001</v>
      </c>
      <c r="E1397" s="122">
        <v>20.129999000000002</v>
      </c>
      <c r="F1397" s="122">
        <v>16.719460000000002</v>
      </c>
      <c r="G1397" s="197">
        <v>126000</v>
      </c>
      <c r="H1397" s="198">
        <f>IF(AND(E1396&gt;=H1396,E1397&gt;=E1396),E1396*(1+'Trading Model'!$E$13),IF(AND(E1397&lt;E1396,E1396&gt;=H1396),E1397*(1+'Trading Model'!$E$13),H1396))</f>
        <v>27.698998950000004</v>
      </c>
      <c r="I1397" s="198">
        <f>IF(K1397&gt;0,E1397*(1-'Trading Model'!E1407),IF(E1397&lt;I1396,I1396*(1-'Trading Model'!$E$14),I1396))</f>
        <v>8.9840153609188427</v>
      </c>
      <c r="J1397" s="198">
        <f t="shared" si="175"/>
        <v>0</v>
      </c>
      <c r="K1397" s="198">
        <f t="shared" si="170"/>
        <v>0</v>
      </c>
      <c r="L1397" s="198">
        <f>COUNTIF(J1397:K1397,"&lt;&gt;0")*-'Trading Model'!$E$15</f>
        <v>0</v>
      </c>
      <c r="M1397" s="198">
        <f t="shared" si="168"/>
        <v>0</v>
      </c>
      <c r="N1397" s="75">
        <f t="shared" si="171"/>
        <v>45</v>
      </c>
      <c r="O1397" s="202">
        <f t="shared" si="172"/>
        <v>0</v>
      </c>
      <c r="P1397" s="199">
        <f t="shared" si="169"/>
        <v>0</v>
      </c>
      <c r="Q1397" s="203">
        <f t="shared" si="173"/>
        <v>31.800000000001589</v>
      </c>
      <c r="R1397" s="201">
        <f>E1397/B1393-1</f>
        <v>1.7180292209181935E-2</v>
      </c>
      <c r="S1397" s="201">
        <f t="shared" si="174"/>
        <v>5.4944555444556009E-3</v>
      </c>
    </row>
    <row r="1398" spans="1:19">
      <c r="A1398" s="196">
        <v>41995</v>
      </c>
      <c r="B1398" s="122">
        <v>20.100000000000001</v>
      </c>
      <c r="C1398" s="122">
        <v>20.190000999999999</v>
      </c>
      <c r="D1398" s="122">
        <v>19.75</v>
      </c>
      <c r="E1398" s="122">
        <v>20.129999000000002</v>
      </c>
      <c r="F1398" s="122">
        <v>16.719460000000002</v>
      </c>
      <c r="G1398" s="197">
        <v>265800</v>
      </c>
      <c r="H1398" s="198">
        <f>IF(AND(E1397&gt;=H1397,E1398&gt;=E1397),E1397*(1+'Trading Model'!$E$13),IF(AND(E1398&lt;E1397,E1397&gt;=H1397),E1398*(1+'Trading Model'!$E$13),H1397))</f>
        <v>27.698998950000004</v>
      </c>
      <c r="I1398" s="198">
        <f>IF(K1398&gt;0,E1398*(1-'Trading Model'!E1408),IF(E1398&lt;I1397,I1397*(1-'Trading Model'!$E$14),I1397))</f>
        <v>8.9840153609188427</v>
      </c>
      <c r="J1398" s="198">
        <f t="shared" si="175"/>
        <v>0</v>
      </c>
      <c r="K1398" s="198">
        <f t="shared" si="170"/>
        <v>0</v>
      </c>
      <c r="L1398" s="198">
        <f>COUNTIF(J1398:K1398,"&lt;&gt;0")*-'Trading Model'!$E$15</f>
        <v>0</v>
      </c>
      <c r="M1398" s="198">
        <f t="shared" si="168"/>
        <v>0</v>
      </c>
      <c r="N1398" s="75">
        <f t="shared" si="171"/>
        <v>45</v>
      </c>
      <c r="O1398" s="202">
        <f t="shared" si="172"/>
        <v>0</v>
      </c>
      <c r="P1398" s="199">
        <f t="shared" si="169"/>
        <v>0</v>
      </c>
      <c r="Q1398" s="203">
        <f t="shared" si="173"/>
        <v>31.800000000001589</v>
      </c>
      <c r="R1398" s="160" t="s">
        <v>55</v>
      </c>
      <c r="S1398" s="201">
        <f t="shared" si="174"/>
        <v>0</v>
      </c>
    </row>
    <row r="1399" spans="1:19">
      <c r="A1399" s="196">
        <v>41996</v>
      </c>
      <c r="B1399" s="122">
        <v>20.190000999999999</v>
      </c>
      <c r="C1399" s="122">
        <v>20.309999000000001</v>
      </c>
      <c r="D1399" s="122">
        <v>19.870000999999998</v>
      </c>
      <c r="E1399" s="122">
        <v>20.299999</v>
      </c>
      <c r="F1399" s="122">
        <v>16.860657</v>
      </c>
      <c r="G1399" s="197">
        <v>216100</v>
      </c>
      <c r="H1399" s="198">
        <f>IF(AND(E1398&gt;=H1398,E1399&gt;=E1398),E1398*(1+'Trading Model'!$E$13),IF(AND(E1399&lt;E1398,E1398&gt;=H1398),E1399*(1+'Trading Model'!$E$13),H1398))</f>
        <v>27.698998950000004</v>
      </c>
      <c r="I1399" s="198">
        <f>IF(K1399&gt;0,E1399*(1-'Trading Model'!E1409),IF(E1399&lt;I1398,I1398*(1-'Trading Model'!$E$14),I1398))</f>
        <v>8.9840153609188427</v>
      </c>
      <c r="J1399" s="198">
        <f t="shared" si="175"/>
        <v>0</v>
      </c>
      <c r="K1399" s="198">
        <f t="shared" si="170"/>
        <v>0</v>
      </c>
      <c r="L1399" s="198">
        <f>COUNTIF(J1399:K1399,"&lt;&gt;0")*-'Trading Model'!$E$15</f>
        <v>0</v>
      </c>
      <c r="M1399" s="198">
        <f t="shared" si="168"/>
        <v>0</v>
      </c>
      <c r="N1399" s="75">
        <f t="shared" si="171"/>
        <v>45</v>
      </c>
      <c r="O1399" s="202">
        <f t="shared" si="172"/>
        <v>0</v>
      </c>
      <c r="P1399" s="199">
        <f t="shared" si="169"/>
        <v>0</v>
      </c>
      <c r="Q1399" s="203">
        <f t="shared" si="173"/>
        <v>31.800000000001589</v>
      </c>
      <c r="R1399" s="203" t="s">
        <v>55</v>
      </c>
      <c r="S1399" s="201">
        <f t="shared" si="174"/>
        <v>8.4451072252909043E-3</v>
      </c>
    </row>
    <row r="1400" spans="1:19">
      <c r="A1400" s="196">
        <v>41997</v>
      </c>
      <c r="B1400" s="122">
        <v>20.379999000000002</v>
      </c>
      <c r="C1400" s="122">
        <v>20.379999000000002</v>
      </c>
      <c r="D1400" s="122">
        <v>20.049999</v>
      </c>
      <c r="E1400" s="122">
        <v>20.27</v>
      </c>
      <c r="F1400" s="122">
        <v>16.835740999999999</v>
      </c>
      <c r="G1400" s="197">
        <v>47400</v>
      </c>
      <c r="H1400" s="198">
        <f>IF(AND(E1399&gt;=H1399,E1400&gt;=E1399),E1399*(1+'Trading Model'!$E$13),IF(AND(E1400&lt;E1399,E1399&gt;=H1399),E1400*(1+'Trading Model'!$E$13),H1399))</f>
        <v>27.698998950000004</v>
      </c>
      <c r="I1400" s="198">
        <f>IF(K1400&gt;0,E1400*(1-'Trading Model'!E1410),IF(E1400&lt;I1399,I1399*(1-'Trading Model'!$E$14),I1399))</f>
        <v>8.9840153609188427</v>
      </c>
      <c r="J1400" s="198">
        <f t="shared" si="175"/>
        <v>0</v>
      </c>
      <c r="K1400" s="198">
        <f t="shared" si="170"/>
        <v>0</v>
      </c>
      <c r="L1400" s="198">
        <f>COUNTIF(J1400:K1400,"&lt;&gt;0")*-'Trading Model'!$E$15</f>
        <v>0</v>
      </c>
      <c r="M1400" s="198">
        <f t="shared" si="168"/>
        <v>0</v>
      </c>
      <c r="N1400" s="75">
        <f t="shared" si="171"/>
        <v>45</v>
      </c>
      <c r="O1400" s="202">
        <f t="shared" si="172"/>
        <v>0</v>
      </c>
      <c r="P1400" s="199">
        <f t="shared" si="169"/>
        <v>0</v>
      </c>
      <c r="Q1400" s="203">
        <f t="shared" si="173"/>
        <v>31.700000000001587</v>
      </c>
      <c r="R1400" s="203" t="s">
        <v>55</v>
      </c>
      <c r="S1400" s="201">
        <f t="shared" si="174"/>
        <v>-1.477783324028703E-3</v>
      </c>
    </row>
    <row r="1401" spans="1:19">
      <c r="A1401" s="196">
        <v>41999</v>
      </c>
      <c r="B1401" s="122">
        <v>20.27</v>
      </c>
      <c r="C1401" s="122">
        <v>20.299999</v>
      </c>
      <c r="D1401" s="122">
        <v>20.010000000000002</v>
      </c>
      <c r="E1401" s="122">
        <v>20.27</v>
      </c>
      <c r="F1401" s="122">
        <v>16.835740999999999</v>
      </c>
      <c r="G1401" s="197">
        <v>43000</v>
      </c>
      <c r="H1401" s="198">
        <f>IF(AND(E1400&gt;=H1400,E1401&gt;=E1400),E1400*(1+'Trading Model'!$E$13),IF(AND(E1401&lt;E1400,E1400&gt;=H1400),E1401*(1+'Trading Model'!$E$13),H1400))</f>
        <v>27.698998950000004</v>
      </c>
      <c r="I1401" s="198">
        <f>IF(K1401&gt;0,E1401*(1-'Trading Model'!E1411),IF(E1401&lt;I1400,I1400*(1-'Trading Model'!$E$14),I1400))</f>
        <v>8.9840153609188427</v>
      </c>
      <c r="J1401" s="198">
        <f t="shared" si="175"/>
        <v>0</v>
      </c>
      <c r="K1401" s="198">
        <f t="shared" si="170"/>
        <v>0</v>
      </c>
      <c r="L1401" s="198">
        <f>COUNTIF(J1401:K1401,"&lt;&gt;0")*-'Trading Model'!$E$15</f>
        <v>0</v>
      </c>
      <c r="M1401" s="198">
        <f t="shared" si="168"/>
        <v>0</v>
      </c>
      <c r="N1401" s="75">
        <f t="shared" si="171"/>
        <v>45</v>
      </c>
      <c r="O1401" s="202">
        <f t="shared" si="172"/>
        <v>0</v>
      </c>
      <c r="P1401" s="199">
        <f t="shared" si="169"/>
        <v>0</v>
      </c>
      <c r="Q1401" s="203">
        <f t="shared" si="173"/>
        <v>31.700000000001587</v>
      </c>
      <c r="R1401" s="203" t="s">
        <v>55</v>
      </c>
      <c r="S1401" s="201">
        <f t="shared" si="174"/>
        <v>0</v>
      </c>
    </row>
    <row r="1402" spans="1:19">
      <c r="A1402" s="196">
        <v>42002</v>
      </c>
      <c r="B1402" s="122">
        <v>20.190000999999999</v>
      </c>
      <c r="C1402" s="122">
        <v>20.27</v>
      </c>
      <c r="D1402" s="122">
        <v>19.860001</v>
      </c>
      <c r="E1402" s="122">
        <v>20.170000000000002</v>
      </c>
      <c r="F1402" s="122">
        <v>16.752683999999999</v>
      </c>
      <c r="G1402" s="197">
        <v>181400</v>
      </c>
      <c r="H1402" s="198">
        <f>IF(AND(E1401&gt;=H1401,E1402&gt;=E1401),E1401*(1+'Trading Model'!$E$13),IF(AND(E1402&lt;E1401,E1401&gt;=H1401),E1402*(1+'Trading Model'!$E$13),H1401))</f>
        <v>27.698998950000004</v>
      </c>
      <c r="I1402" s="198">
        <f>IF(K1402&gt;0,E1402*(1-'Trading Model'!E1412),IF(E1402&lt;I1401,I1401*(1-'Trading Model'!$E$14),I1401))</f>
        <v>8.9840153609188427</v>
      </c>
      <c r="J1402" s="198">
        <f t="shared" si="175"/>
        <v>0</v>
      </c>
      <c r="K1402" s="198">
        <f t="shared" si="170"/>
        <v>0</v>
      </c>
      <c r="L1402" s="198">
        <f>COUNTIF(J1402:K1402,"&lt;&gt;0")*-'Trading Model'!$E$15</f>
        <v>0</v>
      </c>
      <c r="M1402" s="198">
        <f t="shared" si="168"/>
        <v>0</v>
      </c>
      <c r="N1402" s="75">
        <f t="shared" si="171"/>
        <v>45</v>
      </c>
      <c r="O1402" s="202">
        <f t="shared" si="172"/>
        <v>0</v>
      </c>
      <c r="P1402" s="199">
        <f t="shared" si="169"/>
        <v>0</v>
      </c>
      <c r="Q1402" s="203">
        <f t="shared" si="173"/>
        <v>31.600000000001586</v>
      </c>
      <c r="R1402" s="201">
        <f>E1402/B1398-1</f>
        <v>3.4825870646766344E-3</v>
      </c>
      <c r="S1402" s="201">
        <f t="shared" si="174"/>
        <v>-4.9333991119880904E-3</v>
      </c>
    </row>
    <row r="1403" spans="1:19">
      <c r="A1403" s="196">
        <v>42003</v>
      </c>
      <c r="B1403" s="122">
        <v>20.16</v>
      </c>
      <c r="C1403" s="122">
        <v>20.16</v>
      </c>
      <c r="D1403" s="122">
        <v>19.25</v>
      </c>
      <c r="E1403" s="122">
        <v>19.469999000000001</v>
      </c>
      <c r="F1403" s="122">
        <v>16.171282000000001</v>
      </c>
      <c r="G1403" s="197">
        <v>93100</v>
      </c>
      <c r="H1403" s="198">
        <f>IF(AND(E1402&gt;=H1402,E1403&gt;=E1402),E1402*(1+'Trading Model'!$E$13),IF(AND(E1403&lt;E1402,E1402&gt;=H1402),E1403*(1+'Trading Model'!$E$13),H1402))</f>
        <v>27.698998950000004</v>
      </c>
      <c r="I1403" s="198">
        <f>IF(K1403&gt;0,E1403*(1-'Trading Model'!E1413),IF(E1403&lt;I1402,I1402*(1-'Trading Model'!$E$14),I1402))</f>
        <v>8.9840153609188427</v>
      </c>
      <c r="J1403" s="198">
        <f t="shared" si="175"/>
        <v>0</v>
      </c>
      <c r="K1403" s="198">
        <f t="shared" si="170"/>
        <v>0</v>
      </c>
      <c r="L1403" s="198">
        <f>COUNTIF(J1403:K1403,"&lt;&gt;0")*-'Trading Model'!$E$15</f>
        <v>0</v>
      </c>
      <c r="M1403" s="198">
        <f t="shared" si="168"/>
        <v>0</v>
      </c>
      <c r="N1403" s="75">
        <f t="shared" si="171"/>
        <v>45</v>
      </c>
      <c r="O1403" s="202">
        <f t="shared" si="172"/>
        <v>0</v>
      </c>
      <c r="P1403" s="199">
        <f t="shared" si="169"/>
        <v>0</v>
      </c>
      <c r="Q1403" s="203">
        <f t="shared" si="173"/>
        <v>31.500000000001585</v>
      </c>
      <c r="R1403" s="160" t="s">
        <v>55</v>
      </c>
      <c r="S1403" s="201">
        <f t="shared" si="174"/>
        <v>-3.4705057015369412E-2</v>
      </c>
    </row>
    <row r="1404" spans="1:19">
      <c r="A1404" s="196">
        <v>42004</v>
      </c>
      <c r="B1404" s="122">
        <v>19.389999</v>
      </c>
      <c r="C1404" s="122">
        <v>19.540001</v>
      </c>
      <c r="D1404" s="122">
        <v>18.799999</v>
      </c>
      <c r="E1404" s="122">
        <v>19.350000000000001</v>
      </c>
      <c r="F1404" s="122">
        <v>16.071612999999999</v>
      </c>
      <c r="G1404" s="197">
        <v>106000</v>
      </c>
      <c r="H1404" s="198">
        <f>IF(AND(E1403&gt;=H1403,E1404&gt;=E1403),E1403*(1+'Trading Model'!$E$13),IF(AND(E1404&lt;E1403,E1403&gt;=H1403),E1404*(1+'Trading Model'!$E$13),H1403))</f>
        <v>27.698998950000004</v>
      </c>
      <c r="I1404" s="198">
        <f>IF(K1404&gt;0,E1404*(1-'Trading Model'!E1414),IF(E1404&lt;I1403,I1403*(1-'Trading Model'!$E$14),I1403))</f>
        <v>8.9840153609188427</v>
      </c>
      <c r="J1404" s="198">
        <f t="shared" si="175"/>
        <v>0</v>
      </c>
      <c r="K1404" s="198">
        <f t="shared" si="170"/>
        <v>0</v>
      </c>
      <c r="L1404" s="198">
        <f>COUNTIF(J1404:K1404,"&lt;&gt;0")*-'Trading Model'!$E$15</f>
        <v>0</v>
      </c>
      <c r="M1404" s="198">
        <f t="shared" si="168"/>
        <v>0</v>
      </c>
      <c r="N1404" s="75">
        <f t="shared" si="171"/>
        <v>45</v>
      </c>
      <c r="O1404" s="202">
        <f t="shared" si="172"/>
        <v>0</v>
      </c>
      <c r="P1404" s="199">
        <f t="shared" si="169"/>
        <v>0</v>
      </c>
      <c r="Q1404" s="203">
        <f t="shared" si="173"/>
        <v>31.400000000001583</v>
      </c>
      <c r="R1404" s="203" t="s">
        <v>55</v>
      </c>
      <c r="S1404" s="201">
        <f t="shared" si="174"/>
        <v>-6.1632771527107E-3</v>
      </c>
    </row>
    <row r="1405" spans="1:19">
      <c r="A1405" s="196">
        <v>42006</v>
      </c>
      <c r="B1405" s="122">
        <v>19.360001</v>
      </c>
      <c r="C1405" s="122">
        <v>19.360001</v>
      </c>
      <c r="D1405" s="122">
        <v>18.950001</v>
      </c>
      <c r="E1405" s="122">
        <v>18.989999999999998</v>
      </c>
      <c r="F1405" s="122">
        <v>15.772606</v>
      </c>
      <c r="G1405" s="197">
        <v>51200</v>
      </c>
      <c r="H1405" s="198">
        <f>IF(AND(E1404&gt;=H1404,E1405&gt;=E1404),E1404*(1+'Trading Model'!$E$13),IF(AND(E1405&lt;E1404,E1404&gt;=H1404),E1405*(1+'Trading Model'!$E$13),H1404))</f>
        <v>27.698998950000004</v>
      </c>
      <c r="I1405" s="198">
        <f>IF(K1405&gt;0,E1405*(1-'Trading Model'!E1415),IF(E1405&lt;I1404,I1404*(1-'Trading Model'!$E$14),I1404))</f>
        <v>8.9840153609188427</v>
      </c>
      <c r="J1405" s="198">
        <f t="shared" si="175"/>
        <v>0</v>
      </c>
      <c r="K1405" s="198">
        <f t="shared" si="170"/>
        <v>0</v>
      </c>
      <c r="L1405" s="198">
        <f>COUNTIF(J1405:K1405,"&lt;&gt;0")*-'Trading Model'!$E$15</f>
        <v>0</v>
      </c>
      <c r="M1405" s="198">
        <f t="shared" si="168"/>
        <v>0</v>
      </c>
      <c r="N1405" s="75">
        <f t="shared" si="171"/>
        <v>45</v>
      </c>
      <c r="O1405" s="202">
        <f t="shared" si="172"/>
        <v>0</v>
      </c>
      <c r="P1405" s="199">
        <f t="shared" si="169"/>
        <v>0</v>
      </c>
      <c r="Q1405" s="203">
        <f t="shared" si="173"/>
        <v>31.300000000001582</v>
      </c>
      <c r="R1405" s="203" t="s">
        <v>55</v>
      </c>
      <c r="S1405" s="201">
        <f t="shared" si="174"/>
        <v>-1.8604651162790864E-2</v>
      </c>
    </row>
    <row r="1406" spans="1:19">
      <c r="A1406" s="196">
        <v>42009</v>
      </c>
      <c r="B1406" s="122">
        <v>18.889999</v>
      </c>
      <c r="C1406" s="122">
        <v>19.059999000000001</v>
      </c>
      <c r="D1406" s="122">
        <v>18.540001</v>
      </c>
      <c r="E1406" s="122">
        <v>18.850000000000001</v>
      </c>
      <c r="F1406" s="122">
        <v>15.656326</v>
      </c>
      <c r="G1406" s="197">
        <v>38000</v>
      </c>
      <c r="H1406" s="198">
        <f>IF(AND(E1405&gt;=H1405,E1406&gt;=E1405),E1405*(1+'Trading Model'!$E$13),IF(AND(E1406&lt;E1405,E1405&gt;=H1405),E1406*(1+'Trading Model'!$E$13),H1405))</f>
        <v>27.698998950000004</v>
      </c>
      <c r="I1406" s="198">
        <f>IF(K1406&gt;0,E1406*(1-'Trading Model'!E1416),IF(E1406&lt;I1405,I1405*(1-'Trading Model'!$E$14),I1405))</f>
        <v>8.9840153609188427</v>
      </c>
      <c r="J1406" s="198">
        <f t="shared" si="175"/>
        <v>0</v>
      </c>
      <c r="K1406" s="198">
        <f t="shared" si="170"/>
        <v>0</v>
      </c>
      <c r="L1406" s="198">
        <f>COUNTIF(J1406:K1406,"&lt;&gt;0")*-'Trading Model'!$E$15</f>
        <v>0</v>
      </c>
      <c r="M1406" s="198">
        <f t="shared" si="168"/>
        <v>0</v>
      </c>
      <c r="N1406" s="75">
        <f t="shared" si="171"/>
        <v>45</v>
      </c>
      <c r="O1406" s="202">
        <f t="shared" si="172"/>
        <v>0</v>
      </c>
      <c r="P1406" s="199">
        <f t="shared" si="169"/>
        <v>0</v>
      </c>
      <c r="Q1406" s="203">
        <f t="shared" si="173"/>
        <v>31.20000000000158</v>
      </c>
      <c r="R1406" s="203" t="s">
        <v>55</v>
      </c>
      <c r="S1406" s="201">
        <f t="shared" si="174"/>
        <v>-7.3723012111636121E-3</v>
      </c>
    </row>
    <row r="1407" spans="1:19">
      <c r="A1407" s="196">
        <v>42010</v>
      </c>
      <c r="B1407" s="122">
        <v>18.950001</v>
      </c>
      <c r="C1407" s="122">
        <v>19.100000000000001</v>
      </c>
      <c r="D1407" s="122">
        <v>18.68</v>
      </c>
      <c r="E1407" s="122">
        <v>18.899999999999999</v>
      </c>
      <c r="F1407" s="122">
        <v>15.697857000000001</v>
      </c>
      <c r="G1407" s="197">
        <v>49500</v>
      </c>
      <c r="H1407" s="198">
        <f>IF(AND(E1406&gt;=H1406,E1407&gt;=E1406),E1406*(1+'Trading Model'!$E$13),IF(AND(E1407&lt;E1406,E1406&gt;=H1406),E1407*(1+'Trading Model'!$E$13),H1406))</f>
        <v>27.698998950000004</v>
      </c>
      <c r="I1407" s="198">
        <f>IF(K1407&gt;0,E1407*(1-'Trading Model'!E1417),IF(E1407&lt;I1406,I1406*(1-'Trading Model'!$E$14),I1406))</f>
        <v>8.9840153609188427</v>
      </c>
      <c r="J1407" s="198">
        <f t="shared" si="175"/>
        <v>0</v>
      </c>
      <c r="K1407" s="198">
        <f t="shared" si="170"/>
        <v>0</v>
      </c>
      <c r="L1407" s="198">
        <f>COUNTIF(J1407:K1407,"&lt;&gt;0")*-'Trading Model'!$E$15</f>
        <v>0</v>
      </c>
      <c r="M1407" s="198">
        <f t="shared" si="168"/>
        <v>0</v>
      </c>
      <c r="N1407" s="75">
        <f t="shared" si="171"/>
        <v>45</v>
      </c>
      <c r="O1407" s="202">
        <f t="shared" si="172"/>
        <v>0</v>
      </c>
      <c r="P1407" s="199">
        <f t="shared" si="169"/>
        <v>0</v>
      </c>
      <c r="Q1407" s="203">
        <f t="shared" si="173"/>
        <v>31.20000000000158</v>
      </c>
      <c r="R1407" s="201">
        <f>E1407/B1403-1</f>
        <v>-6.2500000000000111E-2</v>
      </c>
      <c r="S1407" s="201">
        <f t="shared" si="174"/>
        <v>2.6525198938991412E-3</v>
      </c>
    </row>
    <row r="1408" spans="1:19">
      <c r="A1408" s="196">
        <v>42011</v>
      </c>
      <c r="B1408" s="122">
        <v>19.120000999999998</v>
      </c>
      <c r="C1408" s="122">
        <v>19.280000999999999</v>
      </c>
      <c r="D1408" s="122">
        <v>18.75</v>
      </c>
      <c r="E1408" s="122">
        <v>19.200001</v>
      </c>
      <c r="F1408" s="122">
        <v>15.947029000000001</v>
      </c>
      <c r="G1408" s="197">
        <v>79800</v>
      </c>
      <c r="H1408" s="198">
        <f>IF(AND(E1407&gt;=H1407,E1408&gt;=E1407),E1407*(1+'Trading Model'!$E$13),IF(AND(E1408&lt;E1407,E1407&gt;=H1407),E1408*(1+'Trading Model'!$E$13),H1407))</f>
        <v>27.698998950000004</v>
      </c>
      <c r="I1408" s="198">
        <f>IF(K1408&gt;0,E1408*(1-'Trading Model'!E1418),IF(E1408&lt;I1407,I1407*(1-'Trading Model'!$E$14),I1407))</f>
        <v>8.9840153609188427</v>
      </c>
      <c r="J1408" s="198">
        <f t="shared" si="175"/>
        <v>0</v>
      </c>
      <c r="K1408" s="198">
        <f t="shared" si="170"/>
        <v>0</v>
      </c>
      <c r="L1408" s="198">
        <f>COUNTIF(J1408:K1408,"&lt;&gt;0")*-'Trading Model'!$E$15</f>
        <v>0</v>
      </c>
      <c r="M1408" s="198">
        <f t="shared" si="168"/>
        <v>0</v>
      </c>
      <c r="N1408" s="75">
        <f t="shared" si="171"/>
        <v>45</v>
      </c>
      <c r="O1408" s="202">
        <f t="shared" si="172"/>
        <v>0</v>
      </c>
      <c r="P1408" s="199">
        <f t="shared" si="169"/>
        <v>0</v>
      </c>
      <c r="Q1408" s="203">
        <f t="shared" si="173"/>
        <v>31.20000000000158</v>
      </c>
      <c r="R1408" s="160" t="s">
        <v>55</v>
      </c>
      <c r="S1408" s="201">
        <f t="shared" si="174"/>
        <v>1.5873068783068822E-2</v>
      </c>
    </row>
    <row r="1409" spans="1:19">
      <c r="A1409" s="196">
        <v>42012</v>
      </c>
      <c r="B1409" s="122">
        <v>19.34</v>
      </c>
      <c r="C1409" s="122">
        <v>19.68</v>
      </c>
      <c r="D1409" s="122">
        <v>19.129999000000002</v>
      </c>
      <c r="E1409" s="122">
        <v>19.350000000000001</v>
      </c>
      <c r="F1409" s="122">
        <v>16.071612999999999</v>
      </c>
      <c r="G1409" s="197">
        <v>64400</v>
      </c>
      <c r="H1409" s="198">
        <f>IF(AND(E1408&gt;=H1408,E1409&gt;=E1408),E1408*(1+'Trading Model'!$E$13),IF(AND(E1409&lt;E1408,E1408&gt;=H1408),E1409*(1+'Trading Model'!$E$13),H1408))</f>
        <v>27.698998950000004</v>
      </c>
      <c r="I1409" s="198">
        <f>IF(K1409&gt;0,E1409*(1-'Trading Model'!E1419),IF(E1409&lt;I1408,I1408*(1-'Trading Model'!$E$14),I1408))</f>
        <v>8.9840153609188427</v>
      </c>
      <c r="J1409" s="198">
        <f t="shared" si="175"/>
        <v>0</v>
      </c>
      <c r="K1409" s="198">
        <f t="shared" si="170"/>
        <v>0</v>
      </c>
      <c r="L1409" s="198">
        <f>COUNTIF(J1409:K1409,"&lt;&gt;0")*-'Trading Model'!$E$15</f>
        <v>0</v>
      </c>
      <c r="M1409" s="198">
        <f t="shared" si="168"/>
        <v>0</v>
      </c>
      <c r="N1409" s="75">
        <f t="shared" si="171"/>
        <v>45</v>
      </c>
      <c r="O1409" s="202">
        <f t="shared" si="172"/>
        <v>0</v>
      </c>
      <c r="P1409" s="199">
        <f t="shared" si="169"/>
        <v>0</v>
      </c>
      <c r="Q1409" s="203">
        <f t="shared" si="173"/>
        <v>31.20000000000158</v>
      </c>
      <c r="R1409" s="203" t="s">
        <v>55</v>
      </c>
      <c r="S1409" s="201">
        <f t="shared" si="174"/>
        <v>7.8124475097685053E-3</v>
      </c>
    </row>
    <row r="1410" spans="1:19">
      <c r="A1410" s="196">
        <v>42013</v>
      </c>
      <c r="B1410" s="122">
        <v>19.280000999999999</v>
      </c>
      <c r="C1410" s="122">
        <v>19.379999000000002</v>
      </c>
      <c r="D1410" s="122">
        <v>18.950001</v>
      </c>
      <c r="E1410" s="122">
        <v>19.120000999999998</v>
      </c>
      <c r="F1410" s="122">
        <v>15.880582</v>
      </c>
      <c r="G1410" s="197">
        <v>74400</v>
      </c>
      <c r="H1410" s="198">
        <f>IF(AND(E1409&gt;=H1409,E1410&gt;=E1409),E1409*(1+'Trading Model'!$E$13),IF(AND(E1410&lt;E1409,E1409&gt;=H1409),E1410*(1+'Trading Model'!$E$13),H1409))</f>
        <v>27.698998950000004</v>
      </c>
      <c r="I1410" s="198">
        <f>IF(K1410&gt;0,E1410*(1-'Trading Model'!E1420),IF(E1410&lt;I1409,I1409*(1-'Trading Model'!$E$14),I1409))</f>
        <v>8.9840153609188427</v>
      </c>
      <c r="J1410" s="198">
        <f t="shared" si="175"/>
        <v>0</v>
      </c>
      <c r="K1410" s="198">
        <f t="shared" si="170"/>
        <v>0</v>
      </c>
      <c r="L1410" s="198">
        <f>COUNTIF(J1410:K1410,"&lt;&gt;0")*-'Trading Model'!$E$15</f>
        <v>0</v>
      </c>
      <c r="M1410" s="198">
        <f t="shared" si="168"/>
        <v>0</v>
      </c>
      <c r="N1410" s="75">
        <f t="shared" si="171"/>
        <v>45</v>
      </c>
      <c r="O1410" s="202">
        <f t="shared" si="172"/>
        <v>0</v>
      </c>
      <c r="P1410" s="199">
        <f t="shared" si="169"/>
        <v>0</v>
      </c>
      <c r="Q1410" s="203">
        <f t="shared" si="173"/>
        <v>31.100000000001579</v>
      </c>
      <c r="R1410" s="203" t="s">
        <v>55</v>
      </c>
      <c r="S1410" s="201">
        <f t="shared" si="174"/>
        <v>-1.1886253229974275E-2</v>
      </c>
    </row>
    <row r="1411" spans="1:19">
      <c r="A1411" s="196">
        <v>42016</v>
      </c>
      <c r="B1411" s="122">
        <v>19</v>
      </c>
      <c r="C1411" s="122">
        <v>19.100000000000001</v>
      </c>
      <c r="D1411" s="122">
        <v>18.510000000000002</v>
      </c>
      <c r="E1411" s="122">
        <v>19</v>
      </c>
      <c r="F1411" s="122">
        <v>15.780912000000001</v>
      </c>
      <c r="G1411" s="197">
        <v>116500</v>
      </c>
      <c r="H1411" s="198">
        <f>IF(AND(E1410&gt;=H1410,E1411&gt;=E1410),E1410*(1+'Trading Model'!$E$13),IF(AND(E1411&lt;E1410,E1410&gt;=H1410),E1411*(1+'Trading Model'!$E$13),H1410))</f>
        <v>27.698998950000004</v>
      </c>
      <c r="I1411" s="198">
        <f>IF(K1411&gt;0,E1411*(1-'Trading Model'!E1421),IF(E1411&lt;I1410,I1410*(1-'Trading Model'!$E$14),I1410))</f>
        <v>8.9840153609188427</v>
      </c>
      <c r="J1411" s="198">
        <f t="shared" si="175"/>
        <v>0</v>
      </c>
      <c r="K1411" s="198">
        <f t="shared" si="170"/>
        <v>0</v>
      </c>
      <c r="L1411" s="198">
        <f>COUNTIF(J1411:K1411,"&lt;&gt;0")*-'Trading Model'!$E$15</f>
        <v>0</v>
      </c>
      <c r="M1411" s="198">
        <f t="shared" ref="M1411:M1474" si="176">SUM(J1411:L1411)</f>
        <v>0</v>
      </c>
      <c r="N1411" s="75">
        <f t="shared" si="171"/>
        <v>45</v>
      </c>
      <c r="O1411" s="202">
        <f t="shared" si="172"/>
        <v>0</v>
      </c>
      <c r="P1411" s="199">
        <f t="shared" ref="P1411:P1474" si="177">IFERROR(VLOOKUP(A1411,Dividends,2,FALSE),$U$1)</f>
        <v>0</v>
      </c>
      <c r="Q1411" s="203">
        <f t="shared" si="173"/>
        <v>31.000000000001577</v>
      </c>
      <c r="R1411" s="203" t="s">
        <v>55</v>
      </c>
      <c r="S1411" s="201">
        <f t="shared" si="174"/>
        <v>-6.2762026006168981E-3</v>
      </c>
    </row>
    <row r="1412" spans="1:19">
      <c r="A1412" s="196">
        <v>42017</v>
      </c>
      <c r="B1412" s="122">
        <v>19.200001</v>
      </c>
      <c r="C1412" s="122">
        <v>19.700001</v>
      </c>
      <c r="D1412" s="122">
        <v>18.68</v>
      </c>
      <c r="E1412" s="122">
        <v>19.600000000000001</v>
      </c>
      <c r="F1412" s="122">
        <v>16.279259</v>
      </c>
      <c r="G1412" s="197">
        <v>136500</v>
      </c>
      <c r="H1412" s="198">
        <f>IF(AND(E1411&gt;=H1411,E1412&gt;=E1411),E1411*(1+'Trading Model'!$E$13),IF(AND(E1412&lt;E1411,E1411&gt;=H1411),E1412*(1+'Trading Model'!$E$13),H1411))</f>
        <v>27.698998950000004</v>
      </c>
      <c r="I1412" s="198">
        <f>IF(K1412&gt;0,E1412*(1-'Trading Model'!E1422),IF(E1412&lt;I1411,I1411*(1-'Trading Model'!$E$14),I1411))</f>
        <v>8.9840153609188427</v>
      </c>
      <c r="J1412" s="198">
        <f t="shared" si="175"/>
        <v>0</v>
      </c>
      <c r="K1412" s="198">
        <f t="shared" ref="K1412:K1475" si="178">IF(E1412&gt;=H1412,E1412,0)</f>
        <v>0</v>
      </c>
      <c r="L1412" s="198">
        <f>COUNTIF(J1412:K1412,"&lt;&gt;0")*-'Trading Model'!$E$15</f>
        <v>0</v>
      </c>
      <c r="M1412" s="198">
        <f t="shared" si="176"/>
        <v>0</v>
      </c>
      <c r="N1412" s="75">
        <f t="shared" ref="N1412:N1475" si="179">IF(AND(J1412&lt;0,K1412&gt;0),N1411,(IF(J1412&lt;0,N1411+1,IF(K1412&gt;0,N1411+1,N1411))))</f>
        <v>45</v>
      </c>
      <c r="O1412" s="202">
        <f t="shared" ref="O1412:O1475" si="180">P1412</f>
        <v>0</v>
      </c>
      <c r="P1412" s="199">
        <f t="shared" si="177"/>
        <v>0</v>
      </c>
      <c r="Q1412" s="203">
        <f t="shared" ref="Q1412:Q1475" si="181">IF(E1412&lt;E1411,Q1411-0.1,Q1411)</f>
        <v>31.000000000001577</v>
      </c>
      <c r="R1412" s="201">
        <f>E1412/B1408-1</f>
        <v>2.5104548896205836E-2</v>
      </c>
      <c r="S1412" s="201">
        <f t="shared" ref="S1412:S1475" si="182">E1412/E1411-1</f>
        <v>3.1578947368421151E-2</v>
      </c>
    </row>
    <row r="1413" spans="1:19">
      <c r="A1413" s="196">
        <v>42018</v>
      </c>
      <c r="B1413" s="122">
        <v>19.379999000000002</v>
      </c>
      <c r="C1413" s="122">
        <v>19.709999</v>
      </c>
      <c r="D1413" s="122">
        <v>19.219999000000001</v>
      </c>
      <c r="E1413" s="122">
        <v>19.629999000000002</v>
      </c>
      <c r="F1413" s="122">
        <v>16.304172999999999</v>
      </c>
      <c r="G1413" s="197">
        <v>76200</v>
      </c>
      <c r="H1413" s="198">
        <f>IF(AND(E1412&gt;=H1412,E1413&gt;=E1412),E1412*(1+'Trading Model'!$E$13),IF(AND(E1413&lt;E1412,E1412&gt;=H1412),E1413*(1+'Trading Model'!$E$13),H1412))</f>
        <v>27.698998950000004</v>
      </c>
      <c r="I1413" s="198">
        <f>IF(K1413&gt;0,E1413*(1-'Trading Model'!E1423),IF(E1413&lt;I1412,I1412*(1-'Trading Model'!$E$14),I1412))</f>
        <v>8.9840153609188427</v>
      </c>
      <c r="J1413" s="198">
        <f t="shared" ref="J1413:J1476" si="183">IF(E1413&gt;=H1413,-E1413,IF(E1413&lt;=I1412,-E1413,0))</f>
        <v>0</v>
      </c>
      <c r="K1413" s="198">
        <f t="shared" si="178"/>
        <v>0</v>
      </c>
      <c r="L1413" s="198">
        <f>COUNTIF(J1413:K1413,"&lt;&gt;0")*-'Trading Model'!$E$15</f>
        <v>0</v>
      </c>
      <c r="M1413" s="198">
        <f t="shared" si="176"/>
        <v>0</v>
      </c>
      <c r="N1413" s="75">
        <f t="shared" si="179"/>
        <v>45</v>
      </c>
      <c r="O1413" s="202">
        <f t="shared" si="180"/>
        <v>0</v>
      </c>
      <c r="P1413" s="199">
        <f t="shared" si="177"/>
        <v>0</v>
      </c>
      <c r="Q1413" s="203">
        <f t="shared" si="181"/>
        <v>31.000000000001577</v>
      </c>
      <c r="R1413" s="160" t="s">
        <v>55</v>
      </c>
      <c r="S1413" s="201">
        <f t="shared" si="182"/>
        <v>1.5305612244898015E-3</v>
      </c>
    </row>
    <row r="1414" spans="1:19">
      <c r="A1414" s="196">
        <v>42019</v>
      </c>
      <c r="B1414" s="122">
        <v>19.75</v>
      </c>
      <c r="C1414" s="122">
        <v>19.82</v>
      </c>
      <c r="D1414" s="122">
        <v>19.200001</v>
      </c>
      <c r="E1414" s="122">
        <v>19.639999</v>
      </c>
      <c r="F1414" s="122">
        <v>16.312479</v>
      </c>
      <c r="G1414" s="197">
        <v>48800</v>
      </c>
      <c r="H1414" s="198">
        <f>IF(AND(E1413&gt;=H1413,E1414&gt;=E1413),E1413*(1+'Trading Model'!$E$13),IF(AND(E1414&lt;E1413,E1413&gt;=H1413),E1414*(1+'Trading Model'!$E$13),H1413))</f>
        <v>27.698998950000004</v>
      </c>
      <c r="I1414" s="198">
        <f>IF(K1414&gt;0,E1414*(1-'Trading Model'!E1424),IF(E1414&lt;I1413,I1413*(1-'Trading Model'!$E$14),I1413))</f>
        <v>8.9840153609188427</v>
      </c>
      <c r="J1414" s="198">
        <f t="shared" si="183"/>
        <v>0</v>
      </c>
      <c r="K1414" s="198">
        <f t="shared" si="178"/>
        <v>0</v>
      </c>
      <c r="L1414" s="198">
        <f>COUNTIF(J1414:K1414,"&lt;&gt;0")*-'Trading Model'!$E$15</f>
        <v>0</v>
      </c>
      <c r="M1414" s="198">
        <f t="shared" si="176"/>
        <v>0</v>
      </c>
      <c r="N1414" s="75">
        <f t="shared" si="179"/>
        <v>45</v>
      </c>
      <c r="O1414" s="202">
        <f t="shared" si="180"/>
        <v>0</v>
      </c>
      <c r="P1414" s="199">
        <f t="shared" si="177"/>
        <v>0</v>
      </c>
      <c r="Q1414" s="203">
        <f t="shared" si="181"/>
        <v>31.000000000001577</v>
      </c>
      <c r="R1414" s="203" t="s">
        <v>55</v>
      </c>
      <c r="S1414" s="201">
        <f t="shared" si="182"/>
        <v>5.0942437643519689E-4</v>
      </c>
    </row>
    <row r="1415" spans="1:19">
      <c r="A1415" s="196">
        <v>42020</v>
      </c>
      <c r="B1415" s="122">
        <v>19.790001</v>
      </c>
      <c r="C1415" s="122">
        <v>19.920000000000002</v>
      </c>
      <c r="D1415" s="122">
        <v>19.260000000000002</v>
      </c>
      <c r="E1415" s="122">
        <v>19.57</v>
      </c>
      <c r="F1415" s="122">
        <v>16.254339000000002</v>
      </c>
      <c r="G1415" s="197">
        <v>44000</v>
      </c>
      <c r="H1415" s="198">
        <f>IF(AND(E1414&gt;=H1414,E1415&gt;=E1414),E1414*(1+'Trading Model'!$E$13),IF(AND(E1415&lt;E1414,E1414&gt;=H1414),E1415*(1+'Trading Model'!$E$13),H1414))</f>
        <v>27.698998950000004</v>
      </c>
      <c r="I1415" s="198">
        <f>IF(K1415&gt;0,E1415*(1-'Trading Model'!E1425),IF(E1415&lt;I1414,I1414*(1-'Trading Model'!$E$14),I1414))</f>
        <v>8.9840153609188427</v>
      </c>
      <c r="J1415" s="198">
        <f t="shared" si="183"/>
        <v>0</v>
      </c>
      <c r="K1415" s="198">
        <f t="shared" si="178"/>
        <v>0</v>
      </c>
      <c r="L1415" s="198">
        <f>COUNTIF(J1415:K1415,"&lt;&gt;0")*-'Trading Model'!$E$15</f>
        <v>0</v>
      </c>
      <c r="M1415" s="198">
        <f t="shared" si="176"/>
        <v>0</v>
      </c>
      <c r="N1415" s="75">
        <f t="shared" si="179"/>
        <v>45</v>
      </c>
      <c r="O1415" s="202">
        <f t="shared" si="180"/>
        <v>0</v>
      </c>
      <c r="P1415" s="199">
        <f t="shared" si="177"/>
        <v>0</v>
      </c>
      <c r="Q1415" s="203">
        <f t="shared" si="181"/>
        <v>30.900000000001576</v>
      </c>
      <c r="R1415" s="203" t="s">
        <v>55</v>
      </c>
      <c r="S1415" s="201">
        <f t="shared" si="182"/>
        <v>-3.5641040511253941E-3</v>
      </c>
    </row>
    <row r="1416" spans="1:19">
      <c r="A1416" s="196">
        <v>42024</v>
      </c>
      <c r="B1416" s="122">
        <v>19.5</v>
      </c>
      <c r="C1416" s="122">
        <v>19.700001</v>
      </c>
      <c r="D1416" s="122">
        <v>19.09</v>
      </c>
      <c r="E1416" s="122">
        <v>19.68</v>
      </c>
      <c r="F1416" s="122">
        <v>16.345700999999998</v>
      </c>
      <c r="G1416" s="197">
        <v>96000</v>
      </c>
      <c r="H1416" s="198">
        <f>IF(AND(E1415&gt;=H1415,E1416&gt;=E1415),E1415*(1+'Trading Model'!$E$13),IF(AND(E1416&lt;E1415,E1415&gt;=H1415),E1416*(1+'Trading Model'!$E$13),H1415))</f>
        <v>27.698998950000004</v>
      </c>
      <c r="I1416" s="198">
        <f>IF(K1416&gt;0,E1416*(1-'Trading Model'!E1426),IF(E1416&lt;I1415,I1415*(1-'Trading Model'!$E$14),I1415))</f>
        <v>8.9840153609188427</v>
      </c>
      <c r="J1416" s="198">
        <f t="shared" si="183"/>
        <v>0</v>
      </c>
      <c r="K1416" s="198">
        <f t="shared" si="178"/>
        <v>0</v>
      </c>
      <c r="L1416" s="198">
        <f>COUNTIF(J1416:K1416,"&lt;&gt;0")*-'Trading Model'!$E$15</f>
        <v>0</v>
      </c>
      <c r="M1416" s="198">
        <f t="shared" si="176"/>
        <v>0</v>
      </c>
      <c r="N1416" s="75">
        <f t="shared" si="179"/>
        <v>45</v>
      </c>
      <c r="O1416" s="202">
        <f t="shared" si="180"/>
        <v>0</v>
      </c>
      <c r="P1416" s="199">
        <f t="shared" si="177"/>
        <v>0</v>
      </c>
      <c r="Q1416" s="203">
        <f t="shared" si="181"/>
        <v>30.900000000001576</v>
      </c>
      <c r="R1416" s="203" t="s">
        <v>55</v>
      </c>
      <c r="S1416" s="201">
        <f t="shared" si="182"/>
        <v>5.6208482370976309E-3</v>
      </c>
    </row>
    <row r="1417" spans="1:19">
      <c r="A1417" s="196">
        <v>42025</v>
      </c>
      <c r="B1417" s="122">
        <v>19.700001</v>
      </c>
      <c r="C1417" s="122">
        <v>20.709999</v>
      </c>
      <c r="D1417" s="122">
        <v>19.579999999999998</v>
      </c>
      <c r="E1417" s="122">
        <v>20.530000999999999</v>
      </c>
      <c r="F1417" s="122">
        <v>17.051691000000002</v>
      </c>
      <c r="G1417" s="197">
        <v>309000</v>
      </c>
      <c r="H1417" s="198">
        <f>IF(AND(E1416&gt;=H1416,E1417&gt;=E1416),E1416*(1+'Trading Model'!$E$13),IF(AND(E1417&lt;E1416,E1416&gt;=H1416),E1417*(1+'Trading Model'!$E$13),H1416))</f>
        <v>27.698998950000004</v>
      </c>
      <c r="I1417" s="198">
        <f>IF(K1417&gt;0,E1417*(1-'Trading Model'!E1427),IF(E1417&lt;I1416,I1416*(1-'Trading Model'!$E$14),I1416))</f>
        <v>8.9840153609188427</v>
      </c>
      <c r="J1417" s="198">
        <f t="shared" si="183"/>
        <v>0</v>
      </c>
      <c r="K1417" s="198">
        <f t="shared" si="178"/>
        <v>0</v>
      </c>
      <c r="L1417" s="198">
        <f>COUNTIF(J1417:K1417,"&lt;&gt;0")*-'Trading Model'!$E$15</f>
        <v>0</v>
      </c>
      <c r="M1417" s="198">
        <f t="shared" si="176"/>
        <v>0</v>
      </c>
      <c r="N1417" s="75">
        <f t="shared" si="179"/>
        <v>45</v>
      </c>
      <c r="O1417" s="202">
        <f t="shared" si="180"/>
        <v>0</v>
      </c>
      <c r="P1417" s="199">
        <f t="shared" si="177"/>
        <v>0</v>
      </c>
      <c r="Q1417" s="203">
        <f t="shared" si="181"/>
        <v>30.900000000001576</v>
      </c>
      <c r="R1417" s="201">
        <f>E1417/B1413-1</f>
        <v>5.9339631544872429E-2</v>
      </c>
      <c r="S1417" s="201">
        <f t="shared" si="182"/>
        <v>4.3191107723577149E-2</v>
      </c>
    </row>
    <row r="1418" spans="1:19">
      <c r="A1418" s="196">
        <v>42026</v>
      </c>
      <c r="B1418" s="122">
        <v>20.66</v>
      </c>
      <c r="C1418" s="122">
        <v>20.790001</v>
      </c>
      <c r="D1418" s="122">
        <v>20.51</v>
      </c>
      <c r="E1418" s="122">
        <v>20.57</v>
      </c>
      <c r="F1418" s="122">
        <v>17.084911000000002</v>
      </c>
      <c r="G1418" s="197">
        <v>118000</v>
      </c>
      <c r="H1418" s="198">
        <f>IF(AND(E1417&gt;=H1417,E1418&gt;=E1417),E1417*(1+'Trading Model'!$E$13),IF(AND(E1418&lt;E1417,E1417&gt;=H1417),E1418*(1+'Trading Model'!$E$13),H1417))</f>
        <v>27.698998950000004</v>
      </c>
      <c r="I1418" s="198">
        <f>IF(K1418&gt;0,E1418*(1-'Trading Model'!E1428),IF(E1418&lt;I1417,I1417*(1-'Trading Model'!$E$14),I1417))</f>
        <v>8.9840153609188427</v>
      </c>
      <c r="J1418" s="198">
        <f t="shared" si="183"/>
        <v>0</v>
      </c>
      <c r="K1418" s="198">
        <f t="shared" si="178"/>
        <v>0</v>
      </c>
      <c r="L1418" s="198">
        <f>COUNTIF(J1418:K1418,"&lt;&gt;0")*-'Trading Model'!$E$15</f>
        <v>0</v>
      </c>
      <c r="M1418" s="198">
        <f t="shared" si="176"/>
        <v>0</v>
      </c>
      <c r="N1418" s="75">
        <f t="shared" si="179"/>
        <v>45</v>
      </c>
      <c r="O1418" s="202">
        <f t="shared" si="180"/>
        <v>0</v>
      </c>
      <c r="P1418" s="199">
        <f t="shared" si="177"/>
        <v>0</v>
      </c>
      <c r="Q1418" s="203">
        <f t="shared" si="181"/>
        <v>30.900000000001576</v>
      </c>
      <c r="R1418" s="160" t="s">
        <v>55</v>
      </c>
      <c r="S1418" s="201">
        <f t="shared" si="182"/>
        <v>1.9483194374905199E-3</v>
      </c>
    </row>
    <row r="1419" spans="1:19">
      <c r="A1419" s="196">
        <v>42027</v>
      </c>
      <c r="B1419" s="122">
        <v>20.639999</v>
      </c>
      <c r="C1419" s="122">
        <v>21</v>
      </c>
      <c r="D1419" s="122">
        <v>20.239999999999998</v>
      </c>
      <c r="E1419" s="122">
        <v>20.76</v>
      </c>
      <c r="F1419" s="122">
        <v>17.242722000000001</v>
      </c>
      <c r="G1419" s="197">
        <v>93200</v>
      </c>
      <c r="H1419" s="198">
        <f>IF(AND(E1418&gt;=H1418,E1419&gt;=E1418),E1418*(1+'Trading Model'!$E$13),IF(AND(E1419&lt;E1418,E1418&gt;=H1418),E1419*(1+'Trading Model'!$E$13),H1418))</f>
        <v>27.698998950000004</v>
      </c>
      <c r="I1419" s="198">
        <f>IF(K1419&gt;0,E1419*(1-'Trading Model'!E1429),IF(E1419&lt;I1418,I1418*(1-'Trading Model'!$E$14),I1418))</f>
        <v>8.9840153609188427</v>
      </c>
      <c r="J1419" s="198">
        <f t="shared" si="183"/>
        <v>0</v>
      </c>
      <c r="K1419" s="198">
        <f t="shared" si="178"/>
        <v>0</v>
      </c>
      <c r="L1419" s="198">
        <f>COUNTIF(J1419:K1419,"&lt;&gt;0")*-'Trading Model'!$E$15</f>
        <v>0</v>
      </c>
      <c r="M1419" s="198">
        <f t="shared" si="176"/>
        <v>0</v>
      </c>
      <c r="N1419" s="75">
        <f t="shared" si="179"/>
        <v>45</v>
      </c>
      <c r="O1419" s="202">
        <f t="shared" si="180"/>
        <v>0</v>
      </c>
      <c r="P1419" s="199">
        <f t="shared" si="177"/>
        <v>0</v>
      </c>
      <c r="Q1419" s="203">
        <f t="shared" si="181"/>
        <v>30.900000000001576</v>
      </c>
      <c r="R1419" s="203" t="s">
        <v>55</v>
      </c>
      <c r="S1419" s="201">
        <f t="shared" si="182"/>
        <v>9.2367525522605298E-3</v>
      </c>
    </row>
    <row r="1420" spans="1:19">
      <c r="A1420" s="196">
        <v>42030</v>
      </c>
      <c r="B1420" s="122">
        <v>20.719999000000001</v>
      </c>
      <c r="C1420" s="122">
        <v>20.75</v>
      </c>
      <c r="D1420" s="122">
        <v>20.450001</v>
      </c>
      <c r="E1420" s="122">
        <v>20.51</v>
      </c>
      <c r="F1420" s="122">
        <v>17.035077999999999</v>
      </c>
      <c r="G1420" s="197">
        <v>69500</v>
      </c>
      <c r="H1420" s="198">
        <f>IF(AND(E1419&gt;=H1419,E1420&gt;=E1419),E1419*(1+'Trading Model'!$E$13),IF(AND(E1420&lt;E1419,E1419&gt;=H1419),E1420*(1+'Trading Model'!$E$13),H1419))</f>
        <v>27.698998950000004</v>
      </c>
      <c r="I1420" s="198">
        <f>IF(K1420&gt;0,E1420*(1-'Trading Model'!E1430),IF(E1420&lt;I1419,I1419*(1-'Trading Model'!$E$14),I1419))</f>
        <v>8.9840153609188427</v>
      </c>
      <c r="J1420" s="198">
        <f t="shared" si="183"/>
        <v>0</v>
      </c>
      <c r="K1420" s="198">
        <f t="shared" si="178"/>
        <v>0</v>
      </c>
      <c r="L1420" s="198">
        <f>COUNTIF(J1420:K1420,"&lt;&gt;0")*-'Trading Model'!$E$15</f>
        <v>0</v>
      </c>
      <c r="M1420" s="198">
        <f t="shared" si="176"/>
        <v>0</v>
      </c>
      <c r="N1420" s="75">
        <f t="shared" si="179"/>
        <v>45</v>
      </c>
      <c r="O1420" s="202">
        <f t="shared" si="180"/>
        <v>0</v>
      </c>
      <c r="P1420" s="199">
        <f t="shared" si="177"/>
        <v>0</v>
      </c>
      <c r="Q1420" s="203">
        <f t="shared" si="181"/>
        <v>30.800000000001575</v>
      </c>
      <c r="R1420" s="203" t="s">
        <v>55</v>
      </c>
      <c r="S1420" s="201">
        <f t="shared" si="182"/>
        <v>-1.2042389210019322E-2</v>
      </c>
    </row>
    <row r="1421" spans="1:19">
      <c r="A1421" s="196">
        <v>42031</v>
      </c>
      <c r="B1421" s="122">
        <v>20.27</v>
      </c>
      <c r="C1421" s="122">
        <v>20.559999000000001</v>
      </c>
      <c r="D1421" s="122">
        <v>20.02</v>
      </c>
      <c r="E1421" s="122">
        <v>20.469999000000001</v>
      </c>
      <c r="F1421" s="122">
        <v>17.001856</v>
      </c>
      <c r="G1421" s="197">
        <v>29800</v>
      </c>
      <c r="H1421" s="198">
        <f>IF(AND(E1420&gt;=H1420,E1421&gt;=E1420),E1420*(1+'Trading Model'!$E$13),IF(AND(E1421&lt;E1420,E1420&gt;=H1420),E1421*(1+'Trading Model'!$E$13),H1420))</f>
        <v>27.698998950000004</v>
      </c>
      <c r="I1421" s="198">
        <f>IF(K1421&gt;0,E1421*(1-'Trading Model'!E1431),IF(E1421&lt;I1420,I1420*(1-'Trading Model'!$E$14),I1420))</f>
        <v>8.9840153609188427</v>
      </c>
      <c r="J1421" s="198">
        <f t="shared" si="183"/>
        <v>0</v>
      </c>
      <c r="K1421" s="198">
        <f t="shared" si="178"/>
        <v>0</v>
      </c>
      <c r="L1421" s="198">
        <f>COUNTIF(J1421:K1421,"&lt;&gt;0")*-'Trading Model'!$E$15</f>
        <v>0</v>
      </c>
      <c r="M1421" s="198">
        <f t="shared" si="176"/>
        <v>0</v>
      </c>
      <c r="N1421" s="75">
        <f t="shared" si="179"/>
        <v>45</v>
      </c>
      <c r="O1421" s="202">
        <f t="shared" si="180"/>
        <v>0</v>
      </c>
      <c r="P1421" s="199">
        <f t="shared" si="177"/>
        <v>0</v>
      </c>
      <c r="Q1421" s="203">
        <f t="shared" si="181"/>
        <v>30.700000000001573</v>
      </c>
      <c r="R1421" s="203" t="s">
        <v>55</v>
      </c>
      <c r="S1421" s="201">
        <f t="shared" si="182"/>
        <v>-1.9503169185762781E-3</v>
      </c>
    </row>
    <row r="1422" spans="1:19">
      <c r="A1422" s="196">
        <v>42032</v>
      </c>
      <c r="B1422" s="122">
        <v>20.459999</v>
      </c>
      <c r="C1422" s="122">
        <v>20.99</v>
      </c>
      <c r="D1422" s="122">
        <v>19.489999999999998</v>
      </c>
      <c r="E1422" s="122">
        <v>19.540001</v>
      </c>
      <c r="F1422" s="122">
        <v>16.229424000000002</v>
      </c>
      <c r="G1422" s="197">
        <v>71800</v>
      </c>
      <c r="H1422" s="198">
        <f>IF(AND(E1421&gt;=H1421,E1422&gt;=E1421),E1421*(1+'Trading Model'!$E$13),IF(AND(E1422&lt;E1421,E1421&gt;=H1421),E1422*(1+'Trading Model'!$E$13),H1421))</f>
        <v>27.698998950000004</v>
      </c>
      <c r="I1422" s="198">
        <f>IF(K1422&gt;0,E1422*(1-'Trading Model'!E1432),IF(E1422&lt;I1421,I1421*(1-'Trading Model'!$E$14),I1421))</f>
        <v>8.9840153609188427</v>
      </c>
      <c r="J1422" s="198">
        <f t="shared" si="183"/>
        <v>0</v>
      </c>
      <c r="K1422" s="198">
        <f t="shared" si="178"/>
        <v>0</v>
      </c>
      <c r="L1422" s="198">
        <f>COUNTIF(J1422:K1422,"&lt;&gt;0")*-'Trading Model'!$E$15</f>
        <v>0</v>
      </c>
      <c r="M1422" s="198">
        <f t="shared" si="176"/>
        <v>0</v>
      </c>
      <c r="N1422" s="75">
        <f t="shared" si="179"/>
        <v>45</v>
      </c>
      <c r="O1422" s="202">
        <f t="shared" si="180"/>
        <v>0</v>
      </c>
      <c r="P1422" s="199">
        <f t="shared" si="177"/>
        <v>0</v>
      </c>
      <c r="Q1422" s="203">
        <f t="shared" si="181"/>
        <v>30.600000000001572</v>
      </c>
      <c r="R1422" s="201">
        <f>E1422/B1418-1</f>
        <v>-5.4210987415295286E-2</v>
      </c>
      <c r="S1422" s="201">
        <f t="shared" si="182"/>
        <v>-4.5432244525268506E-2</v>
      </c>
    </row>
    <row r="1423" spans="1:19">
      <c r="A1423" s="196">
        <v>42033</v>
      </c>
      <c r="B1423" s="122">
        <v>19.510000000000002</v>
      </c>
      <c r="C1423" s="122">
        <v>19.610001</v>
      </c>
      <c r="D1423" s="122">
        <v>19.309999000000001</v>
      </c>
      <c r="E1423" s="122">
        <v>19.459999</v>
      </c>
      <c r="F1423" s="122">
        <v>16.162977000000001</v>
      </c>
      <c r="G1423" s="197">
        <v>81500</v>
      </c>
      <c r="H1423" s="198">
        <f>IF(AND(E1422&gt;=H1422,E1423&gt;=E1422),E1422*(1+'Trading Model'!$E$13),IF(AND(E1423&lt;E1422,E1422&gt;=H1422),E1423*(1+'Trading Model'!$E$13),H1422))</f>
        <v>27.698998950000004</v>
      </c>
      <c r="I1423" s="198">
        <f>IF(K1423&gt;0,E1423*(1-'Trading Model'!E1433),IF(E1423&lt;I1422,I1422*(1-'Trading Model'!$E$14),I1422))</f>
        <v>8.9840153609188427</v>
      </c>
      <c r="J1423" s="198">
        <f t="shared" si="183"/>
        <v>0</v>
      </c>
      <c r="K1423" s="198">
        <f t="shared" si="178"/>
        <v>0</v>
      </c>
      <c r="L1423" s="198">
        <f>COUNTIF(J1423:K1423,"&lt;&gt;0")*-'Trading Model'!$E$15</f>
        <v>0</v>
      </c>
      <c r="M1423" s="198">
        <f t="shared" si="176"/>
        <v>0</v>
      </c>
      <c r="N1423" s="75">
        <f t="shared" si="179"/>
        <v>45</v>
      </c>
      <c r="O1423" s="202">
        <f t="shared" si="180"/>
        <v>0</v>
      </c>
      <c r="P1423" s="199">
        <f t="shared" si="177"/>
        <v>0</v>
      </c>
      <c r="Q1423" s="203">
        <f t="shared" si="181"/>
        <v>30.50000000000157</v>
      </c>
      <c r="R1423" s="160" t="s">
        <v>55</v>
      </c>
      <c r="S1423" s="201">
        <f t="shared" si="182"/>
        <v>-4.0942679583281238E-3</v>
      </c>
    </row>
    <row r="1424" spans="1:19">
      <c r="A1424" s="196">
        <v>42034</v>
      </c>
      <c r="B1424" s="122">
        <v>19.200001</v>
      </c>
      <c r="C1424" s="122">
        <v>19.299999</v>
      </c>
      <c r="D1424" s="122">
        <v>18.82</v>
      </c>
      <c r="E1424" s="122">
        <v>19.059999000000001</v>
      </c>
      <c r="F1424" s="122">
        <v>15.830746</v>
      </c>
      <c r="G1424" s="197">
        <v>86800</v>
      </c>
      <c r="H1424" s="198">
        <f>IF(AND(E1423&gt;=H1423,E1424&gt;=E1423),E1423*(1+'Trading Model'!$E$13),IF(AND(E1424&lt;E1423,E1423&gt;=H1423),E1424*(1+'Trading Model'!$E$13),H1423))</f>
        <v>27.698998950000004</v>
      </c>
      <c r="I1424" s="198">
        <f>IF(K1424&gt;0,E1424*(1-'Trading Model'!E1434),IF(E1424&lt;I1423,I1423*(1-'Trading Model'!$E$14),I1423))</f>
        <v>8.9840153609188427</v>
      </c>
      <c r="J1424" s="198">
        <f t="shared" si="183"/>
        <v>0</v>
      </c>
      <c r="K1424" s="198">
        <f t="shared" si="178"/>
        <v>0</v>
      </c>
      <c r="L1424" s="198">
        <f>COUNTIF(J1424:K1424,"&lt;&gt;0")*-'Trading Model'!$E$15</f>
        <v>0</v>
      </c>
      <c r="M1424" s="198">
        <f t="shared" si="176"/>
        <v>0</v>
      </c>
      <c r="N1424" s="75">
        <f t="shared" si="179"/>
        <v>45</v>
      </c>
      <c r="O1424" s="202">
        <f t="shared" si="180"/>
        <v>0</v>
      </c>
      <c r="P1424" s="199">
        <f t="shared" si="177"/>
        <v>0</v>
      </c>
      <c r="Q1424" s="203">
        <f t="shared" si="181"/>
        <v>30.400000000001569</v>
      </c>
      <c r="R1424" s="203" t="s">
        <v>55</v>
      </c>
      <c r="S1424" s="201">
        <f t="shared" si="182"/>
        <v>-2.0554985640029999E-2</v>
      </c>
    </row>
    <row r="1425" spans="1:19">
      <c r="A1425" s="196">
        <v>42037</v>
      </c>
      <c r="B1425" s="122">
        <v>19.18</v>
      </c>
      <c r="C1425" s="122">
        <v>19.18</v>
      </c>
      <c r="D1425" s="122">
        <v>18.700001</v>
      </c>
      <c r="E1425" s="122">
        <v>18.940000999999999</v>
      </c>
      <c r="F1425" s="122">
        <v>15.731078999999999</v>
      </c>
      <c r="G1425" s="197">
        <v>104500</v>
      </c>
      <c r="H1425" s="198">
        <f>IF(AND(E1424&gt;=H1424,E1425&gt;=E1424),E1424*(1+'Trading Model'!$E$13),IF(AND(E1425&lt;E1424,E1424&gt;=H1424),E1425*(1+'Trading Model'!$E$13),H1424))</f>
        <v>27.698998950000004</v>
      </c>
      <c r="I1425" s="198">
        <f>IF(K1425&gt;0,E1425*(1-'Trading Model'!E1435),IF(E1425&lt;I1424,I1424*(1-'Trading Model'!$E$14),I1424))</f>
        <v>8.9840153609188427</v>
      </c>
      <c r="J1425" s="198">
        <f t="shared" si="183"/>
        <v>0</v>
      </c>
      <c r="K1425" s="198">
        <f t="shared" si="178"/>
        <v>0</v>
      </c>
      <c r="L1425" s="198">
        <f>COUNTIF(J1425:K1425,"&lt;&gt;0")*-'Trading Model'!$E$15</f>
        <v>0</v>
      </c>
      <c r="M1425" s="198">
        <f t="shared" si="176"/>
        <v>0</v>
      </c>
      <c r="N1425" s="75">
        <f t="shared" si="179"/>
        <v>45</v>
      </c>
      <c r="O1425" s="202">
        <f t="shared" si="180"/>
        <v>0</v>
      </c>
      <c r="P1425" s="199">
        <f t="shared" si="177"/>
        <v>0</v>
      </c>
      <c r="Q1425" s="203">
        <f t="shared" si="181"/>
        <v>30.300000000001567</v>
      </c>
      <c r="R1425" s="203" t="s">
        <v>55</v>
      </c>
      <c r="S1425" s="201">
        <f t="shared" si="182"/>
        <v>-6.2958030585417157E-3</v>
      </c>
    </row>
    <row r="1426" spans="1:19">
      <c r="A1426" s="196">
        <v>42038</v>
      </c>
      <c r="B1426" s="122">
        <v>19.09</v>
      </c>
      <c r="C1426" s="122">
        <v>19.610001</v>
      </c>
      <c r="D1426" s="122">
        <v>19.09</v>
      </c>
      <c r="E1426" s="122">
        <v>19.530000999999999</v>
      </c>
      <c r="F1426" s="122">
        <v>16.221117</v>
      </c>
      <c r="G1426" s="197">
        <v>151000</v>
      </c>
      <c r="H1426" s="198">
        <f>IF(AND(E1425&gt;=H1425,E1426&gt;=E1425),E1425*(1+'Trading Model'!$E$13),IF(AND(E1426&lt;E1425,E1425&gt;=H1425),E1426*(1+'Trading Model'!$E$13),H1425))</f>
        <v>27.698998950000004</v>
      </c>
      <c r="I1426" s="198">
        <f>IF(K1426&gt;0,E1426*(1-'Trading Model'!E1436),IF(E1426&lt;I1425,I1425*(1-'Trading Model'!$E$14),I1425))</f>
        <v>8.9840153609188427</v>
      </c>
      <c r="J1426" s="198">
        <f t="shared" si="183"/>
        <v>0</v>
      </c>
      <c r="K1426" s="198">
        <f t="shared" si="178"/>
        <v>0</v>
      </c>
      <c r="L1426" s="198">
        <f>COUNTIF(J1426:K1426,"&lt;&gt;0")*-'Trading Model'!$E$15</f>
        <v>0</v>
      </c>
      <c r="M1426" s="198">
        <f t="shared" si="176"/>
        <v>0</v>
      </c>
      <c r="N1426" s="75">
        <f t="shared" si="179"/>
        <v>45</v>
      </c>
      <c r="O1426" s="202">
        <f t="shared" si="180"/>
        <v>0</v>
      </c>
      <c r="P1426" s="199">
        <f t="shared" si="177"/>
        <v>0</v>
      </c>
      <c r="Q1426" s="203">
        <f t="shared" si="181"/>
        <v>30.300000000001567</v>
      </c>
      <c r="R1426" s="203" t="s">
        <v>55</v>
      </c>
      <c r="S1426" s="201">
        <f t="shared" si="182"/>
        <v>3.1151001523178401E-2</v>
      </c>
    </row>
    <row r="1427" spans="1:19">
      <c r="A1427" s="196">
        <v>42039</v>
      </c>
      <c r="B1427" s="122">
        <v>19.309999000000001</v>
      </c>
      <c r="C1427" s="122">
        <v>19.780000999999999</v>
      </c>
      <c r="D1427" s="122">
        <v>19.219999000000001</v>
      </c>
      <c r="E1427" s="122">
        <v>19.639999</v>
      </c>
      <c r="F1427" s="122">
        <v>16.312479</v>
      </c>
      <c r="G1427" s="197">
        <v>59400</v>
      </c>
      <c r="H1427" s="198">
        <f>IF(AND(E1426&gt;=H1426,E1427&gt;=E1426),E1426*(1+'Trading Model'!$E$13),IF(AND(E1427&lt;E1426,E1426&gt;=H1426),E1427*(1+'Trading Model'!$E$13),H1426))</f>
        <v>27.698998950000004</v>
      </c>
      <c r="I1427" s="198">
        <f>IF(K1427&gt;0,E1427*(1-'Trading Model'!E1437),IF(E1427&lt;I1426,I1426*(1-'Trading Model'!$E$14),I1426))</f>
        <v>8.9840153609188427</v>
      </c>
      <c r="J1427" s="198">
        <f t="shared" si="183"/>
        <v>0</v>
      </c>
      <c r="K1427" s="198">
        <f t="shared" si="178"/>
        <v>0</v>
      </c>
      <c r="L1427" s="198">
        <f>COUNTIF(J1427:K1427,"&lt;&gt;0")*-'Trading Model'!$E$15</f>
        <v>0</v>
      </c>
      <c r="M1427" s="198">
        <f t="shared" si="176"/>
        <v>0</v>
      </c>
      <c r="N1427" s="75">
        <f t="shared" si="179"/>
        <v>45</v>
      </c>
      <c r="O1427" s="202">
        <f t="shared" si="180"/>
        <v>0</v>
      </c>
      <c r="P1427" s="199">
        <f t="shared" si="177"/>
        <v>0</v>
      </c>
      <c r="Q1427" s="203">
        <f t="shared" si="181"/>
        <v>30.300000000001567</v>
      </c>
      <c r="R1427" s="201">
        <f>E1427/B1423-1</f>
        <v>6.6631983598153255E-3</v>
      </c>
      <c r="S1427" s="201">
        <f t="shared" si="182"/>
        <v>5.6322577761260817E-3</v>
      </c>
    </row>
    <row r="1428" spans="1:19">
      <c r="A1428" s="196">
        <v>42040</v>
      </c>
      <c r="B1428" s="122">
        <v>19.629999000000002</v>
      </c>
      <c r="C1428" s="122">
        <v>20.219999000000001</v>
      </c>
      <c r="D1428" s="122">
        <v>19.350000000000001</v>
      </c>
      <c r="E1428" s="122">
        <v>20.059999000000001</v>
      </c>
      <c r="F1428" s="122">
        <v>16.66132</v>
      </c>
      <c r="G1428" s="197">
        <v>226800</v>
      </c>
      <c r="H1428" s="198">
        <f>IF(AND(E1427&gt;=H1427,E1428&gt;=E1427),E1427*(1+'Trading Model'!$E$13),IF(AND(E1428&lt;E1427,E1427&gt;=H1427),E1428*(1+'Trading Model'!$E$13),H1427))</f>
        <v>27.698998950000004</v>
      </c>
      <c r="I1428" s="198">
        <f>IF(K1428&gt;0,E1428*(1-'Trading Model'!E1438),IF(E1428&lt;I1427,I1427*(1-'Trading Model'!$E$14),I1427))</f>
        <v>8.9840153609188427</v>
      </c>
      <c r="J1428" s="198">
        <f t="shared" si="183"/>
        <v>0</v>
      </c>
      <c r="K1428" s="198">
        <f t="shared" si="178"/>
        <v>0</v>
      </c>
      <c r="L1428" s="198">
        <f>COUNTIF(J1428:K1428,"&lt;&gt;0")*-'Trading Model'!$E$15</f>
        <v>0</v>
      </c>
      <c r="M1428" s="198">
        <f t="shared" si="176"/>
        <v>0</v>
      </c>
      <c r="N1428" s="75">
        <f t="shared" si="179"/>
        <v>45</v>
      </c>
      <c r="O1428" s="202">
        <f t="shared" si="180"/>
        <v>0</v>
      </c>
      <c r="P1428" s="199">
        <f t="shared" si="177"/>
        <v>0</v>
      </c>
      <c r="Q1428" s="203">
        <f t="shared" si="181"/>
        <v>30.300000000001567</v>
      </c>
      <c r="R1428" s="160" t="s">
        <v>55</v>
      </c>
      <c r="S1428" s="201">
        <f t="shared" si="182"/>
        <v>2.1384929805750019E-2</v>
      </c>
    </row>
    <row r="1429" spans="1:19">
      <c r="A1429" s="196">
        <v>42041</v>
      </c>
      <c r="B1429" s="122">
        <v>19.899999999999999</v>
      </c>
      <c r="C1429" s="122">
        <v>20.18</v>
      </c>
      <c r="D1429" s="122">
        <v>19.709999</v>
      </c>
      <c r="E1429" s="122">
        <v>20</v>
      </c>
      <c r="F1429" s="122">
        <v>16.611485999999999</v>
      </c>
      <c r="G1429" s="197">
        <v>79200</v>
      </c>
      <c r="H1429" s="198">
        <f>IF(AND(E1428&gt;=H1428,E1429&gt;=E1428),E1428*(1+'Trading Model'!$E$13),IF(AND(E1429&lt;E1428,E1428&gt;=H1428),E1429*(1+'Trading Model'!$E$13),H1428))</f>
        <v>27.698998950000004</v>
      </c>
      <c r="I1429" s="198">
        <f>IF(K1429&gt;0,E1429*(1-'Trading Model'!E1439),IF(E1429&lt;I1428,I1428*(1-'Trading Model'!$E$14),I1428))</f>
        <v>8.9840153609188427</v>
      </c>
      <c r="J1429" s="198">
        <f t="shared" si="183"/>
        <v>0</v>
      </c>
      <c r="K1429" s="198">
        <f t="shared" si="178"/>
        <v>0</v>
      </c>
      <c r="L1429" s="198">
        <f>COUNTIF(J1429:K1429,"&lt;&gt;0")*-'Trading Model'!$E$15</f>
        <v>0</v>
      </c>
      <c r="M1429" s="198">
        <f t="shared" si="176"/>
        <v>0</v>
      </c>
      <c r="N1429" s="75">
        <f t="shared" si="179"/>
        <v>45</v>
      </c>
      <c r="O1429" s="202">
        <f t="shared" si="180"/>
        <v>0</v>
      </c>
      <c r="P1429" s="199">
        <f t="shared" si="177"/>
        <v>0</v>
      </c>
      <c r="Q1429" s="203">
        <f t="shared" si="181"/>
        <v>30.200000000001566</v>
      </c>
      <c r="R1429" s="203" t="s">
        <v>55</v>
      </c>
      <c r="S1429" s="201">
        <f t="shared" si="182"/>
        <v>-2.9909772178952077E-3</v>
      </c>
    </row>
    <row r="1430" spans="1:19">
      <c r="A1430" s="196">
        <v>42044</v>
      </c>
      <c r="B1430" s="122">
        <v>19.989999999999998</v>
      </c>
      <c r="C1430" s="122">
        <v>20.129999000000002</v>
      </c>
      <c r="D1430" s="122">
        <v>19.829999999999998</v>
      </c>
      <c r="E1430" s="122">
        <v>20</v>
      </c>
      <c r="F1430" s="122">
        <v>16.611485999999999</v>
      </c>
      <c r="G1430" s="197">
        <v>48800</v>
      </c>
      <c r="H1430" s="198">
        <f>IF(AND(E1429&gt;=H1429,E1430&gt;=E1429),E1429*(1+'Trading Model'!$E$13),IF(AND(E1430&lt;E1429,E1429&gt;=H1429),E1430*(1+'Trading Model'!$E$13),H1429))</f>
        <v>27.698998950000004</v>
      </c>
      <c r="I1430" s="198">
        <f>IF(K1430&gt;0,E1430*(1-'Trading Model'!E1440),IF(E1430&lt;I1429,I1429*(1-'Trading Model'!$E$14),I1429))</f>
        <v>8.9840153609188427</v>
      </c>
      <c r="J1430" s="198">
        <f t="shared" si="183"/>
        <v>0</v>
      </c>
      <c r="K1430" s="198">
        <f t="shared" si="178"/>
        <v>0</v>
      </c>
      <c r="L1430" s="198">
        <f>COUNTIF(J1430:K1430,"&lt;&gt;0")*-'Trading Model'!$E$15</f>
        <v>0</v>
      </c>
      <c r="M1430" s="198">
        <f t="shared" si="176"/>
        <v>0</v>
      </c>
      <c r="N1430" s="75">
        <f t="shared" si="179"/>
        <v>45</v>
      </c>
      <c r="O1430" s="202">
        <f t="shared" si="180"/>
        <v>0</v>
      </c>
      <c r="P1430" s="199">
        <f t="shared" si="177"/>
        <v>0</v>
      </c>
      <c r="Q1430" s="203">
        <f t="shared" si="181"/>
        <v>30.200000000001566</v>
      </c>
      <c r="R1430" s="203" t="s">
        <v>55</v>
      </c>
      <c r="S1430" s="201">
        <f t="shared" si="182"/>
        <v>0</v>
      </c>
    </row>
    <row r="1431" spans="1:19">
      <c r="A1431" s="196">
        <v>42045</v>
      </c>
      <c r="B1431" s="122">
        <v>20</v>
      </c>
      <c r="C1431" s="122">
        <v>20.34</v>
      </c>
      <c r="D1431" s="122">
        <v>19.91</v>
      </c>
      <c r="E1431" s="122">
        <v>20.309999000000001</v>
      </c>
      <c r="F1431" s="122">
        <v>16.868960999999999</v>
      </c>
      <c r="G1431" s="197">
        <v>476400</v>
      </c>
      <c r="H1431" s="198">
        <f>IF(AND(E1430&gt;=H1430,E1431&gt;=E1430),E1430*(1+'Trading Model'!$E$13),IF(AND(E1431&lt;E1430,E1430&gt;=H1430),E1431*(1+'Trading Model'!$E$13),H1430))</f>
        <v>27.698998950000004</v>
      </c>
      <c r="I1431" s="198">
        <f>IF(K1431&gt;0,E1431*(1-'Trading Model'!E1441),IF(E1431&lt;I1430,I1430*(1-'Trading Model'!$E$14),I1430))</f>
        <v>8.9840153609188427</v>
      </c>
      <c r="J1431" s="198">
        <f t="shared" si="183"/>
        <v>0</v>
      </c>
      <c r="K1431" s="198">
        <f t="shared" si="178"/>
        <v>0</v>
      </c>
      <c r="L1431" s="198">
        <f>COUNTIF(J1431:K1431,"&lt;&gt;0")*-'Trading Model'!$E$15</f>
        <v>0</v>
      </c>
      <c r="M1431" s="198">
        <f t="shared" si="176"/>
        <v>0</v>
      </c>
      <c r="N1431" s="75">
        <f t="shared" si="179"/>
        <v>45</v>
      </c>
      <c r="O1431" s="202">
        <f t="shared" si="180"/>
        <v>0</v>
      </c>
      <c r="P1431" s="199">
        <f t="shared" si="177"/>
        <v>0</v>
      </c>
      <c r="Q1431" s="203">
        <f t="shared" si="181"/>
        <v>30.200000000001566</v>
      </c>
      <c r="R1431" s="203" t="s">
        <v>55</v>
      </c>
      <c r="S1431" s="201">
        <f t="shared" si="182"/>
        <v>1.5499950000000151E-2</v>
      </c>
    </row>
    <row r="1432" spans="1:19">
      <c r="A1432" s="196">
        <v>42046</v>
      </c>
      <c r="B1432" s="122">
        <v>20.32</v>
      </c>
      <c r="C1432" s="122">
        <v>20.879999000000002</v>
      </c>
      <c r="D1432" s="122">
        <v>20.280000999999999</v>
      </c>
      <c r="E1432" s="122">
        <v>20.469999000000001</v>
      </c>
      <c r="F1432" s="122">
        <v>17.001856</v>
      </c>
      <c r="G1432" s="197">
        <v>132200</v>
      </c>
      <c r="H1432" s="198">
        <f>IF(AND(E1431&gt;=H1431,E1432&gt;=E1431),E1431*(1+'Trading Model'!$E$13),IF(AND(E1432&lt;E1431,E1431&gt;=H1431),E1432*(1+'Trading Model'!$E$13),H1431))</f>
        <v>27.698998950000004</v>
      </c>
      <c r="I1432" s="198">
        <f>IF(K1432&gt;0,E1432*(1-'Trading Model'!E1442),IF(E1432&lt;I1431,I1431*(1-'Trading Model'!$E$14),I1431))</f>
        <v>8.9840153609188427</v>
      </c>
      <c r="J1432" s="198">
        <f t="shared" si="183"/>
        <v>0</v>
      </c>
      <c r="K1432" s="198">
        <f t="shared" si="178"/>
        <v>0</v>
      </c>
      <c r="L1432" s="198">
        <f>COUNTIF(J1432:K1432,"&lt;&gt;0")*-'Trading Model'!$E$15</f>
        <v>0</v>
      </c>
      <c r="M1432" s="198">
        <f t="shared" si="176"/>
        <v>0</v>
      </c>
      <c r="N1432" s="75">
        <f t="shared" si="179"/>
        <v>45</v>
      </c>
      <c r="O1432" s="202">
        <f t="shared" si="180"/>
        <v>0</v>
      </c>
      <c r="P1432" s="199">
        <f t="shared" si="177"/>
        <v>0</v>
      </c>
      <c r="Q1432" s="203">
        <f t="shared" si="181"/>
        <v>30.200000000001566</v>
      </c>
      <c r="R1432" s="201">
        <f>E1432/B1428-1</f>
        <v>4.2791647620562756E-2</v>
      </c>
      <c r="S1432" s="201">
        <f t="shared" si="182"/>
        <v>7.8778930515950307E-3</v>
      </c>
    </row>
    <row r="1433" spans="1:19">
      <c r="A1433" s="196">
        <v>42047</v>
      </c>
      <c r="B1433" s="122">
        <v>20.76</v>
      </c>
      <c r="C1433" s="122">
        <v>20.799999</v>
      </c>
      <c r="D1433" s="122">
        <v>20.16</v>
      </c>
      <c r="E1433" s="122">
        <v>20.450001</v>
      </c>
      <c r="F1433" s="122">
        <v>16.985247000000001</v>
      </c>
      <c r="G1433" s="197">
        <v>79400</v>
      </c>
      <c r="H1433" s="198">
        <f>IF(AND(E1432&gt;=H1432,E1433&gt;=E1432),E1432*(1+'Trading Model'!$E$13),IF(AND(E1433&lt;E1432,E1432&gt;=H1432),E1433*(1+'Trading Model'!$E$13),H1432))</f>
        <v>27.698998950000004</v>
      </c>
      <c r="I1433" s="198">
        <f>IF(K1433&gt;0,E1433*(1-'Trading Model'!E1443),IF(E1433&lt;I1432,I1432*(1-'Trading Model'!$E$14),I1432))</f>
        <v>8.9840153609188427</v>
      </c>
      <c r="J1433" s="198">
        <f t="shared" si="183"/>
        <v>0</v>
      </c>
      <c r="K1433" s="198">
        <f t="shared" si="178"/>
        <v>0</v>
      </c>
      <c r="L1433" s="198">
        <f>COUNTIF(J1433:K1433,"&lt;&gt;0")*-'Trading Model'!$E$15</f>
        <v>0</v>
      </c>
      <c r="M1433" s="198">
        <f t="shared" si="176"/>
        <v>0</v>
      </c>
      <c r="N1433" s="75">
        <f t="shared" si="179"/>
        <v>45</v>
      </c>
      <c r="O1433" s="202">
        <f t="shared" si="180"/>
        <v>0</v>
      </c>
      <c r="P1433" s="199">
        <f t="shared" si="177"/>
        <v>0</v>
      </c>
      <c r="Q1433" s="203">
        <f t="shared" si="181"/>
        <v>30.100000000001565</v>
      </c>
      <c r="R1433" s="160" t="s">
        <v>55</v>
      </c>
      <c r="S1433" s="201">
        <f t="shared" si="182"/>
        <v>-9.7694191387120988E-4</v>
      </c>
    </row>
    <row r="1434" spans="1:19">
      <c r="A1434" s="196">
        <v>42048</v>
      </c>
      <c r="B1434" s="122">
        <v>20.51</v>
      </c>
      <c r="C1434" s="122">
        <v>21.32</v>
      </c>
      <c r="D1434" s="122">
        <v>20.51</v>
      </c>
      <c r="E1434" s="122">
        <v>21.07</v>
      </c>
      <c r="F1434" s="122">
        <v>17.500198000000001</v>
      </c>
      <c r="G1434" s="197">
        <v>488400</v>
      </c>
      <c r="H1434" s="198">
        <f>IF(AND(E1433&gt;=H1433,E1434&gt;=E1433),E1433*(1+'Trading Model'!$E$13),IF(AND(E1434&lt;E1433,E1433&gt;=H1433),E1434*(1+'Trading Model'!$E$13),H1433))</f>
        <v>27.698998950000004</v>
      </c>
      <c r="I1434" s="198">
        <f>IF(K1434&gt;0,E1434*(1-'Trading Model'!E1444),IF(E1434&lt;I1433,I1433*(1-'Trading Model'!$E$14),I1433))</f>
        <v>8.9840153609188427</v>
      </c>
      <c r="J1434" s="198">
        <f t="shared" si="183"/>
        <v>0</v>
      </c>
      <c r="K1434" s="198">
        <f t="shared" si="178"/>
        <v>0</v>
      </c>
      <c r="L1434" s="198">
        <f>COUNTIF(J1434:K1434,"&lt;&gt;0")*-'Trading Model'!$E$15</f>
        <v>0</v>
      </c>
      <c r="M1434" s="198">
        <f t="shared" si="176"/>
        <v>0</v>
      </c>
      <c r="N1434" s="75">
        <f t="shared" si="179"/>
        <v>45</v>
      </c>
      <c r="O1434" s="202">
        <f t="shared" si="180"/>
        <v>0</v>
      </c>
      <c r="P1434" s="199">
        <f t="shared" si="177"/>
        <v>0</v>
      </c>
      <c r="Q1434" s="203">
        <f t="shared" si="181"/>
        <v>30.100000000001565</v>
      </c>
      <c r="R1434" s="203" t="s">
        <v>55</v>
      </c>
      <c r="S1434" s="201">
        <f t="shared" si="182"/>
        <v>3.0317798028469456E-2</v>
      </c>
    </row>
    <row r="1435" spans="1:19">
      <c r="A1435" s="196">
        <v>42052</v>
      </c>
      <c r="B1435" s="122">
        <v>21.030000999999999</v>
      </c>
      <c r="C1435" s="122">
        <v>21.65</v>
      </c>
      <c r="D1435" s="122">
        <v>20.879999000000002</v>
      </c>
      <c r="E1435" s="122">
        <v>21.59</v>
      </c>
      <c r="F1435" s="122">
        <v>17.932098</v>
      </c>
      <c r="G1435" s="197">
        <v>255500</v>
      </c>
      <c r="H1435" s="198">
        <f>IF(AND(E1434&gt;=H1434,E1435&gt;=E1434),E1434*(1+'Trading Model'!$E$13),IF(AND(E1435&lt;E1434,E1434&gt;=H1434),E1435*(1+'Trading Model'!$E$13),H1434))</f>
        <v>27.698998950000004</v>
      </c>
      <c r="I1435" s="198">
        <f>IF(K1435&gt;0,E1435*(1-'Trading Model'!E1445),IF(E1435&lt;I1434,I1434*(1-'Trading Model'!$E$14),I1434))</f>
        <v>8.9840153609188427</v>
      </c>
      <c r="J1435" s="198">
        <f t="shared" si="183"/>
        <v>0</v>
      </c>
      <c r="K1435" s="198">
        <f t="shared" si="178"/>
        <v>0</v>
      </c>
      <c r="L1435" s="198">
        <f>COUNTIF(J1435:K1435,"&lt;&gt;0")*-'Trading Model'!$E$15</f>
        <v>0</v>
      </c>
      <c r="M1435" s="198">
        <f t="shared" si="176"/>
        <v>0</v>
      </c>
      <c r="N1435" s="75">
        <f t="shared" si="179"/>
        <v>45</v>
      </c>
      <c r="O1435" s="202">
        <f t="shared" si="180"/>
        <v>0</v>
      </c>
      <c r="P1435" s="199">
        <f t="shared" si="177"/>
        <v>0</v>
      </c>
      <c r="Q1435" s="203">
        <f t="shared" si="181"/>
        <v>30.100000000001565</v>
      </c>
      <c r="R1435" s="203" t="s">
        <v>55</v>
      </c>
      <c r="S1435" s="201">
        <f t="shared" si="182"/>
        <v>2.4679639297579437E-2</v>
      </c>
    </row>
    <row r="1436" spans="1:19">
      <c r="A1436" s="196">
        <v>42053</v>
      </c>
      <c r="B1436" s="122">
        <v>21.469999000000001</v>
      </c>
      <c r="C1436" s="122">
        <v>22</v>
      </c>
      <c r="D1436" s="122">
        <v>21.42</v>
      </c>
      <c r="E1436" s="122">
        <v>22</v>
      </c>
      <c r="F1436" s="122">
        <v>18.272635999999999</v>
      </c>
      <c r="G1436" s="197">
        <v>209400</v>
      </c>
      <c r="H1436" s="198">
        <f>IF(AND(E1435&gt;=H1435,E1436&gt;=E1435),E1435*(1+'Trading Model'!$E$13),IF(AND(E1436&lt;E1435,E1435&gt;=H1435),E1436*(1+'Trading Model'!$E$13),H1435))</f>
        <v>27.698998950000004</v>
      </c>
      <c r="I1436" s="198">
        <f>IF(K1436&gt;0,E1436*(1-'Trading Model'!E1446),IF(E1436&lt;I1435,I1435*(1-'Trading Model'!$E$14),I1435))</f>
        <v>8.9840153609188427</v>
      </c>
      <c r="J1436" s="198">
        <f t="shared" si="183"/>
        <v>0</v>
      </c>
      <c r="K1436" s="198">
        <f t="shared" si="178"/>
        <v>0</v>
      </c>
      <c r="L1436" s="198">
        <f>COUNTIF(J1436:K1436,"&lt;&gt;0")*-'Trading Model'!$E$15</f>
        <v>0</v>
      </c>
      <c r="M1436" s="198">
        <f t="shared" si="176"/>
        <v>0</v>
      </c>
      <c r="N1436" s="75">
        <f t="shared" si="179"/>
        <v>45</v>
      </c>
      <c r="O1436" s="202">
        <f t="shared" si="180"/>
        <v>0</v>
      </c>
      <c r="P1436" s="199">
        <f t="shared" si="177"/>
        <v>0</v>
      </c>
      <c r="Q1436" s="203">
        <f t="shared" si="181"/>
        <v>30.100000000001565</v>
      </c>
      <c r="R1436" s="203" t="s">
        <v>55</v>
      </c>
      <c r="S1436" s="201">
        <f t="shared" si="182"/>
        <v>1.8990273274664293E-2</v>
      </c>
    </row>
    <row r="1437" spans="1:19">
      <c r="A1437" s="196">
        <v>42054</v>
      </c>
      <c r="B1437" s="122">
        <v>21.889999</v>
      </c>
      <c r="C1437" s="122">
        <v>22.5</v>
      </c>
      <c r="D1437" s="122">
        <v>21.66</v>
      </c>
      <c r="E1437" s="122">
        <v>22.48</v>
      </c>
      <c r="F1437" s="122">
        <v>18.671309999999998</v>
      </c>
      <c r="G1437" s="197">
        <v>136600</v>
      </c>
      <c r="H1437" s="198">
        <f>IF(AND(E1436&gt;=H1436,E1437&gt;=E1436),E1436*(1+'Trading Model'!$E$13),IF(AND(E1437&lt;E1436,E1436&gt;=H1436),E1437*(1+'Trading Model'!$E$13),H1436))</f>
        <v>27.698998950000004</v>
      </c>
      <c r="I1437" s="198">
        <f>IF(K1437&gt;0,E1437*(1-'Trading Model'!E1447),IF(E1437&lt;I1436,I1436*(1-'Trading Model'!$E$14),I1436))</f>
        <v>8.9840153609188427</v>
      </c>
      <c r="J1437" s="198">
        <f t="shared" si="183"/>
        <v>0</v>
      </c>
      <c r="K1437" s="198">
        <f t="shared" si="178"/>
        <v>0</v>
      </c>
      <c r="L1437" s="198">
        <f>COUNTIF(J1437:K1437,"&lt;&gt;0")*-'Trading Model'!$E$15</f>
        <v>0</v>
      </c>
      <c r="M1437" s="198">
        <f t="shared" si="176"/>
        <v>0</v>
      </c>
      <c r="N1437" s="75">
        <f t="shared" si="179"/>
        <v>45</v>
      </c>
      <c r="O1437" s="202">
        <f t="shared" si="180"/>
        <v>0</v>
      </c>
      <c r="P1437" s="199">
        <f t="shared" si="177"/>
        <v>0</v>
      </c>
      <c r="Q1437" s="203">
        <f t="shared" si="181"/>
        <v>30.100000000001565</v>
      </c>
      <c r="R1437" s="201">
        <f>E1437/B1433-1</f>
        <v>8.2851637764932429E-2</v>
      </c>
      <c r="S1437" s="201">
        <f t="shared" si="182"/>
        <v>2.1818181818181737E-2</v>
      </c>
    </row>
    <row r="1438" spans="1:19">
      <c r="A1438" s="196">
        <v>42055</v>
      </c>
      <c r="B1438" s="122">
        <v>22.32</v>
      </c>
      <c r="C1438" s="122">
        <v>22.549999</v>
      </c>
      <c r="D1438" s="122">
        <v>22.02</v>
      </c>
      <c r="E1438" s="122">
        <v>22.51</v>
      </c>
      <c r="F1438" s="122">
        <v>18.696225999999999</v>
      </c>
      <c r="G1438" s="197">
        <v>82600</v>
      </c>
      <c r="H1438" s="198">
        <f>IF(AND(E1437&gt;=H1437,E1438&gt;=E1437),E1437*(1+'Trading Model'!$E$13),IF(AND(E1438&lt;E1437,E1437&gt;=H1437),E1438*(1+'Trading Model'!$E$13),H1437))</f>
        <v>27.698998950000004</v>
      </c>
      <c r="I1438" s="198">
        <f>IF(K1438&gt;0,E1438*(1-'Trading Model'!E1448),IF(E1438&lt;I1437,I1437*(1-'Trading Model'!$E$14),I1437))</f>
        <v>8.9840153609188427</v>
      </c>
      <c r="J1438" s="198">
        <f t="shared" si="183"/>
        <v>0</v>
      </c>
      <c r="K1438" s="198">
        <f t="shared" si="178"/>
        <v>0</v>
      </c>
      <c r="L1438" s="198">
        <f>COUNTIF(J1438:K1438,"&lt;&gt;0")*-'Trading Model'!$E$15</f>
        <v>0</v>
      </c>
      <c r="M1438" s="198">
        <f t="shared" si="176"/>
        <v>0</v>
      </c>
      <c r="N1438" s="75">
        <f t="shared" si="179"/>
        <v>45</v>
      </c>
      <c r="O1438" s="202">
        <f t="shared" si="180"/>
        <v>0</v>
      </c>
      <c r="P1438" s="199">
        <f t="shared" si="177"/>
        <v>0</v>
      </c>
      <c r="Q1438" s="203">
        <f t="shared" si="181"/>
        <v>30.100000000001565</v>
      </c>
      <c r="R1438" s="160" t="s">
        <v>55</v>
      </c>
      <c r="S1438" s="201">
        <f t="shared" si="182"/>
        <v>1.3345195729537185E-3</v>
      </c>
    </row>
    <row r="1439" spans="1:19">
      <c r="A1439" s="196">
        <v>42058</v>
      </c>
      <c r="B1439" s="122">
        <v>22.59</v>
      </c>
      <c r="C1439" s="122">
        <v>23.49</v>
      </c>
      <c r="D1439" s="122">
        <v>22.43</v>
      </c>
      <c r="E1439" s="122">
        <v>23.33</v>
      </c>
      <c r="F1439" s="122">
        <v>19.377298</v>
      </c>
      <c r="G1439" s="197">
        <v>203900</v>
      </c>
      <c r="H1439" s="198">
        <f>IF(AND(E1438&gt;=H1438,E1439&gt;=E1438),E1438*(1+'Trading Model'!$E$13),IF(AND(E1439&lt;E1438,E1438&gt;=H1438),E1439*(1+'Trading Model'!$E$13),H1438))</f>
        <v>27.698998950000004</v>
      </c>
      <c r="I1439" s="198">
        <f>IF(K1439&gt;0,E1439*(1-'Trading Model'!E1449),IF(E1439&lt;I1438,I1438*(1-'Trading Model'!$E$14),I1438))</f>
        <v>8.9840153609188427</v>
      </c>
      <c r="J1439" s="198">
        <f t="shared" si="183"/>
        <v>0</v>
      </c>
      <c r="K1439" s="198">
        <f t="shared" si="178"/>
        <v>0</v>
      </c>
      <c r="L1439" s="198">
        <f>COUNTIF(J1439:K1439,"&lt;&gt;0")*-'Trading Model'!$E$15</f>
        <v>0</v>
      </c>
      <c r="M1439" s="198">
        <f t="shared" si="176"/>
        <v>0</v>
      </c>
      <c r="N1439" s="75">
        <f t="shared" si="179"/>
        <v>45</v>
      </c>
      <c r="O1439" s="202">
        <f t="shared" si="180"/>
        <v>0</v>
      </c>
      <c r="P1439" s="199">
        <f t="shared" si="177"/>
        <v>0</v>
      </c>
      <c r="Q1439" s="203">
        <f t="shared" si="181"/>
        <v>30.100000000001565</v>
      </c>
      <c r="R1439" s="203" t="s">
        <v>55</v>
      </c>
      <c r="S1439" s="201">
        <f t="shared" si="182"/>
        <v>3.642825410928463E-2</v>
      </c>
    </row>
    <row r="1440" spans="1:19">
      <c r="A1440" s="196">
        <v>42059</v>
      </c>
      <c r="B1440" s="122">
        <v>23.32</v>
      </c>
      <c r="C1440" s="122">
        <v>23.540001</v>
      </c>
      <c r="D1440" s="122">
        <v>22.799999</v>
      </c>
      <c r="E1440" s="122">
        <v>23.440000999999999</v>
      </c>
      <c r="F1440" s="122">
        <v>19.468664</v>
      </c>
      <c r="G1440" s="197">
        <v>215500</v>
      </c>
      <c r="H1440" s="198">
        <f>IF(AND(E1439&gt;=H1439,E1440&gt;=E1439),E1439*(1+'Trading Model'!$E$13),IF(AND(E1440&lt;E1439,E1439&gt;=H1439),E1440*(1+'Trading Model'!$E$13),H1439))</f>
        <v>27.698998950000004</v>
      </c>
      <c r="I1440" s="198">
        <f>IF(K1440&gt;0,E1440*(1-'Trading Model'!E1450),IF(E1440&lt;I1439,I1439*(1-'Trading Model'!$E$14),I1439))</f>
        <v>8.9840153609188427</v>
      </c>
      <c r="J1440" s="198">
        <f t="shared" si="183"/>
        <v>0</v>
      </c>
      <c r="K1440" s="198">
        <f t="shared" si="178"/>
        <v>0</v>
      </c>
      <c r="L1440" s="198">
        <f>COUNTIF(J1440:K1440,"&lt;&gt;0")*-'Trading Model'!$E$15</f>
        <v>0</v>
      </c>
      <c r="M1440" s="198">
        <f t="shared" si="176"/>
        <v>0</v>
      </c>
      <c r="N1440" s="75">
        <f t="shared" si="179"/>
        <v>45</v>
      </c>
      <c r="O1440" s="202">
        <f t="shared" si="180"/>
        <v>0</v>
      </c>
      <c r="P1440" s="199">
        <f t="shared" si="177"/>
        <v>0</v>
      </c>
      <c r="Q1440" s="203">
        <f t="shared" si="181"/>
        <v>30.100000000001565</v>
      </c>
      <c r="R1440" s="203" t="s">
        <v>55</v>
      </c>
      <c r="S1440" s="201">
        <f t="shared" si="182"/>
        <v>4.7150021431632272E-3</v>
      </c>
    </row>
    <row r="1441" spans="1:19">
      <c r="A1441" s="196">
        <v>42060</v>
      </c>
      <c r="B1441" s="122">
        <v>23.52</v>
      </c>
      <c r="C1441" s="122">
        <v>23.969999000000001</v>
      </c>
      <c r="D1441" s="122">
        <v>23.25</v>
      </c>
      <c r="E1441" s="122">
        <v>23.26</v>
      </c>
      <c r="F1441" s="122">
        <v>19.319157000000001</v>
      </c>
      <c r="G1441" s="197">
        <v>75300</v>
      </c>
      <c r="H1441" s="198">
        <f>IF(AND(E1440&gt;=H1440,E1441&gt;=E1440),E1440*(1+'Trading Model'!$E$13),IF(AND(E1441&lt;E1440,E1440&gt;=H1440),E1441*(1+'Trading Model'!$E$13),H1440))</f>
        <v>27.698998950000004</v>
      </c>
      <c r="I1441" s="198">
        <f>IF(K1441&gt;0,E1441*(1-'Trading Model'!E1451),IF(E1441&lt;I1440,I1440*(1-'Trading Model'!$E$14),I1440))</f>
        <v>8.9840153609188427</v>
      </c>
      <c r="J1441" s="198">
        <f t="shared" si="183"/>
        <v>0</v>
      </c>
      <c r="K1441" s="198">
        <f t="shared" si="178"/>
        <v>0</v>
      </c>
      <c r="L1441" s="198">
        <f>COUNTIF(J1441:K1441,"&lt;&gt;0")*-'Trading Model'!$E$15</f>
        <v>0</v>
      </c>
      <c r="M1441" s="198">
        <f t="shared" si="176"/>
        <v>0</v>
      </c>
      <c r="N1441" s="75">
        <f t="shared" si="179"/>
        <v>45</v>
      </c>
      <c r="O1441" s="202">
        <f t="shared" si="180"/>
        <v>0</v>
      </c>
      <c r="P1441" s="199">
        <f t="shared" si="177"/>
        <v>0</v>
      </c>
      <c r="Q1441" s="203">
        <f t="shared" si="181"/>
        <v>30.000000000001563</v>
      </c>
      <c r="R1441" s="203" t="s">
        <v>55</v>
      </c>
      <c r="S1441" s="201">
        <f t="shared" si="182"/>
        <v>-7.6792232218759748E-3</v>
      </c>
    </row>
    <row r="1442" spans="1:19">
      <c r="A1442" s="196">
        <v>42061</v>
      </c>
      <c r="B1442" s="122">
        <v>23.360001</v>
      </c>
      <c r="C1442" s="122">
        <v>23.459999</v>
      </c>
      <c r="D1442" s="122">
        <v>22.639999</v>
      </c>
      <c r="E1442" s="122">
        <v>23.360001</v>
      </c>
      <c r="F1442" s="122">
        <v>19.402214000000001</v>
      </c>
      <c r="G1442" s="197">
        <v>111700</v>
      </c>
      <c r="H1442" s="198">
        <f>IF(AND(E1441&gt;=H1441,E1442&gt;=E1441),E1441*(1+'Trading Model'!$E$13),IF(AND(E1442&lt;E1441,E1441&gt;=H1441),E1442*(1+'Trading Model'!$E$13),H1441))</f>
        <v>27.698998950000004</v>
      </c>
      <c r="I1442" s="198">
        <f>IF(K1442&gt;0,E1442*(1-'Trading Model'!E1452),IF(E1442&lt;I1441,I1441*(1-'Trading Model'!$E$14),I1441))</f>
        <v>8.9840153609188427</v>
      </c>
      <c r="J1442" s="198">
        <f t="shared" si="183"/>
        <v>0</v>
      </c>
      <c r="K1442" s="198">
        <f t="shared" si="178"/>
        <v>0</v>
      </c>
      <c r="L1442" s="198">
        <f>COUNTIF(J1442:K1442,"&lt;&gt;0")*-'Trading Model'!$E$15</f>
        <v>0</v>
      </c>
      <c r="M1442" s="198">
        <f t="shared" si="176"/>
        <v>0</v>
      </c>
      <c r="N1442" s="75">
        <f t="shared" si="179"/>
        <v>45</v>
      </c>
      <c r="O1442" s="202">
        <f t="shared" si="180"/>
        <v>0</v>
      </c>
      <c r="P1442" s="199">
        <f t="shared" si="177"/>
        <v>0</v>
      </c>
      <c r="Q1442" s="203">
        <f t="shared" si="181"/>
        <v>30.000000000001563</v>
      </c>
      <c r="R1442" s="201">
        <f>E1442/B1438-1</f>
        <v>4.6595026881720347E-2</v>
      </c>
      <c r="S1442" s="201">
        <f t="shared" si="182"/>
        <v>4.2992691315562048E-3</v>
      </c>
    </row>
    <row r="1443" spans="1:19">
      <c r="A1443" s="196">
        <v>42062</v>
      </c>
      <c r="B1443" s="122">
        <v>23.35</v>
      </c>
      <c r="C1443" s="122">
        <v>23.360001</v>
      </c>
      <c r="D1443" s="122">
        <v>22.299999</v>
      </c>
      <c r="E1443" s="122">
        <v>22.450001</v>
      </c>
      <c r="F1443" s="122">
        <v>18.646393</v>
      </c>
      <c r="G1443" s="197">
        <v>105600</v>
      </c>
      <c r="H1443" s="198">
        <f>IF(AND(E1442&gt;=H1442,E1443&gt;=E1442),E1442*(1+'Trading Model'!$E$13),IF(AND(E1443&lt;E1442,E1442&gt;=H1442),E1443*(1+'Trading Model'!$E$13),H1442))</f>
        <v>27.698998950000004</v>
      </c>
      <c r="I1443" s="198">
        <f>IF(K1443&gt;0,E1443*(1-'Trading Model'!E1453),IF(E1443&lt;I1442,I1442*(1-'Trading Model'!$E$14),I1442))</f>
        <v>8.9840153609188427</v>
      </c>
      <c r="J1443" s="198">
        <f t="shared" si="183"/>
        <v>0</v>
      </c>
      <c r="K1443" s="198">
        <f t="shared" si="178"/>
        <v>0</v>
      </c>
      <c r="L1443" s="198">
        <f>COUNTIF(J1443:K1443,"&lt;&gt;0")*-'Trading Model'!$E$15</f>
        <v>0</v>
      </c>
      <c r="M1443" s="198">
        <f t="shared" si="176"/>
        <v>0</v>
      </c>
      <c r="N1443" s="75">
        <f t="shared" si="179"/>
        <v>45</v>
      </c>
      <c r="O1443" s="202">
        <f t="shared" si="180"/>
        <v>0</v>
      </c>
      <c r="P1443" s="199">
        <f t="shared" si="177"/>
        <v>0</v>
      </c>
      <c r="Q1443" s="203">
        <f t="shared" si="181"/>
        <v>29.900000000001562</v>
      </c>
      <c r="R1443" s="160" t="s">
        <v>55</v>
      </c>
      <c r="S1443" s="201">
        <f t="shared" si="182"/>
        <v>-3.8955477784440196E-2</v>
      </c>
    </row>
    <row r="1444" spans="1:19">
      <c r="A1444" s="196">
        <v>42065</v>
      </c>
      <c r="B1444" s="122">
        <v>22.799999</v>
      </c>
      <c r="C1444" s="122">
        <v>22.799999</v>
      </c>
      <c r="D1444" s="122">
        <v>22.049999</v>
      </c>
      <c r="E1444" s="122">
        <v>22.24</v>
      </c>
      <c r="F1444" s="122">
        <v>18.471972000000001</v>
      </c>
      <c r="G1444" s="197">
        <v>95400</v>
      </c>
      <c r="H1444" s="198">
        <f>IF(AND(E1443&gt;=H1443,E1444&gt;=E1443),E1443*(1+'Trading Model'!$E$13),IF(AND(E1444&lt;E1443,E1443&gt;=H1443),E1444*(1+'Trading Model'!$E$13),H1443))</f>
        <v>27.698998950000004</v>
      </c>
      <c r="I1444" s="198">
        <f>IF(K1444&gt;0,E1444*(1-'Trading Model'!E1454),IF(E1444&lt;I1443,I1443*(1-'Trading Model'!$E$14),I1443))</f>
        <v>8.9840153609188427</v>
      </c>
      <c r="J1444" s="198">
        <f t="shared" si="183"/>
        <v>0</v>
      </c>
      <c r="K1444" s="198">
        <f t="shared" si="178"/>
        <v>0</v>
      </c>
      <c r="L1444" s="198">
        <f>COUNTIF(J1444:K1444,"&lt;&gt;0")*-'Trading Model'!$E$15</f>
        <v>0</v>
      </c>
      <c r="M1444" s="198">
        <f t="shared" si="176"/>
        <v>0</v>
      </c>
      <c r="N1444" s="75">
        <f t="shared" si="179"/>
        <v>45</v>
      </c>
      <c r="O1444" s="202">
        <f t="shared" si="180"/>
        <v>0</v>
      </c>
      <c r="P1444" s="199">
        <f t="shared" si="177"/>
        <v>0</v>
      </c>
      <c r="Q1444" s="203">
        <f t="shared" si="181"/>
        <v>29.80000000000156</v>
      </c>
      <c r="R1444" s="203" t="s">
        <v>55</v>
      </c>
      <c r="S1444" s="201">
        <f t="shared" si="182"/>
        <v>-9.3541643940239227E-3</v>
      </c>
    </row>
    <row r="1445" spans="1:19">
      <c r="A1445" s="196">
        <v>42066</v>
      </c>
      <c r="B1445" s="122">
        <v>22.059999000000001</v>
      </c>
      <c r="C1445" s="122">
        <v>22.959999</v>
      </c>
      <c r="D1445" s="122">
        <v>22.049999</v>
      </c>
      <c r="E1445" s="122">
        <v>22.83</v>
      </c>
      <c r="F1445" s="122">
        <v>18.962011</v>
      </c>
      <c r="G1445" s="197">
        <v>306900</v>
      </c>
      <c r="H1445" s="198">
        <f>IF(AND(E1444&gt;=H1444,E1445&gt;=E1444),E1444*(1+'Trading Model'!$E$13),IF(AND(E1445&lt;E1444,E1444&gt;=H1444),E1445*(1+'Trading Model'!$E$13),H1444))</f>
        <v>27.698998950000004</v>
      </c>
      <c r="I1445" s="198">
        <f>IF(K1445&gt;0,E1445*(1-'Trading Model'!E1455),IF(E1445&lt;I1444,I1444*(1-'Trading Model'!$E$14),I1444))</f>
        <v>8.9840153609188427</v>
      </c>
      <c r="J1445" s="198">
        <f t="shared" si="183"/>
        <v>0</v>
      </c>
      <c r="K1445" s="198">
        <f t="shared" si="178"/>
        <v>0</v>
      </c>
      <c r="L1445" s="198">
        <f>COUNTIF(J1445:K1445,"&lt;&gt;0")*-'Trading Model'!$E$15</f>
        <v>0</v>
      </c>
      <c r="M1445" s="198">
        <f t="shared" si="176"/>
        <v>0</v>
      </c>
      <c r="N1445" s="75">
        <f t="shared" si="179"/>
        <v>45</v>
      </c>
      <c r="O1445" s="202">
        <f t="shared" si="180"/>
        <v>0</v>
      </c>
      <c r="P1445" s="199">
        <f t="shared" si="177"/>
        <v>0</v>
      </c>
      <c r="Q1445" s="203">
        <f t="shared" si="181"/>
        <v>29.80000000000156</v>
      </c>
      <c r="R1445" s="203" t="s">
        <v>55</v>
      </c>
      <c r="S1445" s="201">
        <f t="shared" si="182"/>
        <v>2.6528776978417268E-2</v>
      </c>
    </row>
    <row r="1446" spans="1:19">
      <c r="A1446" s="196">
        <v>42067</v>
      </c>
      <c r="B1446" s="122">
        <v>22.57</v>
      </c>
      <c r="C1446" s="122">
        <v>22.809999000000001</v>
      </c>
      <c r="D1446" s="122">
        <v>22.15</v>
      </c>
      <c r="E1446" s="122">
        <v>22.530000999999999</v>
      </c>
      <c r="F1446" s="122">
        <v>18.712838999999999</v>
      </c>
      <c r="G1446" s="197">
        <v>59900</v>
      </c>
      <c r="H1446" s="198">
        <f>IF(AND(E1445&gt;=H1445,E1446&gt;=E1445),E1445*(1+'Trading Model'!$E$13),IF(AND(E1446&lt;E1445,E1445&gt;=H1445),E1446*(1+'Trading Model'!$E$13),H1445))</f>
        <v>27.698998950000004</v>
      </c>
      <c r="I1446" s="198">
        <f>IF(K1446&gt;0,E1446*(1-'Trading Model'!E1456),IF(E1446&lt;I1445,I1445*(1-'Trading Model'!$E$14),I1445))</f>
        <v>8.9840153609188427</v>
      </c>
      <c r="J1446" s="198">
        <f t="shared" si="183"/>
        <v>0</v>
      </c>
      <c r="K1446" s="198">
        <f t="shared" si="178"/>
        <v>0</v>
      </c>
      <c r="L1446" s="198">
        <f>COUNTIF(J1446:K1446,"&lt;&gt;0")*-'Trading Model'!$E$15</f>
        <v>0</v>
      </c>
      <c r="M1446" s="198">
        <f t="shared" si="176"/>
        <v>0</v>
      </c>
      <c r="N1446" s="75">
        <f t="shared" si="179"/>
        <v>45</v>
      </c>
      <c r="O1446" s="202">
        <f t="shared" si="180"/>
        <v>0</v>
      </c>
      <c r="P1446" s="199">
        <f t="shared" si="177"/>
        <v>0</v>
      </c>
      <c r="Q1446" s="203">
        <f t="shared" si="181"/>
        <v>29.700000000001559</v>
      </c>
      <c r="R1446" s="203" t="s">
        <v>55</v>
      </c>
      <c r="S1446" s="201">
        <f t="shared" si="182"/>
        <v>-1.3140560665790613E-2</v>
      </c>
    </row>
    <row r="1447" spans="1:19">
      <c r="A1447" s="196">
        <v>42068</v>
      </c>
      <c r="B1447" s="122">
        <v>22.440000999999999</v>
      </c>
      <c r="C1447" s="122">
        <v>23.459999</v>
      </c>
      <c r="D1447" s="122">
        <v>22.24</v>
      </c>
      <c r="E1447" s="122">
        <v>23.18</v>
      </c>
      <c r="F1447" s="122">
        <v>19.252711999999999</v>
      </c>
      <c r="G1447" s="197">
        <v>116100</v>
      </c>
      <c r="H1447" s="198">
        <f>IF(AND(E1446&gt;=H1446,E1447&gt;=E1446),E1446*(1+'Trading Model'!$E$13),IF(AND(E1447&lt;E1446,E1446&gt;=H1446),E1447*(1+'Trading Model'!$E$13),H1446))</f>
        <v>27.698998950000004</v>
      </c>
      <c r="I1447" s="198">
        <f>IF(K1447&gt;0,E1447*(1-'Trading Model'!E1457),IF(E1447&lt;I1446,I1446*(1-'Trading Model'!$E$14),I1446))</f>
        <v>8.9840153609188427</v>
      </c>
      <c r="J1447" s="198">
        <f t="shared" si="183"/>
        <v>0</v>
      </c>
      <c r="K1447" s="198">
        <f t="shared" si="178"/>
        <v>0</v>
      </c>
      <c r="L1447" s="198">
        <f>COUNTIF(J1447:K1447,"&lt;&gt;0")*-'Trading Model'!$E$15</f>
        <v>0</v>
      </c>
      <c r="M1447" s="198">
        <f t="shared" si="176"/>
        <v>0</v>
      </c>
      <c r="N1447" s="75">
        <f t="shared" si="179"/>
        <v>45</v>
      </c>
      <c r="O1447" s="202">
        <f t="shared" si="180"/>
        <v>0</v>
      </c>
      <c r="P1447" s="199">
        <f t="shared" si="177"/>
        <v>0</v>
      </c>
      <c r="Q1447" s="203">
        <f t="shared" si="181"/>
        <v>29.700000000001559</v>
      </c>
      <c r="R1447" s="201">
        <f>E1447/B1443-1</f>
        <v>-7.2805139186296053E-3</v>
      </c>
      <c r="S1447" s="201">
        <f t="shared" si="182"/>
        <v>2.8850375994213362E-2</v>
      </c>
    </row>
    <row r="1448" spans="1:19">
      <c r="A1448" s="196">
        <v>42069</v>
      </c>
      <c r="B1448" s="122">
        <v>22.99</v>
      </c>
      <c r="C1448" s="122">
        <v>23.549999</v>
      </c>
      <c r="D1448" s="122">
        <v>22.76</v>
      </c>
      <c r="E1448" s="122">
        <v>23.09</v>
      </c>
      <c r="F1448" s="122">
        <v>19.177961</v>
      </c>
      <c r="G1448" s="197">
        <v>119800</v>
      </c>
      <c r="H1448" s="198">
        <f>IF(AND(E1447&gt;=H1447,E1448&gt;=E1447),E1447*(1+'Trading Model'!$E$13),IF(AND(E1448&lt;E1447,E1447&gt;=H1447),E1448*(1+'Trading Model'!$E$13),H1447))</f>
        <v>27.698998950000004</v>
      </c>
      <c r="I1448" s="198">
        <f>IF(K1448&gt;0,E1448*(1-'Trading Model'!E1458),IF(E1448&lt;I1447,I1447*(1-'Trading Model'!$E$14),I1447))</f>
        <v>8.9840153609188427</v>
      </c>
      <c r="J1448" s="198">
        <f t="shared" si="183"/>
        <v>0</v>
      </c>
      <c r="K1448" s="198">
        <f t="shared" si="178"/>
        <v>0</v>
      </c>
      <c r="L1448" s="198">
        <f>COUNTIF(J1448:K1448,"&lt;&gt;0")*-'Trading Model'!$E$15</f>
        <v>0</v>
      </c>
      <c r="M1448" s="198">
        <f t="shared" si="176"/>
        <v>0</v>
      </c>
      <c r="N1448" s="75">
        <f t="shared" si="179"/>
        <v>45</v>
      </c>
      <c r="O1448" s="202">
        <f t="shared" si="180"/>
        <v>0</v>
      </c>
      <c r="P1448" s="199">
        <f t="shared" si="177"/>
        <v>0</v>
      </c>
      <c r="Q1448" s="203">
        <f t="shared" si="181"/>
        <v>29.600000000001558</v>
      </c>
      <c r="R1448" s="160" t="s">
        <v>55</v>
      </c>
      <c r="S1448" s="201">
        <f t="shared" si="182"/>
        <v>-3.8826574633304967E-3</v>
      </c>
    </row>
    <row r="1449" spans="1:19">
      <c r="A1449" s="196">
        <v>42072</v>
      </c>
      <c r="B1449" s="122">
        <v>22.959999</v>
      </c>
      <c r="C1449" s="122">
        <v>23.219999000000001</v>
      </c>
      <c r="D1449" s="122">
        <v>22.52</v>
      </c>
      <c r="E1449" s="122">
        <v>22.98</v>
      </c>
      <c r="F1449" s="122">
        <v>19.086597000000001</v>
      </c>
      <c r="G1449" s="197">
        <v>61000</v>
      </c>
      <c r="H1449" s="198">
        <f>IF(AND(E1448&gt;=H1448,E1449&gt;=E1448),E1448*(1+'Trading Model'!$E$13),IF(AND(E1449&lt;E1448,E1448&gt;=H1448),E1449*(1+'Trading Model'!$E$13),H1448))</f>
        <v>27.698998950000004</v>
      </c>
      <c r="I1449" s="198">
        <f>IF(K1449&gt;0,E1449*(1-'Trading Model'!E1459),IF(E1449&lt;I1448,I1448*(1-'Trading Model'!$E$14),I1448))</f>
        <v>8.9840153609188427</v>
      </c>
      <c r="J1449" s="198">
        <f t="shared" si="183"/>
        <v>0</v>
      </c>
      <c r="K1449" s="198">
        <f t="shared" si="178"/>
        <v>0</v>
      </c>
      <c r="L1449" s="198">
        <f>COUNTIF(J1449:K1449,"&lt;&gt;0")*-'Trading Model'!$E$15</f>
        <v>0</v>
      </c>
      <c r="M1449" s="198">
        <f t="shared" si="176"/>
        <v>0</v>
      </c>
      <c r="N1449" s="75">
        <f t="shared" si="179"/>
        <v>45</v>
      </c>
      <c r="O1449" s="202">
        <f t="shared" si="180"/>
        <v>0</v>
      </c>
      <c r="P1449" s="199">
        <f t="shared" si="177"/>
        <v>0</v>
      </c>
      <c r="Q1449" s="203">
        <f t="shared" si="181"/>
        <v>29.500000000001556</v>
      </c>
      <c r="R1449" s="203" t="s">
        <v>55</v>
      </c>
      <c r="S1449" s="201">
        <f t="shared" si="182"/>
        <v>-4.7639670853183436E-3</v>
      </c>
    </row>
    <row r="1450" spans="1:19">
      <c r="A1450" s="196">
        <v>42073</v>
      </c>
      <c r="B1450" s="122">
        <v>22.91</v>
      </c>
      <c r="C1450" s="122">
        <v>22.91</v>
      </c>
      <c r="D1450" s="122">
        <v>22.299999</v>
      </c>
      <c r="E1450" s="122">
        <v>22.540001</v>
      </c>
      <c r="F1450" s="122">
        <v>18.721146000000001</v>
      </c>
      <c r="G1450" s="197">
        <v>109500</v>
      </c>
      <c r="H1450" s="198">
        <f>IF(AND(E1449&gt;=H1449,E1450&gt;=E1449),E1449*(1+'Trading Model'!$E$13),IF(AND(E1450&lt;E1449,E1449&gt;=H1449),E1450*(1+'Trading Model'!$E$13),H1449))</f>
        <v>27.698998950000004</v>
      </c>
      <c r="I1450" s="198">
        <f>IF(K1450&gt;0,E1450*(1-'Trading Model'!E1460),IF(E1450&lt;I1449,I1449*(1-'Trading Model'!$E$14),I1449))</f>
        <v>8.9840153609188427</v>
      </c>
      <c r="J1450" s="198">
        <f t="shared" si="183"/>
        <v>0</v>
      </c>
      <c r="K1450" s="198">
        <f t="shared" si="178"/>
        <v>0</v>
      </c>
      <c r="L1450" s="198">
        <f>COUNTIF(J1450:K1450,"&lt;&gt;0")*-'Trading Model'!$E$15</f>
        <v>0</v>
      </c>
      <c r="M1450" s="198">
        <f t="shared" si="176"/>
        <v>0</v>
      </c>
      <c r="N1450" s="75">
        <f t="shared" si="179"/>
        <v>45</v>
      </c>
      <c r="O1450" s="202">
        <f t="shared" si="180"/>
        <v>0</v>
      </c>
      <c r="P1450" s="199">
        <f t="shared" si="177"/>
        <v>0</v>
      </c>
      <c r="Q1450" s="203">
        <f t="shared" si="181"/>
        <v>29.400000000001555</v>
      </c>
      <c r="R1450" s="203" t="s">
        <v>55</v>
      </c>
      <c r="S1450" s="201">
        <f t="shared" si="182"/>
        <v>-1.914704090513486E-2</v>
      </c>
    </row>
    <row r="1451" spans="1:19">
      <c r="A1451" s="196">
        <v>42074</v>
      </c>
      <c r="B1451" s="122">
        <v>22.43</v>
      </c>
      <c r="C1451" s="122">
        <v>23.200001</v>
      </c>
      <c r="D1451" s="122">
        <v>22.360001</v>
      </c>
      <c r="E1451" s="122">
        <v>23.07</v>
      </c>
      <c r="F1451" s="122">
        <v>19.161349999999999</v>
      </c>
      <c r="G1451" s="197">
        <v>81700</v>
      </c>
      <c r="H1451" s="198">
        <f>IF(AND(E1450&gt;=H1450,E1451&gt;=E1450),E1450*(1+'Trading Model'!$E$13),IF(AND(E1451&lt;E1450,E1450&gt;=H1450),E1451*(1+'Trading Model'!$E$13),H1450))</f>
        <v>27.698998950000004</v>
      </c>
      <c r="I1451" s="198">
        <f>IF(K1451&gt;0,E1451*(1-'Trading Model'!E1461),IF(E1451&lt;I1450,I1450*(1-'Trading Model'!$E$14),I1450))</f>
        <v>8.9840153609188427</v>
      </c>
      <c r="J1451" s="198">
        <f t="shared" si="183"/>
        <v>0</v>
      </c>
      <c r="K1451" s="198">
        <f t="shared" si="178"/>
        <v>0</v>
      </c>
      <c r="L1451" s="198">
        <f>COUNTIF(J1451:K1451,"&lt;&gt;0")*-'Trading Model'!$E$15</f>
        <v>0</v>
      </c>
      <c r="M1451" s="198">
        <f t="shared" si="176"/>
        <v>0</v>
      </c>
      <c r="N1451" s="75">
        <f t="shared" si="179"/>
        <v>45</v>
      </c>
      <c r="O1451" s="202">
        <f t="shared" si="180"/>
        <v>0</v>
      </c>
      <c r="P1451" s="199">
        <f t="shared" si="177"/>
        <v>0</v>
      </c>
      <c r="Q1451" s="203">
        <f t="shared" si="181"/>
        <v>29.400000000001555</v>
      </c>
      <c r="R1451" s="203" t="s">
        <v>55</v>
      </c>
      <c r="S1451" s="201">
        <f t="shared" si="182"/>
        <v>2.3513707918646487E-2</v>
      </c>
    </row>
    <row r="1452" spans="1:19">
      <c r="A1452" s="196">
        <v>42075</v>
      </c>
      <c r="B1452" s="122">
        <v>23.27</v>
      </c>
      <c r="C1452" s="122">
        <v>24</v>
      </c>
      <c r="D1452" s="122">
        <v>22.9</v>
      </c>
      <c r="E1452" s="122">
        <v>23.139999</v>
      </c>
      <c r="F1452" s="122">
        <v>19.219487999999998</v>
      </c>
      <c r="G1452" s="197">
        <v>186600</v>
      </c>
      <c r="H1452" s="198">
        <f>IF(AND(E1451&gt;=H1451,E1452&gt;=E1451),E1451*(1+'Trading Model'!$E$13),IF(AND(E1452&lt;E1451,E1451&gt;=H1451),E1452*(1+'Trading Model'!$E$13),H1451))</f>
        <v>27.698998950000004</v>
      </c>
      <c r="I1452" s="198">
        <f>IF(K1452&gt;0,E1452*(1-'Trading Model'!E1462),IF(E1452&lt;I1451,I1451*(1-'Trading Model'!$E$14),I1451))</f>
        <v>8.9840153609188427</v>
      </c>
      <c r="J1452" s="198">
        <f t="shared" si="183"/>
        <v>0</v>
      </c>
      <c r="K1452" s="198">
        <f t="shared" si="178"/>
        <v>0</v>
      </c>
      <c r="L1452" s="198">
        <f>COUNTIF(J1452:K1452,"&lt;&gt;0")*-'Trading Model'!$E$15</f>
        <v>0</v>
      </c>
      <c r="M1452" s="198">
        <f t="shared" si="176"/>
        <v>0</v>
      </c>
      <c r="N1452" s="75">
        <f t="shared" si="179"/>
        <v>45</v>
      </c>
      <c r="O1452" s="202">
        <f t="shared" si="180"/>
        <v>0</v>
      </c>
      <c r="P1452" s="199">
        <f t="shared" si="177"/>
        <v>0</v>
      </c>
      <c r="Q1452" s="203">
        <f t="shared" si="181"/>
        <v>29.400000000001555</v>
      </c>
      <c r="R1452" s="201">
        <f>E1452/B1448-1</f>
        <v>6.5245324053937459E-3</v>
      </c>
      <c r="S1452" s="201">
        <f t="shared" si="182"/>
        <v>3.0342002600780571E-3</v>
      </c>
    </row>
    <row r="1453" spans="1:19">
      <c r="A1453" s="196">
        <v>42076</v>
      </c>
      <c r="B1453" s="122">
        <v>22.959999</v>
      </c>
      <c r="C1453" s="122">
        <v>23.41</v>
      </c>
      <c r="D1453" s="122">
        <v>22.6</v>
      </c>
      <c r="E1453" s="122">
        <v>23.07</v>
      </c>
      <c r="F1453" s="122">
        <v>19.161349999999999</v>
      </c>
      <c r="G1453" s="197">
        <v>88800</v>
      </c>
      <c r="H1453" s="198">
        <f>IF(AND(E1452&gt;=H1452,E1453&gt;=E1452),E1452*(1+'Trading Model'!$E$13),IF(AND(E1453&lt;E1452,E1452&gt;=H1452),E1453*(1+'Trading Model'!$E$13),H1452))</f>
        <v>27.698998950000004</v>
      </c>
      <c r="I1453" s="198">
        <f>IF(K1453&gt;0,E1453*(1-'Trading Model'!E1463),IF(E1453&lt;I1452,I1452*(1-'Trading Model'!$E$14),I1452))</f>
        <v>8.9840153609188427</v>
      </c>
      <c r="J1453" s="198">
        <f t="shared" si="183"/>
        <v>0</v>
      </c>
      <c r="K1453" s="198">
        <f t="shared" si="178"/>
        <v>0</v>
      </c>
      <c r="L1453" s="198">
        <f>COUNTIF(J1453:K1453,"&lt;&gt;0")*-'Trading Model'!$E$15</f>
        <v>0</v>
      </c>
      <c r="M1453" s="198">
        <f t="shared" si="176"/>
        <v>0</v>
      </c>
      <c r="N1453" s="75">
        <f t="shared" si="179"/>
        <v>45</v>
      </c>
      <c r="O1453" s="202">
        <f t="shared" si="180"/>
        <v>0</v>
      </c>
      <c r="P1453" s="199">
        <f t="shared" si="177"/>
        <v>0</v>
      </c>
      <c r="Q1453" s="203">
        <f t="shared" si="181"/>
        <v>29.300000000001553</v>
      </c>
      <c r="R1453" s="160" t="s">
        <v>55</v>
      </c>
      <c r="S1453" s="201">
        <f t="shared" si="182"/>
        <v>-3.0250217383327449E-3</v>
      </c>
    </row>
    <row r="1454" spans="1:19">
      <c r="A1454" s="196">
        <v>42079</v>
      </c>
      <c r="B1454" s="122">
        <v>23.34</v>
      </c>
      <c r="C1454" s="122">
        <v>24.700001</v>
      </c>
      <c r="D1454" s="122">
        <v>22.59</v>
      </c>
      <c r="E1454" s="122">
        <v>24.66</v>
      </c>
      <c r="F1454" s="122">
        <v>20.481960000000001</v>
      </c>
      <c r="G1454" s="197">
        <v>214200</v>
      </c>
      <c r="H1454" s="198">
        <f>IF(AND(E1453&gt;=H1453,E1454&gt;=E1453),E1453*(1+'Trading Model'!$E$13),IF(AND(E1454&lt;E1453,E1453&gt;=H1453),E1454*(1+'Trading Model'!$E$13),H1453))</f>
        <v>27.698998950000004</v>
      </c>
      <c r="I1454" s="198">
        <f>IF(K1454&gt;0,E1454*(1-'Trading Model'!E1464),IF(E1454&lt;I1453,I1453*(1-'Trading Model'!$E$14),I1453))</f>
        <v>8.9840153609188427</v>
      </c>
      <c r="J1454" s="198">
        <f t="shared" si="183"/>
        <v>0</v>
      </c>
      <c r="K1454" s="198">
        <f t="shared" si="178"/>
        <v>0</v>
      </c>
      <c r="L1454" s="198">
        <f>COUNTIF(J1454:K1454,"&lt;&gt;0")*-'Trading Model'!$E$15</f>
        <v>0</v>
      </c>
      <c r="M1454" s="198">
        <f t="shared" si="176"/>
        <v>0</v>
      </c>
      <c r="N1454" s="75">
        <f t="shared" si="179"/>
        <v>45</v>
      </c>
      <c r="O1454" s="202">
        <f t="shared" si="180"/>
        <v>0</v>
      </c>
      <c r="P1454" s="199">
        <f t="shared" si="177"/>
        <v>0</v>
      </c>
      <c r="Q1454" s="203">
        <f t="shared" si="181"/>
        <v>29.300000000001553</v>
      </c>
      <c r="R1454" s="203" t="s">
        <v>55</v>
      </c>
      <c r="S1454" s="201">
        <f t="shared" si="182"/>
        <v>6.8920676202860909E-2</v>
      </c>
    </row>
    <row r="1455" spans="1:19">
      <c r="A1455" s="196">
        <v>42080</v>
      </c>
      <c r="B1455" s="122">
        <v>24.65</v>
      </c>
      <c r="C1455" s="122">
        <v>26</v>
      </c>
      <c r="D1455" s="122">
        <v>24.43</v>
      </c>
      <c r="E1455" s="122">
        <v>25.74</v>
      </c>
      <c r="F1455" s="122">
        <v>21.378979000000001</v>
      </c>
      <c r="G1455" s="197">
        <v>325400</v>
      </c>
      <c r="H1455" s="198">
        <f>IF(AND(E1454&gt;=H1454,E1455&gt;=E1454),E1454*(1+'Trading Model'!$E$13),IF(AND(E1455&lt;E1454,E1454&gt;=H1454),E1455*(1+'Trading Model'!$E$13),H1454))</f>
        <v>27.698998950000004</v>
      </c>
      <c r="I1455" s="198">
        <f>IF(K1455&gt;0,E1455*(1-'Trading Model'!E1465),IF(E1455&lt;I1454,I1454*(1-'Trading Model'!$E$14),I1454))</f>
        <v>8.9840153609188427</v>
      </c>
      <c r="J1455" s="198">
        <f t="shared" si="183"/>
        <v>0</v>
      </c>
      <c r="K1455" s="198">
        <f t="shared" si="178"/>
        <v>0</v>
      </c>
      <c r="L1455" s="198">
        <f>COUNTIF(J1455:K1455,"&lt;&gt;0")*-'Trading Model'!$E$15</f>
        <v>0</v>
      </c>
      <c r="M1455" s="198">
        <f t="shared" si="176"/>
        <v>0</v>
      </c>
      <c r="N1455" s="75">
        <f t="shared" si="179"/>
        <v>45</v>
      </c>
      <c r="O1455" s="202">
        <f t="shared" si="180"/>
        <v>0</v>
      </c>
      <c r="P1455" s="199">
        <f t="shared" si="177"/>
        <v>0</v>
      </c>
      <c r="Q1455" s="203">
        <f t="shared" si="181"/>
        <v>29.300000000001553</v>
      </c>
      <c r="R1455" s="203" t="s">
        <v>55</v>
      </c>
      <c r="S1455" s="201">
        <f t="shared" si="182"/>
        <v>4.3795620437956151E-2</v>
      </c>
    </row>
    <row r="1456" spans="1:19">
      <c r="A1456" s="196">
        <v>42081</v>
      </c>
      <c r="B1456" s="122">
        <v>25.82</v>
      </c>
      <c r="C1456" s="122">
        <v>26.389999</v>
      </c>
      <c r="D1456" s="122">
        <v>24.49</v>
      </c>
      <c r="E1456" s="122">
        <v>26.040001</v>
      </c>
      <c r="F1456" s="122">
        <v>21.628157000000002</v>
      </c>
      <c r="G1456" s="197">
        <v>383100</v>
      </c>
      <c r="H1456" s="198">
        <f>IF(AND(E1455&gt;=H1455,E1456&gt;=E1455),E1455*(1+'Trading Model'!$E$13),IF(AND(E1456&lt;E1455,E1455&gt;=H1455),E1456*(1+'Trading Model'!$E$13),H1455))</f>
        <v>27.698998950000004</v>
      </c>
      <c r="I1456" s="198">
        <f>IF(K1456&gt;0,E1456*(1-'Trading Model'!E1466),IF(E1456&lt;I1455,I1455*(1-'Trading Model'!$E$14),I1455))</f>
        <v>8.9840153609188427</v>
      </c>
      <c r="J1456" s="198">
        <f t="shared" si="183"/>
        <v>0</v>
      </c>
      <c r="K1456" s="198">
        <f t="shared" si="178"/>
        <v>0</v>
      </c>
      <c r="L1456" s="198">
        <f>COUNTIF(J1456:K1456,"&lt;&gt;0")*-'Trading Model'!$E$15</f>
        <v>0</v>
      </c>
      <c r="M1456" s="198">
        <f t="shared" si="176"/>
        <v>0</v>
      </c>
      <c r="N1456" s="75">
        <f t="shared" si="179"/>
        <v>45</v>
      </c>
      <c r="O1456" s="202">
        <f t="shared" si="180"/>
        <v>0</v>
      </c>
      <c r="P1456" s="199">
        <f t="shared" si="177"/>
        <v>0</v>
      </c>
      <c r="Q1456" s="203">
        <f t="shared" si="181"/>
        <v>29.300000000001553</v>
      </c>
      <c r="R1456" s="203" t="s">
        <v>55</v>
      </c>
      <c r="S1456" s="201">
        <f t="shared" si="182"/>
        <v>1.1655050505050557E-2</v>
      </c>
    </row>
    <row r="1457" spans="1:19">
      <c r="A1457" s="196">
        <v>42082</v>
      </c>
      <c r="B1457" s="122">
        <v>26.01</v>
      </c>
      <c r="C1457" s="122">
        <v>26.040001</v>
      </c>
      <c r="D1457" s="122">
        <v>25.139999</v>
      </c>
      <c r="E1457" s="122">
        <v>25.57</v>
      </c>
      <c r="F1457" s="122">
        <v>21.237784999999999</v>
      </c>
      <c r="G1457" s="197">
        <v>238300</v>
      </c>
      <c r="H1457" s="198">
        <f>IF(AND(E1456&gt;=H1456,E1457&gt;=E1456),E1456*(1+'Trading Model'!$E$13),IF(AND(E1457&lt;E1456,E1456&gt;=H1456),E1457*(1+'Trading Model'!$E$13),H1456))</f>
        <v>27.698998950000004</v>
      </c>
      <c r="I1457" s="198">
        <f>IF(K1457&gt;0,E1457*(1-'Trading Model'!E1467),IF(E1457&lt;I1456,I1456*(1-'Trading Model'!$E$14),I1456))</f>
        <v>8.9840153609188427</v>
      </c>
      <c r="J1457" s="198">
        <f t="shared" si="183"/>
        <v>0</v>
      </c>
      <c r="K1457" s="198">
        <f t="shared" si="178"/>
        <v>0</v>
      </c>
      <c r="L1457" s="198">
        <f>COUNTIF(J1457:K1457,"&lt;&gt;0")*-'Trading Model'!$E$15</f>
        <v>0</v>
      </c>
      <c r="M1457" s="198">
        <f t="shared" si="176"/>
        <v>0</v>
      </c>
      <c r="N1457" s="75">
        <f t="shared" si="179"/>
        <v>45</v>
      </c>
      <c r="O1457" s="202">
        <f t="shared" si="180"/>
        <v>0</v>
      </c>
      <c r="P1457" s="199">
        <f t="shared" si="177"/>
        <v>0</v>
      </c>
      <c r="Q1457" s="203">
        <f t="shared" si="181"/>
        <v>29.200000000001552</v>
      </c>
      <c r="R1457" s="201">
        <f>E1457/B1453-1</f>
        <v>0.11367600669320588</v>
      </c>
      <c r="S1457" s="201">
        <f t="shared" si="182"/>
        <v>-1.8049192855253748E-2</v>
      </c>
    </row>
    <row r="1458" spans="1:19">
      <c r="A1458" s="196">
        <v>42083</v>
      </c>
      <c r="B1458" s="122">
        <v>25.6</v>
      </c>
      <c r="C1458" s="122">
        <v>25.799999</v>
      </c>
      <c r="D1458" s="122">
        <v>25.309999000000001</v>
      </c>
      <c r="E1458" s="122">
        <v>25.35</v>
      </c>
      <c r="F1458" s="122">
        <v>21.055057999999999</v>
      </c>
      <c r="G1458" s="197">
        <v>359300</v>
      </c>
      <c r="H1458" s="198">
        <f>IF(AND(E1457&gt;=H1457,E1458&gt;=E1457),E1457*(1+'Trading Model'!$E$13),IF(AND(E1458&lt;E1457,E1457&gt;=H1457),E1458*(1+'Trading Model'!$E$13),H1457))</f>
        <v>27.698998950000004</v>
      </c>
      <c r="I1458" s="198">
        <f>IF(K1458&gt;0,E1458*(1-'Trading Model'!E1468),IF(E1458&lt;I1457,I1457*(1-'Trading Model'!$E$14),I1457))</f>
        <v>8.9840153609188427</v>
      </c>
      <c r="J1458" s="198">
        <f t="shared" si="183"/>
        <v>0</v>
      </c>
      <c r="K1458" s="198">
        <f t="shared" si="178"/>
        <v>0</v>
      </c>
      <c r="L1458" s="198">
        <f>COUNTIF(J1458:K1458,"&lt;&gt;0")*-'Trading Model'!$E$15</f>
        <v>0</v>
      </c>
      <c r="M1458" s="198">
        <f t="shared" si="176"/>
        <v>0</v>
      </c>
      <c r="N1458" s="75">
        <f t="shared" si="179"/>
        <v>45</v>
      </c>
      <c r="O1458" s="202">
        <f t="shared" si="180"/>
        <v>0</v>
      </c>
      <c r="P1458" s="199">
        <f t="shared" si="177"/>
        <v>0</v>
      </c>
      <c r="Q1458" s="203">
        <f t="shared" si="181"/>
        <v>29.10000000000155</v>
      </c>
      <c r="R1458" s="160" t="s">
        <v>55</v>
      </c>
      <c r="S1458" s="201">
        <f t="shared" si="182"/>
        <v>-8.603832616347229E-3</v>
      </c>
    </row>
    <row r="1459" spans="1:19">
      <c r="A1459" s="196">
        <v>42086</v>
      </c>
      <c r="B1459" s="122">
        <v>25.09</v>
      </c>
      <c r="C1459" s="122">
        <v>25.370000999999998</v>
      </c>
      <c r="D1459" s="122">
        <v>23.879999000000002</v>
      </c>
      <c r="E1459" s="122">
        <v>24</v>
      </c>
      <c r="F1459" s="122">
        <v>19.933782999999998</v>
      </c>
      <c r="G1459" s="197">
        <v>165000</v>
      </c>
      <c r="H1459" s="198">
        <f>IF(AND(E1458&gt;=H1458,E1459&gt;=E1458),E1458*(1+'Trading Model'!$E$13),IF(AND(E1459&lt;E1458,E1458&gt;=H1458),E1459*(1+'Trading Model'!$E$13),H1458))</f>
        <v>27.698998950000004</v>
      </c>
      <c r="I1459" s="198">
        <f>IF(K1459&gt;0,E1459*(1-'Trading Model'!E1469),IF(E1459&lt;I1458,I1458*(1-'Trading Model'!$E$14),I1458))</f>
        <v>8.9840153609188427</v>
      </c>
      <c r="J1459" s="198">
        <f t="shared" si="183"/>
        <v>0</v>
      </c>
      <c r="K1459" s="198">
        <f t="shared" si="178"/>
        <v>0</v>
      </c>
      <c r="L1459" s="198">
        <f>COUNTIF(J1459:K1459,"&lt;&gt;0")*-'Trading Model'!$E$15</f>
        <v>0</v>
      </c>
      <c r="M1459" s="198">
        <f t="shared" si="176"/>
        <v>0</v>
      </c>
      <c r="N1459" s="75">
        <f t="shared" si="179"/>
        <v>45</v>
      </c>
      <c r="O1459" s="202">
        <f t="shared" si="180"/>
        <v>0</v>
      </c>
      <c r="P1459" s="199">
        <f t="shared" si="177"/>
        <v>0</v>
      </c>
      <c r="Q1459" s="203">
        <f t="shared" si="181"/>
        <v>29.000000000001549</v>
      </c>
      <c r="R1459" s="203" t="s">
        <v>55</v>
      </c>
      <c r="S1459" s="201">
        <f t="shared" si="182"/>
        <v>-5.3254437869822535E-2</v>
      </c>
    </row>
    <row r="1460" spans="1:19">
      <c r="A1460" s="196">
        <v>42087</v>
      </c>
      <c r="B1460" s="122">
        <v>24.030000999999999</v>
      </c>
      <c r="C1460" s="122">
        <v>24.26</v>
      </c>
      <c r="D1460" s="122">
        <v>23.209999</v>
      </c>
      <c r="E1460" s="122">
        <v>23.74</v>
      </c>
      <c r="F1460" s="122">
        <v>19.717834</v>
      </c>
      <c r="G1460" s="197">
        <v>86800</v>
      </c>
      <c r="H1460" s="198">
        <f>IF(AND(E1459&gt;=H1459,E1460&gt;=E1459),E1459*(1+'Trading Model'!$E$13),IF(AND(E1460&lt;E1459,E1459&gt;=H1459),E1460*(1+'Trading Model'!$E$13),H1459))</f>
        <v>27.698998950000004</v>
      </c>
      <c r="I1460" s="198">
        <f>IF(K1460&gt;0,E1460*(1-'Trading Model'!E1470),IF(E1460&lt;I1459,I1459*(1-'Trading Model'!$E$14),I1459))</f>
        <v>8.9840153609188427</v>
      </c>
      <c r="J1460" s="198">
        <f t="shared" si="183"/>
        <v>0</v>
      </c>
      <c r="K1460" s="198">
        <f t="shared" si="178"/>
        <v>0</v>
      </c>
      <c r="L1460" s="198">
        <f>COUNTIF(J1460:K1460,"&lt;&gt;0")*-'Trading Model'!$E$15</f>
        <v>0</v>
      </c>
      <c r="M1460" s="198">
        <f t="shared" si="176"/>
        <v>0</v>
      </c>
      <c r="N1460" s="75">
        <f t="shared" si="179"/>
        <v>45</v>
      </c>
      <c r="O1460" s="202">
        <f t="shared" si="180"/>
        <v>0</v>
      </c>
      <c r="P1460" s="199">
        <f t="shared" si="177"/>
        <v>0</v>
      </c>
      <c r="Q1460" s="203">
        <f t="shared" si="181"/>
        <v>28.900000000001548</v>
      </c>
      <c r="R1460" s="203" t="s">
        <v>55</v>
      </c>
      <c r="S1460" s="201">
        <f t="shared" si="182"/>
        <v>-1.0833333333333361E-2</v>
      </c>
    </row>
    <row r="1461" spans="1:19">
      <c r="A1461" s="196">
        <v>42088</v>
      </c>
      <c r="B1461" s="122">
        <v>23.790001</v>
      </c>
      <c r="C1461" s="122">
        <v>23.84</v>
      </c>
      <c r="D1461" s="122">
        <v>23.209999</v>
      </c>
      <c r="E1461" s="122">
        <v>23.690000999999999</v>
      </c>
      <c r="F1461" s="122">
        <v>19.676306</v>
      </c>
      <c r="G1461" s="197">
        <v>104900</v>
      </c>
      <c r="H1461" s="198">
        <f>IF(AND(E1460&gt;=H1460,E1461&gt;=E1460),E1460*(1+'Trading Model'!$E$13),IF(AND(E1461&lt;E1460,E1460&gt;=H1460),E1461*(1+'Trading Model'!$E$13),H1460))</f>
        <v>27.698998950000004</v>
      </c>
      <c r="I1461" s="198">
        <f>IF(K1461&gt;0,E1461*(1-'Trading Model'!E1471),IF(E1461&lt;I1460,I1460*(1-'Trading Model'!$E$14),I1460))</f>
        <v>8.9840153609188427</v>
      </c>
      <c r="J1461" s="198">
        <f t="shared" si="183"/>
        <v>0</v>
      </c>
      <c r="K1461" s="198">
        <f t="shared" si="178"/>
        <v>0</v>
      </c>
      <c r="L1461" s="198">
        <f>COUNTIF(J1461:K1461,"&lt;&gt;0")*-'Trading Model'!$E$15</f>
        <v>0</v>
      </c>
      <c r="M1461" s="198">
        <f t="shared" si="176"/>
        <v>0</v>
      </c>
      <c r="N1461" s="75">
        <f t="shared" si="179"/>
        <v>45</v>
      </c>
      <c r="O1461" s="202">
        <f t="shared" si="180"/>
        <v>0</v>
      </c>
      <c r="P1461" s="199">
        <f t="shared" si="177"/>
        <v>0</v>
      </c>
      <c r="Q1461" s="203">
        <f t="shared" si="181"/>
        <v>28.800000000001546</v>
      </c>
      <c r="R1461" s="203" t="s">
        <v>55</v>
      </c>
      <c r="S1461" s="201">
        <f t="shared" si="182"/>
        <v>-2.1061078348778572E-3</v>
      </c>
    </row>
    <row r="1462" spans="1:19">
      <c r="A1462" s="196">
        <v>42089</v>
      </c>
      <c r="B1462" s="122">
        <v>23.49</v>
      </c>
      <c r="C1462" s="122">
        <v>23.66</v>
      </c>
      <c r="D1462" s="122">
        <v>22.049999</v>
      </c>
      <c r="E1462" s="122">
        <v>22.209999</v>
      </c>
      <c r="F1462" s="122">
        <v>18.447056</v>
      </c>
      <c r="G1462" s="197">
        <v>202400</v>
      </c>
      <c r="H1462" s="198">
        <f>IF(AND(E1461&gt;=H1461,E1462&gt;=E1461),E1461*(1+'Trading Model'!$E$13),IF(AND(E1462&lt;E1461,E1461&gt;=H1461),E1462*(1+'Trading Model'!$E$13),H1461))</f>
        <v>27.698998950000004</v>
      </c>
      <c r="I1462" s="198">
        <f>IF(K1462&gt;0,E1462*(1-'Trading Model'!E1472),IF(E1462&lt;I1461,I1461*(1-'Trading Model'!$E$14),I1461))</f>
        <v>8.9840153609188427</v>
      </c>
      <c r="J1462" s="198">
        <f t="shared" si="183"/>
        <v>0</v>
      </c>
      <c r="K1462" s="198">
        <f t="shared" si="178"/>
        <v>0</v>
      </c>
      <c r="L1462" s="198">
        <f>COUNTIF(J1462:K1462,"&lt;&gt;0")*-'Trading Model'!$E$15</f>
        <v>0</v>
      </c>
      <c r="M1462" s="198">
        <f t="shared" si="176"/>
        <v>0</v>
      </c>
      <c r="N1462" s="75">
        <f t="shared" si="179"/>
        <v>45</v>
      </c>
      <c r="O1462" s="202">
        <f t="shared" si="180"/>
        <v>0</v>
      </c>
      <c r="P1462" s="199">
        <f t="shared" si="177"/>
        <v>0</v>
      </c>
      <c r="Q1462" s="203">
        <f t="shared" si="181"/>
        <v>28.700000000001545</v>
      </c>
      <c r="R1462" s="201">
        <f>E1462/B1458-1</f>
        <v>-0.13242191406250003</v>
      </c>
      <c r="S1462" s="201">
        <f t="shared" si="182"/>
        <v>-6.2473699346825673E-2</v>
      </c>
    </row>
    <row r="1463" spans="1:19">
      <c r="A1463" s="196">
        <v>42090</v>
      </c>
      <c r="B1463" s="122">
        <v>22.24</v>
      </c>
      <c r="C1463" s="122">
        <v>23.110001</v>
      </c>
      <c r="D1463" s="122">
        <v>22.24</v>
      </c>
      <c r="E1463" s="122">
        <v>22.77</v>
      </c>
      <c r="F1463" s="122">
        <v>18.912178000000001</v>
      </c>
      <c r="G1463" s="197">
        <v>221000</v>
      </c>
      <c r="H1463" s="198">
        <f>IF(AND(E1462&gt;=H1462,E1463&gt;=E1462),E1462*(1+'Trading Model'!$E$13),IF(AND(E1463&lt;E1462,E1462&gt;=H1462),E1463*(1+'Trading Model'!$E$13),H1462))</f>
        <v>27.698998950000004</v>
      </c>
      <c r="I1463" s="198">
        <f>IF(K1463&gt;0,E1463*(1-'Trading Model'!E1473),IF(E1463&lt;I1462,I1462*(1-'Trading Model'!$E$14),I1462))</f>
        <v>8.9840153609188427</v>
      </c>
      <c r="J1463" s="198">
        <f t="shared" si="183"/>
        <v>0</v>
      </c>
      <c r="K1463" s="198">
        <f t="shared" si="178"/>
        <v>0</v>
      </c>
      <c r="L1463" s="198">
        <f>COUNTIF(J1463:K1463,"&lt;&gt;0")*-'Trading Model'!$E$15</f>
        <v>0</v>
      </c>
      <c r="M1463" s="198">
        <f t="shared" si="176"/>
        <v>0</v>
      </c>
      <c r="N1463" s="75">
        <f t="shared" si="179"/>
        <v>45</v>
      </c>
      <c r="O1463" s="202">
        <f t="shared" si="180"/>
        <v>0</v>
      </c>
      <c r="P1463" s="199">
        <f t="shared" si="177"/>
        <v>0</v>
      </c>
      <c r="Q1463" s="203">
        <f t="shared" si="181"/>
        <v>28.700000000001545</v>
      </c>
      <c r="R1463" s="160" t="s">
        <v>55</v>
      </c>
      <c r="S1463" s="201">
        <f t="shared" si="182"/>
        <v>2.5213913787209163E-2</v>
      </c>
    </row>
    <row r="1464" spans="1:19">
      <c r="A1464" s="196">
        <v>42093</v>
      </c>
      <c r="B1464" s="122">
        <v>22.98</v>
      </c>
      <c r="C1464" s="122">
        <v>23.389999</v>
      </c>
      <c r="D1464" s="122">
        <v>22.66</v>
      </c>
      <c r="E1464" s="122">
        <v>23.02</v>
      </c>
      <c r="F1464" s="122">
        <v>19.119821999999999</v>
      </c>
      <c r="G1464" s="197">
        <v>143700</v>
      </c>
      <c r="H1464" s="198">
        <f>IF(AND(E1463&gt;=H1463,E1464&gt;=E1463),E1463*(1+'Trading Model'!$E$13),IF(AND(E1464&lt;E1463,E1463&gt;=H1463),E1464*(1+'Trading Model'!$E$13),H1463))</f>
        <v>27.698998950000004</v>
      </c>
      <c r="I1464" s="198">
        <f>IF(K1464&gt;0,E1464*(1-'Trading Model'!E1474),IF(E1464&lt;I1463,I1463*(1-'Trading Model'!$E$14),I1463))</f>
        <v>8.9840153609188427</v>
      </c>
      <c r="J1464" s="198">
        <f t="shared" si="183"/>
        <v>0</v>
      </c>
      <c r="K1464" s="198">
        <f t="shared" si="178"/>
        <v>0</v>
      </c>
      <c r="L1464" s="198">
        <f>COUNTIF(J1464:K1464,"&lt;&gt;0")*-'Trading Model'!$E$15</f>
        <v>0</v>
      </c>
      <c r="M1464" s="198">
        <f t="shared" si="176"/>
        <v>0</v>
      </c>
      <c r="N1464" s="75">
        <f t="shared" si="179"/>
        <v>45</v>
      </c>
      <c r="O1464" s="202">
        <f t="shared" si="180"/>
        <v>0</v>
      </c>
      <c r="P1464" s="199">
        <f t="shared" si="177"/>
        <v>0</v>
      </c>
      <c r="Q1464" s="203">
        <f t="shared" si="181"/>
        <v>28.700000000001545</v>
      </c>
      <c r="R1464" s="203" t="s">
        <v>55</v>
      </c>
      <c r="S1464" s="201">
        <f t="shared" si="182"/>
        <v>1.0979358805445871E-2</v>
      </c>
    </row>
    <row r="1465" spans="1:19">
      <c r="A1465" s="196">
        <v>42094</v>
      </c>
      <c r="B1465" s="122">
        <v>22.950001</v>
      </c>
      <c r="C1465" s="122">
        <v>23.33</v>
      </c>
      <c r="D1465" s="122">
        <v>22.559999000000001</v>
      </c>
      <c r="E1465" s="122">
        <v>22.709999</v>
      </c>
      <c r="F1465" s="122">
        <v>18.862341000000001</v>
      </c>
      <c r="G1465" s="197">
        <v>140000</v>
      </c>
      <c r="H1465" s="198">
        <f>IF(AND(E1464&gt;=H1464,E1465&gt;=E1464),E1464*(1+'Trading Model'!$E$13),IF(AND(E1465&lt;E1464,E1464&gt;=H1464),E1465*(1+'Trading Model'!$E$13),H1464))</f>
        <v>27.698998950000004</v>
      </c>
      <c r="I1465" s="198">
        <f>IF(K1465&gt;0,E1465*(1-'Trading Model'!E1475),IF(E1465&lt;I1464,I1464*(1-'Trading Model'!$E$14),I1464))</f>
        <v>8.9840153609188427</v>
      </c>
      <c r="J1465" s="198">
        <f t="shared" si="183"/>
        <v>0</v>
      </c>
      <c r="K1465" s="198">
        <f t="shared" si="178"/>
        <v>0</v>
      </c>
      <c r="L1465" s="198">
        <f>COUNTIF(J1465:K1465,"&lt;&gt;0")*-'Trading Model'!$E$15</f>
        <v>0</v>
      </c>
      <c r="M1465" s="198">
        <f t="shared" si="176"/>
        <v>0</v>
      </c>
      <c r="N1465" s="75">
        <f t="shared" si="179"/>
        <v>45</v>
      </c>
      <c r="O1465" s="202">
        <f t="shared" si="180"/>
        <v>0</v>
      </c>
      <c r="P1465" s="199">
        <f t="shared" si="177"/>
        <v>0</v>
      </c>
      <c r="Q1465" s="203">
        <f t="shared" si="181"/>
        <v>28.600000000001543</v>
      </c>
      <c r="R1465" s="203" t="s">
        <v>55</v>
      </c>
      <c r="S1465" s="201">
        <f t="shared" si="182"/>
        <v>-1.3466594265855725E-2</v>
      </c>
    </row>
    <row r="1466" spans="1:19">
      <c r="A1466" s="196">
        <v>42095</v>
      </c>
      <c r="B1466" s="122">
        <v>22.73</v>
      </c>
      <c r="C1466" s="122">
        <v>23.07</v>
      </c>
      <c r="D1466" s="122">
        <v>22.059999000000001</v>
      </c>
      <c r="E1466" s="122">
        <v>22.48</v>
      </c>
      <c r="F1466" s="122">
        <v>18.671309999999998</v>
      </c>
      <c r="G1466" s="197">
        <v>193900</v>
      </c>
      <c r="H1466" s="198">
        <f>IF(AND(E1465&gt;=H1465,E1466&gt;=E1465),E1465*(1+'Trading Model'!$E$13),IF(AND(E1466&lt;E1465,E1465&gt;=H1465),E1466*(1+'Trading Model'!$E$13),H1465))</f>
        <v>27.698998950000004</v>
      </c>
      <c r="I1466" s="198">
        <f>IF(K1466&gt;0,E1466*(1-'Trading Model'!E1476),IF(E1466&lt;I1465,I1465*(1-'Trading Model'!$E$14),I1465))</f>
        <v>8.9840153609188427</v>
      </c>
      <c r="J1466" s="198">
        <f t="shared" si="183"/>
        <v>0</v>
      </c>
      <c r="K1466" s="198">
        <f t="shared" si="178"/>
        <v>0</v>
      </c>
      <c r="L1466" s="198">
        <f>COUNTIF(J1466:K1466,"&lt;&gt;0")*-'Trading Model'!$E$15</f>
        <v>0</v>
      </c>
      <c r="M1466" s="198">
        <f t="shared" si="176"/>
        <v>0</v>
      </c>
      <c r="N1466" s="75">
        <f t="shared" si="179"/>
        <v>45</v>
      </c>
      <c r="O1466" s="202">
        <f t="shared" si="180"/>
        <v>0</v>
      </c>
      <c r="P1466" s="199">
        <f t="shared" si="177"/>
        <v>0</v>
      </c>
      <c r="Q1466" s="203">
        <f t="shared" si="181"/>
        <v>28.500000000001542</v>
      </c>
      <c r="R1466" s="203" t="s">
        <v>55</v>
      </c>
      <c r="S1466" s="201">
        <f t="shared" si="182"/>
        <v>-1.0127653462248087E-2</v>
      </c>
    </row>
    <row r="1467" spans="1:19">
      <c r="A1467" s="196">
        <v>42096</v>
      </c>
      <c r="B1467" s="122">
        <v>22.42</v>
      </c>
      <c r="C1467" s="122">
        <v>22.799999</v>
      </c>
      <c r="D1467" s="122">
        <v>22.049999</v>
      </c>
      <c r="E1467" s="122">
        <v>22.440000999999999</v>
      </c>
      <c r="F1467" s="122">
        <v>18.638086000000001</v>
      </c>
      <c r="G1467" s="197">
        <v>205700</v>
      </c>
      <c r="H1467" s="198">
        <f>IF(AND(E1466&gt;=H1466,E1467&gt;=E1466),E1466*(1+'Trading Model'!$E$13),IF(AND(E1467&lt;E1466,E1466&gt;=H1466),E1467*(1+'Trading Model'!$E$13),H1466))</f>
        <v>27.698998950000004</v>
      </c>
      <c r="I1467" s="198">
        <f>IF(K1467&gt;0,E1467*(1-'Trading Model'!E1477),IF(E1467&lt;I1466,I1466*(1-'Trading Model'!$E$14),I1466))</f>
        <v>8.9840153609188427</v>
      </c>
      <c r="J1467" s="198">
        <f t="shared" si="183"/>
        <v>0</v>
      </c>
      <c r="K1467" s="198">
        <f t="shared" si="178"/>
        <v>0</v>
      </c>
      <c r="L1467" s="198">
        <f>COUNTIF(J1467:K1467,"&lt;&gt;0")*-'Trading Model'!$E$15</f>
        <v>0</v>
      </c>
      <c r="M1467" s="198">
        <f t="shared" si="176"/>
        <v>0</v>
      </c>
      <c r="N1467" s="75">
        <f t="shared" si="179"/>
        <v>45</v>
      </c>
      <c r="O1467" s="202">
        <f t="shared" si="180"/>
        <v>0</v>
      </c>
      <c r="P1467" s="199">
        <f t="shared" si="177"/>
        <v>0</v>
      </c>
      <c r="Q1467" s="203">
        <f t="shared" si="181"/>
        <v>28.40000000000154</v>
      </c>
      <c r="R1467" s="201">
        <f>E1467/B1463-1</f>
        <v>8.9928507194245721E-3</v>
      </c>
      <c r="S1467" s="201">
        <f t="shared" si="182"/>
        <v>-1.7793149466193148E-3</v>
      </c>
    </row>
    <row r="1468" spans="1:19">
      <c r="A1468" s="196">
        <v>42100</v>
      </c>
      <c r="B1468" s="122">
        <v>22.24</v>
      </c>
      <c r="C1468" s="122">
        <v>22.950001</v>
      </c>
      <c r="D1468" s="122">
        <v>22.24</v>
      </c>
      <c r="E1468" s="122">
        <v>22.52</v>
      </c>
      <c r="F1468" s="122">
        <v>18.704535</v>
      </c>
      <c r="G1468" s="197">
        <v>114900</v>
      </c>
      <c r="H1468" s="198">
        <f>IF(AND(E1467&gt;=H1467,E1468&gt;=E1467),E1467*(1+'Trading Model'!$E$13),IF(AND(E1468&lt;E1467,E1467&gt;=H1467),E1468*(1+'Trading Model'!$E$13),H1467))</f>
        <v>27.698998950000004</v>
      </c>
      <c r="I1468" s="198">
        <f>IF(K1468&gt;0,E1468*(1-'Trading Model'!E1478),IF(E1468&lt;I1467,I1467*(1-'Trading Model'!$E$14),I1467))</f>
        <v>8.9840153609188427</v>
      </c>
      <c r="J1468" s="198">
        <f t="shared" si="183"/>
        <v>0</v>
      </c>
      <c r="K1468" s="198">
        <f t="shared" si="178"/>
        <v>0</v>
      </c>
      <c r="L1468" s="198">
        <f>COUNTIF(J1468:K1468,"&lt;&gt;0")*-'Trading Model'!$E$15</f>
        <v>0</v>
      </c>
      <c r="M1468" s="198">
        <f t="shared" si="176"/>
        <v>0</v>
      </c>
      <c r="N1468" s="75">
        <f t="shared" si="179"/>
        <v>45</v>
      </c>
      <c r="O1468" s="202">
        <f t="shared" si="180"/>
        <v>0</v>
      </c>
      <c r="P1468" s="199">
        <f t="shared" si="177"/>
        <v>0</v>
      </c>
      <c r="Q1468" s="203">
        <f t="shared" si="181"/>
        <v>28.40000000000154</v>
      </c>
      <c r="R1468" s="160" t="s">
        <v>55</v>
      </c>
      <c r="S1468" s="201">
        <f t="shared" si="182"/>
        <v>3.5650176664430155E-3</v>
      </c>
    </row>
    <row r="1469" spans="1:19">
      <c r="A1469" s="196">
        <v>42101</v>
      </c>
      <c r="B1469" s="122">
        <v>22.440000999999999</v>
      </c>
      <c r="C1469" s="122">
        <v>22.700001</v>
      </c>
      <c r="D1469" s="122">
        <v>22.219999000000001</v>
      </c>
      <c r="E1469" s="122">
        <v>22.68</v>
      </c>
      <c r="F1469" s="122">
        <v>18.837425</v>
      </c>
      <c r="G1469" s="197">
        <v>218200</v>
      </c>
      <c r="H1469" s="198">
        <f>IF(AND(E1468&gt;=H1468,E1469&gt;=E1468),E1468*(1+'Trading Model'!$E$13),IF(AND(E1469&lt;E1468,E1468&gt;=H1468),E1469*(1+'Trading Model'!$E$13),H1468))</f>
        <v>27.698998950000004</v>
      </c>
      <c r="I1469" s="198">
        <f>IF(K1469&gt;0,E1469*(1-'Trading Model'!E1479),IF(E1469&lt;I1468,I1468*(1-'Trading Model'!$E$14),I1468))</f>
        <v>8.9840153609188427</v>
      </c>
      <c r="J1469" s="198">
        <f t="shared" si="183"/>
        <v>0</v>
      </c>
      <c r="K1469" s="198">
        <f t="shared" si="178"/>
        <v>0</v>
      </c>
      <c r="L1469" s="198">
        <f>COUNTIF(J1469:K1469,"&lt;&gt;0")*-'Trading Model'!$E$15</f>
        <v>0</v>
      </c>
      <c r="M1469" s="198">
        <f t="shared" si="176"/>
        <v>0</v>
      </c>
      <c r="N1469" s="75">
        <f t="shared" si="179"/>
        <v>45</v>
      </c>
      <c r="O1469" s="202">
        <f t="shared" si="180"/>
        <v>0</v>
      </c>
      <c r="P1469" s="199">
        <f t="shared" si="177"/>
        <v>0</v>
      </c>
      <c r="Q1469" s="203">
        <f t="shared" si="181"/>
        <v>28.40000000000154</v>
      </c>
      <c r="R1469" s="203" t="s">
        <v>55</v>
      </c>
      <c r="S1469" s="201">
        <f t="shared" si="182"/>
        <v>7.1047957371226378E-3</v>
      </c>
    </row>
    <row r="1470" spans="1:19">
      <c r="A1470" s="196">
        <v>42102</v>
      </c>
      <c r="B1470" s="122">
        <v>22.629999000000002</v>
      </c>
      <c r="C1470" s="122">
        <v>23.01</v>
      </c>
      <c r="D1470" s="122">
        <v>22.290001</v>
      </c>
      <c r="E1470" s="122">
        <v>22.870000999999998</v>
      </c>
      <c r="F1470" s="122">
        <v>18.995236999999999</v>
      </c>
      <c r="G1470" s="197">
        <v>276400</v>
      </c>
      <c r="H1470" s="198">
        <f>IF(AND(E1469&gt;=H1469,E1470&gt;=E1469),E1469*(1+'Trading Model'!$E$13),IF(AND(E1470&lt;E1469,E1469&gt;=H1469),E1470*(1+'Trading Model'!$E$13),H1469))</f>
        <v>27.698998950000004</v>
      </c>
      <c r="I1470" s="198">
        <f>IF(K1470&gt;0,E1470*(1-'Trading Model'!E1480),IF(E1470&lt;I1469,I1469*(1-'Trading Model'!$E$14),I1469))</f>
        <v>8.9840153609188427</v>
      </c>
      <c r="J1470" s="198">
        <f t="shared" si="183"/>
        <v>0</v>
      </c>
      <c r="K1470" s="198">
        <f t="shared" si="178"/>
        <v>0</v>
      </c>
      <c r="L1470" s="198">
        <f>COUNTIF(J1470:K1470,"&lt;&gt;0")*-'Trading Model'!$E$15</f>
        <v>0</v>
      </c>
      <c r="M1470" s="198">
        <f t="shared" si="176"/>
        <v>0</v>
      </c>
      <c r="N1470" s="75">
        <f t="shared" si="179"/>
        <v>45</v>
      </c>
      <c r="O1470" s="202">
        <f t="shared" si="180"/>
        <v>0</v>
      </c>
      <c r="P1470" s="199">
        <f t="shared" si="177"/>
        <v>0</v>
      </c>
      <c r="Q1470" s="203">
        <f t="shared" si="181"/>
        <v>28.40000000000154</v>
      </c>
      <c r="R1470" s="203" t="s">
        <v>55</v>
      </c>
      <c r="S1470" s="201">
        <f t="shared" si="182"/>
        <v>8.3774691358025066E-3</v>
      </c>
    </row>
    <row r="1471" spans="1:19">
      <c r="A1471" s="196">
        <v>42103</v>
      </c>
      <c r="B1471" s="122">
        <v>22.719999000000001</v>
      </c>
      <c r="C1471" s="122">
        <v>23.02</v>
      </c>
      <c r="D1471" s="122">
        <v>22.1</v>
      </c>
      <c r="E1471" s="122">
        <v>22.610001</v>
      </c>
      <c r="F1471" s="122">
        <v>18.779285000000002</v>
      </c>
      <c r="G1471" s="197">
        <v>262900</v>
      </c>
      <c r="H1471" s="198">
        <f>IF(AND(E1470&gt;=H1470,E1471&gt;=E1470),E1470*(1+'Trading Model'!$E$13),IF(AND(E1471&lt;E1470,E1470&gt;=H1470),E1471*(1+'Trading Model'!$E$13),H1470))</f>
        <v>27.698998950000004</v>
      </c>
      <c r="I1471" s="198">
        <f>IF(K1471&gt;0,E1471*(1-'Trading Model'!E1481),IF(E1471&lt;I1470,I1470*(1-'Trading Model'!$E$14),I1470))</f>
        <v>8.9840153609188427</v>
      </c>
      <c r="J1471" s="198">
        <f t="shared" si="183"/>
        <v>0</v>
      </c>
      <c r="K1471" s="198">
        <f t="shared" si="178"/>
        <v>0</v>
      </c>
      <c r="L1471" s="198">
        <f>COUNTIF(J1471:K1471,"&lt;&gt;0")*-'Trading Model'!$E$15</f>
        <v>0</v>
      </c>
      <c r="M1471" s="198">
        <f t="shared" si="176"/>
        <v>0</v>
      </c>
      <c r="N1471" s="75">
        <f t="shared" si="179"/>
        <v>45</v>
      </c>
      <c r="O1471" s="202">
        <f t="shared" si="180"/>
        <v>0</v>
      </c>
      <c r="P1471" s="199">
        <f t="shared" si="177"/>
        <v>0</v>
      </c>
      <c r="Q1471" s="203">
        <f t="shared" si="181"/>
        <v>28.300000000001539</v>
      </c>
      <c r="R1471" s="203" t="s">
        <v>55</v>
      </c>
      <c r="S1471" s="201">
        <f t="shared" si="182"/>
        <v>-1.1368604662500781E-2</v>
      </c>
    </row>
    <row r="1472" spans="1:19">
      <c r="A1472" s="196">
        <v>42104</v>
      </c>
      <c r="B1472" s="122">
        <v>22.84</v>
      </c>
      <c r="C1472" s="122">
        <v>22.889999</v>
      </c>
      <c r="D1472" s="122">
        <v>22.299999</v>
      </c>
      <c r="E1472" s="122">
        <v>22.83</v>
      </c>
      <c r="F1472" s="122">
        <v>18.962011</v>
      </c>
      <c r="G1472" s="197">
        <v>114800</v>
      </c>
      <c r="H1472" s="198">
        <f>IF(AND(E1471&gt;=H1471,E1472&gt;=E1471),E1471*(1+'Trading Model'!$E$13),IF(AND(E1472&lt;E1471,E1471&gt;=H1471),E1472*(1+'Trading Model'!$E$13),H1471))</f>
        <v>27.698998950000004</v>
      </c>
      <c r="I1472" s="198">
        <f>IF(K1472&gt;0,E1472*(1-'Trading Model'!E1482),IF(E1472&lt;I1471,I1471*(1-'Trading Model'!$E$14),I1471))</f>
        <v>8.9840153609188427</v>
      </c>
      <c r="J1472" s="198">
        <f t="shared" si="183"/>
        <v>0</v>
      </c>
      <c r="K1472" s="198">
        <f t="shared" si="178"/>
        <v>0</v>
      </c>
      <c r="L1472" s="198">
        <f>COUNTIF(J1472:K1472,"&lt;&gt;0")*-'Trading Model'!$E$15</f>
        <v>0</v>
      </c>
      <c r="M1472" s="198">
        <f t="shared" si="176"/>
        <v>0</v>
      </c>
      <c r="N1472" s="75">
        <f t="shared" si="179"/>
        <v>45</v>
      </c>
      <c r="O1472" s="202">
        <f t="shared" si="180"/>
        <v>0</v>
      </c>
      <c r="P1472" s="199">
        <f t="shared" si="177"/>
        <v>0</v>
      </c>
      <c r="Q1472" s="203">
        <f t="shared" si="181"/>
        <v>28.300000000001539</v>
      </c>
      <c r="R1472" s="201">
        <f>E1472/B1468-1</f>
        <v>2.6528776978417268E-2</v>
      </c>
      <c r="S1472" s="201">
        <f t="shared" si="182"/>
        <v>9.7301632140571748E-3</v>
      </c>
    </row>
    <row r="1473" spans="1:19">
      <c r="A1473" s="196">
        <v>42107</v>
      </c>
      <c r="B1473" s="122">
        <v>22.66</v>
      </c>
      <c r="C1473" s="122">
        <v>22.700001</v>
      </c>
      <c r="D1473" s="122">
        <v>22.379999000000002</v>
      </c>
      <c r="E1473" s="122">
        <v>22.58</v>
      </c>
      <c r="F1473" s="122">
        <v>18.754367999999999</v>
      </c>
      <c r="G1473" s="197">
        <v>148600</v>
      </c>
      <c r="H1473" s="198">
        <f>IF(AND(E1472&gt;=H1472,E1473&gt;=E1472),E1472*(1+'Trading Model'!$E$13),IF(AND(E1473&lt;E1472,E1472&gt;=H1472),E1473*(1+'Trading Model'!$E$13),H1472))</f>
        <v>27.698998950000004</v>
      </c>
      <c r="I1473" s="198">
        <f>IF(K1473&gt;0,E1473*(1-'Trading Model'!E1483),IF(E1473&lt;I1472,I1472*(1-'Trading Model'!$E$14),I1472))</f>
        <v>8.9840153609188427</v>
      </c>
      <c r="J1473" s="198">
        <f t="shared" si="183"/>
        <v>0</v>
      </c>
      <c r="K1473" s="198">
        <f t="shared" si="178"/>
        <v>0</v>
      </c>
      <c r="L1473" s="198">
        <f>COUNTIF(J1473:K1473,"&lt;&gt;0")*-'Trading Model'!$E$15</f>
        <v>0</v>
      </c>
      <c r="M1473" s="198">
        <f t="shared" si="176"/>
        <v>0</v>
      </c>
      <c r="N1473" s="75">
        <f t="shared" si="179"/>
        <v>45</v>
      </c>
      <c r="O1473" s="202">
        <f t="shared" si="180"/>
        <v>0</v>
      </c>
      <c r="P1473" s="199">
        <f t="shared" si="177"/>
        <v>0</v>
      </c>
      <c r="Q1473" s="203">
        <f t="shared" si="181"/>
        <v>28.200000000001538</v>
      </c>
      <c r="R1473" s="160" t="s">
        <v>55</v>
      </c>
      <c r="S1473" s="201">
        <f t="shared" si="182"/>
        <v>-1.0950503723171301E-2</v>
      </c>
    </row>
    <row r="1474" spans="1:19">
      <c r="A1474" s="196">
        <v>42108</v>
      </c>
      <c r="B1474" s="122">
        <v>22.530000999999999</v>
      </c>
      <c r="C1474" s="122">
        <v>22.780000999999999</v>
      </c>
      <c r="D1474" s="122">
        <v>22.299999</v>
      </c>
      <c r="E1474" s="122">
        <v>22.459999</v>
      </c>
      <c r="F1474" s="122">
        <v>18.654699000000001</v>
      </c>
      <c r="G1474" s="197">
        <v>104200</v>
      </c>
      <c r="H1474" s="198">
        <f>IF(AND(E1473&gt;=H1473,E1474&gt;=E1473),E1473*(1+'Trading Model'!$E$13),IF(AND(E1474&lt;E1473,E1473&gt;=H1473),E1474*(1+'Trading Model'!$E$13),H1473))</f>
        <v>27.698998950000004</v>
      </c>
      <c r="I1474" s="198">
        <f>IF(K1474&gt;0,E1474*(1-'Trading Model'!E1484),IF(E1474&lt;I1473,I1473*(1-'Trading Model'!$E$14),I1473))</f>
        <v>8.9840153609188427</v>
      </c>
      <c r="J1474" s="198">
        <f t="shared" si="183"/>
        <v>0</v>
      </c>
      <c r="K1474" s="198">
        <f t="shared" si="178"/>
        <v>0</v>
      </c>
      <c r="L1474" s="198">
        <f>COUNTIF(J1474:K1474,"&lt;&gt;0")*-'Trading Model'!$E$15</f>
        <v>0</v>
      </c>
      <c r="M1474" s="198">
        <f t="shared" si="176"/>
        <v>0</v>
      </c>
      <c r="N1474" s="75">
        <f t="shared" si="179"/>
        <v>45</v>
      </c>
      <c r="O1474" s="202">
        <f t="shared" si="180"/>
        <v>0</v>
      </c>
      <c r="P1474" s="199">
        <f t="shared" si="177"/>
        <v>0</v>
      </c>
      <c r="Q1474" s="203">
        <f t="shared" si="181"/>
        <v>28.100000000001536</v>
      </c>
      <c r="R1474" s="203" t="s">
        <v>55</v>
      </c>
      <c r="S1474" s="201">
        <f t="shared" si="182"/>
        <v>-5.3144818423382922E-3</v>
      </c>
    </row>
    <row r="1475" spans="1:19">
      <c r="A1475" s="196">
        <v>42109</v>
      </c>
      <c r="B1475" s="122">
        <v>22.43</v>
      </c>
      <c r="C1475" s="122">
        <v>22.43</v>
      </c>
      <c r="D1475" s="122">
        <v>21.219999000000001</v>
      </c>
      <c r="E1475" s="122">
        <v>21.450001</v>
      </c>
      <c r="F1475" s="122">
        <v>17.815819000000001</v>
      </c>
      <c r="G1475" s="197">
        <v>255700</v>
      </c>
      <c r="H1475" s="198">
        <f>IF(AND(E1474&gt;=H1474,E1475&gt;=E1474),E1474*(1+'Trading Model'!$E$13),IF(AND(E1475&lt;E1474,E1474&gt;=H1474),E1475*(1+'Trading Model'!$E$13),H1474))</f>
        <v>27.698998950000004</v>
      </c>
      <c r="I1475" s="198">
        <f>IF(K1475&gt;0,E1475*(1-'Trading Model'!E1485),IF(E1475&lt;I1474,I1474*(1-'Trading Model'!$E$14),I1474))</f>
        <v>8.9840153609188427</v>
      </c>
      <c r="J1475" s="198">
        <f t="shared" si="183"/>
        <v>0</v>
      </c>
      <c r="K1475" s="198">
        <f t="shared" si="178"/>
        <v>0</v>
      </c>
      <c r="L1475" s="198">
        <f>COUNTIF(J1475:K1475,"&lt;&gt;0")*-'Trading Model'!$E$15</f>
        <v>0</v>
      </c>
      <c r="M1475" s="198">
        <f t="shared" ref="M1475:M1538" si="184">SUM(J1475:L1475)</f>
        <v>0</v>
      </c>
      <c r="N1475" s="75">
        <f t="shared" si="179"/>
        <v>45</v>
      </c>
      <c r="O1475" s="202">
        <f t="shared" si="180"/>
        <v>0</v>
      </c>
      <c r="P1475" s="199">
        <f t="shared" ref="P1475:P1538" si="185">IFERROR(VLOOKUP(A1475,Dividends,2,FALSE),$U$1)</f>
        <v>0</v>
      </c>
      <c r="Q1475" s="203">
        <f t="shared" si="181"/>
        <v>28.000000000001535</v>
      </c>
      <c r="R1475" s="203" t="s">
        <v>55</v>
      </c>
      <c r="S1475" s="201">
        <f t="shared" si="182"/>
        <v>-4.4968746436720664E-2</v>
      </c>
    </row>
    <row r="1476" spans="1:19">
      <c r="A1476" s="196">
        <v>42110</v>
      </c>
      <c r="B1476" s="122">
        <v>21.450001</v>
      </c>
      <c r="C1476" s="122">
        <v>21.799999</v>
      </c>
      <c r="D1476" s="122">
        <v>20.940000999999999</v>
      </c>
      <c r="E1476" s="122">
        <v>21.35</v>
      </c>
      <c r="F1476" s="122">
        <v>17.732761</v>
      </c>
      <c r="G1476" s="197">
        <v>176900</v>
      </c>
      <c r="H1476" s="198">
        <f>IF(AND(E1475&gt;=H1475,E1476&gt;=E1475),E1475*(1+'Trading Model'!$E$13),IF(AND(E1476&lt;E1475,E1475&gt;=H1475),E1476*(1+'Trading Model'!$E$13),H1475))</f>
        <v>27.698998950000004</v>
      </c>
      <c r="I1476" s="198">
        <f>IF(K1476&gt;0,E1476*(1-'Trading Model'!E1486),IF(E1476&lt;I1475,I1475*(1-'Trading Model'!$E$14),I1475))</f>
        <v>8.9840153609188427</v>
      </c>
      <c r="J1476" s="198">
        <f t="shared" si="183"/>
        <v>0</v>
      </c>
      <c r="K1476" s="198">
        <f t="shared" ref="K1476:K1539" si="186">IF(E1476&gt;=H1476,E1476,0)</f>
        <v>0</v>
      </c>
      <c r="L1476" s="198">
        <f>COUNTIF(J1476:K1476,"&lt;&gt;0")*-'Trading Model'!$E$15</f>
        <v>0</v>
      </c>
      <c r="M1476" s="198">
        <f t="shared" si="184"/>
        <v>0</v>
      </c>
      <c r="N1476" s="75">
        <f t="shared" ref="N1476:N1539" si="187">IF(AND(J1476&lt;0,K1476&gt;0),N1475,(IF(J1476&lt;0,N1475+1,IF(K1476&gt;0,N1475+1,N1475))))</f>
        <v>45</v>
      </c>
      <c r="O1476" s="202">
        <f t="shared" ref="O1476:O1539" si="188">P1476</f>
        <v>0</v>
      </c>
      <c r="P1476" s="199">
        <f t="shared" si="185"/>
        <v>0</v>
      </c>
      <c r="Q1476" s="203">
        <f t="shared" ref="Q1476:Q1539" si="189">IF(E1476&lt;E1475,Q1475-0.1,Q1475)</f>
        <v>27.900000000001533</v>
      </c>
      <c r="R1476" s="203" t="s">
        <v>55</v>
      </c>
      <c r="S1476" s="201">
        <f t="shared" ref="S1476:S1539" si="190">E1476/E1475-1</f>
        <v>-4.6620510647061852E-3</v>
      </c>
    </row>
    <row r="1477" spans="1:19">
      <c r="A1477" s="196">
        <v>42111</v>
      </c>
      <c r="B1477" s="122">
        <v>21.1</v>
      </c>
      <c r="C1477" s="122">
        <v>21.77</v>
      </c>
      <c r="D1477" s="122">
        <v>21.1</v>
      </c>
      <c r="E1477" s="122">
        <v>21.299999</v>
      </c>
      <c r="F1477" s="122">
        <v>17.691233</v>
      </c>
      <c r="G1477" s="197">
        <v>81700</v>
      </c>
      <c r="H1477" s="198">
        <f>IF(AND(E1476&gt;=H1476,E1477&gt;=E1476),E1476*(1+'Trading Model'!$E$13),IF(AND(E1477&lt;E1476,E1476&gt;=H1476),E1477*(1+'Trading Model'!$E$13),H1476))</f>
        <v>27.698998950000004</v>
      </c>
      <c r="I1477" s="198">
        <f>IF(K1477&gt;0,E1477*(1-'Trading Model'!E1487),IF(E1477&lt;I1476,I1476*(1-'Trading Model'!$E$14),I1476))</f>
        <v>8.9840153609188427</v>
      </c>
      <c r="J1477" s="198">
        <f t="shared" ref="J1477:J1540" si="191">IF(E1477&gt;=H1477,-E1477,IF(E1477&lt;=I1476,-E1477,0))</f>
        <v>0</v>
      </c>
      <c r="K1477" s="198">
        <f t="shared" si="186"/>
        <v>0</v>
      </c>
      <c r="L1477" s="198">
        <f>COUNTIF(J1477:K1477,"&lt;&gt;0")*-'Trading Model'!$E$15</f>
        <v>0</v>
      </c>
      <c r="M1477" s="198">
        <f t="shared" si="184"/>
        <v>0</v>
      </c>
      <c r="N1477" s="75">
        <f t="shared" si="187"/>
        <v>45</v>
      </c>
      <c r="O1477" s="202">
        <f t="shared" si="188"/>
        <v>0</v>
      </c>
      <c r="P1477" s="199">
        <f t="shared" si="185"/>
        <v>0</v>
      </c>
      <c r="Q1477" s="203">
        <f t="shared" si="189"/>
        <v>27.800000000001532</v>
      </c>
      <c r="R1477" s="201">
        <f>E1477/B1473-1</f>
        <v>-6.0017696381288621E-2</v>
      </c>
      <c r="S1477" s="201">
        <f t="shared" si="190"/>
        <v>-2.3419672131148594E-3</v>
      </c>
    </row>
    <row r="1478" spans="1:19">
      <c r="A1478" s="196">
        <v>42114</v>
      </c>
      <c r="B1478" s="122">
        <v>21.35</v>
      </c>
      <c r="C1478" s="122">
        <v>21.74</v>
      </c>
      <c r="D1478" s="122">
        <v>21.290001</v>
      </c>
      <c r="E1478" s="122">
        <v>21.68</v>
      </c>
      <c r="F1478" s="122">
        <v>18.006851000000001</v>
      </c>
      <c r="G1478" s="197">
        <v>72100</v>
      </c>
      <c r="H1478" s="198">
        <f>IF(AND(E1477&gt;=H1477,E1478&gt;=E1477),E1477*(1+'Trading Model'!$E$13),IF(AND(E1478&lt;E1477,E1477&gt;=H1477),E1478*(1+'Trading Model'!$E$13),H1477))</f>
        <v>27.698998950000004</v>
      </c>
      <c r="I1478" s="198">
        <f>IF(K1478&gt;0,E1478*(1-'Trading Model'!E1488),IF(E1478&lt;I1477,I1477*(1-'Trading Model'!$E$14),I1477))</f>
        <v>8.9840153609188427</v>
      </c>
      <c r="J1478" s="198">
        <f t="shared" si="191"/>
        <v>0</v>
      </c>
      <c r="K1478" s="198">
        <f t="shared" si="186"/>
        <v>0</v>
      </c>
      <c r="L1478" s="198">
        <f>COUNTIF(J1478:K1478,"&lt;&gt;0")*-'Trading Model'!$E$15</f>
        <v>0</v>
      </c>
      <c r="M1478" s="198">
        <f t="shared" si="184"/>
        <v>0</v>
      </c>
      <c r="N1478" s="75">
        <f t="shared" si="187"/>
        <v>45</v>
      </c>
      <c r="O1478" s="202">
        <f t="shared" si="188"/>
        <v>0</v>
      </c>
      <c r="P1478" s="199">
        <f t="shared" si="185"/>
        <v>0</v>
      </c>
      <c r="Q1478" s="203">
        <f t="shared" si="189"/>
        <v>27.800000000001532</v>
      </c>
      <c r="R1478" s="160" t="s">
        <v>55</v>
      </c>
      <c r="S1478" s="201">
        <f t="shared" si="190"/>
        <v>1.7840423372789793E-2</v>
      </c>
    </row>
    <row r="1479" spans="1:19">
      <c r="A1479" s="196">
        <v>42115</v>
      </c>
      <c r="B1479" s="122">
        <v>21.700001</v>
      </c>
      <c r="C1479" s="122">
        <v>21.969999000000001</v>
      </c>
      <c r="D1479" s="122">
        <v>21.5</v>
      </c>
      <c r="E1479" s="122">
        <v>21.940000999999999</v>
      </c>
      <c r="F1479" s="122">
        <v>18.222801</v>
      </c>
      <c r="G1479" s="197">
        <v>127200</v>
      </c>
      <c r="H1479" s="198">
        <f>IF(AND(E1478&gt;=H1478,E1479&gt;=E1478),E1478*(1+'Trading Model'!$E$13),IF(AND(E1479&lt;E1478,E1478&gt;=H1478),E1479*(1+'Trading Model'!$E$13),H1478))</f>
        <v>27.698998950000004</v>
      </c>
      <c r="I1479" s="198">
        <f>IF(K1479&gt;0,E1479*(1-'Trading Model'!E1489),IF(E1479&lt;I1478,I1478*(1-'Trading Model'!$E$14),I1478))</f>
        <v>8.9840153609188427</v>
      </c>
      <c r="J1479" s="198">
        <f t="shared" si="191"/>
        <v>0</v>
      </c>
      <c r="K1479" s="198">
        <f t="shared" si="186"/>
        <v>0</v>
      </c>
      <c r="L1479" s="198">
        <f>COUNTIF(J1479:K1479,"&lt;&gt;0")*-'Trading Model'!$E$15</f>
        <v>0</v>
      </c>
      <c r="M1479" s="198">
        <f t="shared" si="184"/>
        <v>0</v>
      </c>
      <c r="N1479" s="75">
        <f t="shared" si="187"/>
        <v>45</v>
      </c>
      <c r="O1479" s="202">
        <f t="shared" si="188"/>
        <v>0</v>
      </c>
      <c r="P1479" s="199">
        <f t="shared" si="185"/>
        <v>0</v>
      </c>
      <c r="Q1479" s="203">
        <f t="shared" si="189"/>
        <v>27.800000000001532</v>
      </c>
      <c r="R1479" s="203" t="s">
        <v>55</v>
      </c>
      <c r="S1479" s="201">
        <f t="shared" si="190"/>
        <v>1.1992666051660494E-2</v>
      </c>
    </row>
    <row r="1480" spans="1:19">
      <c r="A1480" s="196">
        <v>42116</v>
      </c>
      <c r="B1480" s="122">
        <v>21.93</v>
      </c>
      <c r="C1480" s="122">
        <v>22.23</v>
      </c>
      <c r="D1480" s="122">
        <v>21.809999000000001</v>
      </c>
      <c r="E1480" s="122">
        <v>22</v>
      </c>
      <c r="F1480" s="122">
        <v>18.272635999999999</v>
      </c>
      <c r="G1480" s="197">
        <v>160000</v>
      </c>
      <c r="H1480" s="198">
        <f>IF(AND(E1479&gt;=H1479,E1480&gt;=E1479),E1479*(1+'Trading Model'!$E$13),IF(AND(E1480&lt;E1479,E1479&gt;=H1479),E1480*(1+'Trading Model'!$E$13),H1479))</f>
        <v>27.698998950000004</v>
      </c>
      <c r="I1480" s="198">
        <f>IF(K1480&gt;0,E1480*(1-'Trading Model'!E1490),IF(E1480&lt;I1479,I1479*(1-'Trading Model'!$E$14),I1479))</f>
        <v>8.9840153609188427</v>
      </c>
      <c r="J1480" s="198">
        <f t="shared" si="191"/>
        <v>0</v>
      </c>
      <c r="K1480" s="198">
        <f t="shared" si="186"/>
        <v>0</v>
      </c>
      <c r="L1480" s="198">
        <f>COUNTIF(J1480:K1480,"&lt;&gt;0")*-'Trading Model'!$E$15</f>
        <v>0</v>
      </c>
      <c r="M1480" s="198">
        <f t="shared" si="184"/>
        <v>0</v>
      </c>
      <c r="N1480" s="75">
        <f t="shared" si="187"/>
        <v>45</v>
      </c>
      <c r="O1480" s="202">
        <f t="shared" si="188"/>
        <v>0</v>
      </c>
      <c r="P1480" s="199">
        <f t="shared" si="185"/>
        <v>0</v>
      </c>
      <c r="Q1480" s="203">
        <f t="shared" si="189"/>
        <v>27.800000000001532</v>
      </c>
      <c r="R1480" s="203" t="s">
        <v>55</v>
      </c>
      <c r="S1480" s="201">
        <f t="shared" si="190"/>
        <v>2.7346853812815208E-3</v>
      </c>
    </row>
    <row r="1481" spans="1:19">
      <c r="A1481" s="196">
        <v>42117</v>
      </c>
      <c r="B1481" s="122">
        <v>22.08</v>
      </c>
      <c r="C1481" s="122">
        <v>22.15</v>
      </c>
      <c r="D1481" s="122">
        <v>21.709999</v>
      </c>
      <c r="E1481" s="122">
        <v>21.74</v>
      </c>
      <c r="F1481" s="122">
        <v>18.056685999999999</v>
      </c>
      <c r="G1481" s="197">
        <v>137200</v>
      </c>
      <c r="H1481" s="198">
        <f>IF(AND(E1480&gt;=H1480,E1481&gt;=E1480),E1480*(1+'Trading Model'!$E$13),IF(AND(E1481&lt;E1480,E1480&gt;=H1480),E1481*(1+'Trading Model'!$E$13),H1480))</f>
        <v>27.698998950000004</v>
      </c>
      <c r="I1481" s="198">
        <f>IF(K1481&gt;0,E1481*(1-'Trading Model'!E1491),IF(E1481&lt;I1480,I1480*(1-'Trading Model'!$E$14),I1480))</f>
        <v>8.9840153609188427</v>
      </c>
      <c r="J1481" s="198">
        <f t="shared" si="191"/>
        <v>0</v>
      </c>
      <c r="K1481" s="198">
        <f t="shared" si="186"/>
        <v>0</v>
      </c>
      <c r="L1481" s="198">
        <f>COUNTIF(J1481:K1481,"&lt;&gt;0")*-'Trading Model'!$E$15</f>
        <v>0</v>
      </c>
      <c r="M1481" s="198">
        <f t="shared" si="184"/>
        <v>0</v>
      </c>
      <c r="N1481" s="75">
        <f t="shared" si="187"/>
        <v>45</v>
      </c>
      <c r="O1481" s="202">
        <f t="shared" si="188"/>
        <v>0</v>
      </c>
      <c r="P1481" s="199">
        <f t="shared" si="185"/>
        <v>0</v>
      </c>
      <c r="Q1481" s="203">
        <f t="shared" si="189"/>
        <v>27.700000000001531</v>
      </c>
      <c r="R1481" s="203" t="s">
        <v>55</v>
      </c>
      <c r="S1481" s="201">
        <f t="shared" si="190"/>
        <v>-1.1818181818181839E-2</v>
      </c>
    </row>
    <row r="1482" spans="1:19">
      <c r="A1482" s="196">
        <v>42118</v>
      </c>
      <c r="B1482" s="122">
        <v>21.74</v>
      </c>
      <c r="C1482" s="122">
        <v>21.74</v>
      </c>
      <c r="D1482" s="122">
        <v>21.370000999999998</v>
      </c>
      <c r="E1482" s="122">
        <v>21.469999000000001</v>
      </c>
      <c r="F1482" s="122">
        <v>17.832432000000001</v>
      </c>
      <c r="G1482" s="197">
        <v>144700</v>
      </c>
      <c r="H1482" s="198">
        <f>IF(AND(E1481&gt;=H1481,E1482&gt;=E1481),E1481*(1+'Trading Model'!$E$13),IF(AND(E1482&lt;E1481,E1481&gt;=H1481),E1482*(1+'Trading Model'!$E$13),H1481))</f>
        <v>27.698998950000004</v>
      </c>
      <c r="I1482" s="198">
        <f>IF(K1482&gt;0,E1482*(1-'Trading Model'!E1492),IF(E1482&lt;I1481,I1481*(1-'Trading Model'!$E$14),I1481))</f>
        <v>8.9840153609188427</v>
      </c>
      <c r="J1482" s="198">
        <f t="shared" si="191"/>
        <v>0</v>
      </c>
      <c r="K1482" s="198">
        <f t="shared" si="186"/>
        <v>0</v>
      </c>
      <c r="L1482" s="198">
        <f>COUNTIF(J1482:K1482,"&lt;&gt;0")*-'Trading Model'!$E$15</f>
        <v>0</v>
      </c>
      <c r="M1482" s="198">
        <f t="shared" si="184"/>
        <v>0</v>
      </c>
      <c r="N1482" s="75">
        <f t="shared" si="187"/>
        <v>45</v>
      </c>
      <c r="O1482" s="202">
        <f t="shared" si="188"/>
        <v>0</v>
      </c>
      <c r="P1482" s="199">
        <f t="shared" si="185"/>
        <v>0</v>
      </c>
      <c r="Q1482" s="203">
        <f t="shared" si="189"/>
        <v>27.600000000001529</v>
      </c>
      <c r="R1482" s="201">
        <f>E1482/B1478-1</f>
        <v>5.6205620608900109E-3</v>
      </c>
      <c r="S1482" s="201">
        <f t="shared" si="190"/>
        <v>-1.2419549218031123E-2</v>
      </c>
    </row>
    <row r="1483" spans="1:19">
      <c r="A1483" s="196">
        <v>42121</v>
      </c>
      <c r="B1483" s="122">
        <v>21.389999</v>
      </c>
      <c r="C1483" s="122">
        <v>21.809999000000001</v>
      </c>
      <c r="D1483" s="122">
        <v>21.059999000000001</v>
      </c>
      <c r="E1483" s="122">
        <v>21.68</v>
      </c>
      <c r="F1483" s="122">
        <v>18.006851000000001</v>
      </c>
      <c r="G1483" s="197">
        <v>144900</v>
      </c>
      <c r="H1483" s="198">
        <f>IF(AND(E1482&gt;=H1482,E1483&gt;=E1482),E1482*(1+'Trading Model'!$E$13),IF(AND(E1483&lt;E1482,E1482&gt;=H1482),E1483*(1+'Trading Model'!$E$13),H1482))</f>
        <v>27.698998950000004</v>
      </c>
      <c r="I1483" s="198">
        <f>IF(K1483&gt;0,E1483*(1-'Trading Model'!E1493),IF(E1483&lt;I1482,I1482*(1-'Trading Model'!$E$14),I1482))</f>
        <v>8.9840153609188427</v>
      </c>
      <c r="J1483" s="198">
        <f t="shared" si="191"/>
        <v>0</v>
      </c>
      <c r="K1483" s="198">
        <f t="shared" si="186"/>
        <v>0</v>
      </c>
      <c r="L1483" s="198">
        <f>COUNTIF(J1483:K1483,"&lt;&gt;0")*-'Trading Model'!$E$15</f>
        <v>0</v>
      </c>
      <c r="M1483" s="198">
        <f t="shared" si="184"/>
        <v>0</v>
      </c>
      <c r="N1483" s="75">
        <f t="shared" si="187"/>
        <v>45</v>
      </c>
      <c r="O1483" s="202">
        <f t="shared" si="188"/>
        <v>0</v>
      </c>
      <c r="P1483" s="199">
        <f t="shared" si="185"/>
        <v>0</v>
      </c>
      <c r="Q1483" s="203">
        <f t="shared" si="189"/>
        <v>27.600000000001529</v>
      </c>
      <c r="R1483" s="160" t="s">
        <v>55</v>
      </c>
      <c r="S1483" s="201">
        <f t="shared" si="190"/>
        <v>9.7811369250644375E-3</v>
      </c>
    </row>
    <row r="1484" spans="1:19">
      <c r="A1484" s="196">
        <v>42122</v>
      </c>
      <c r="B1484" s="122">
        <v>21.709999</v>
      </c>
      <c r="C1484" s="122">
        <v>21.889999</v>
      </c>
      <c r="D1484" s="122">
        <v>21.43</v>
      </c>
      <c r="E1484" s="122">
        <v>21.59</v>
      </c>
      <c r="F1484" s="122">
        <v>17.932098</v>
      </c>
      <c r="G1484" s="197">
        <v>108500</v>
      </c>
      <c r="H1484" s="198">
        <f>IF(AND(E1483&gt;=H1483,E1484&gt;=E1483),E1483*(1+'Trading Model'!$E$13),IF(AND(E1484&lt;E1483,E1483&gt;=H1483),E1484*(1+'Trading Model'!$E$13),H1483))</f>
        <v>27.698998950000004</v>
      </c>
      <c r="I1484" s="198">
        <f>IF(K1484&gt;0,E1484*(1-'Trading Model'!E1494),IF(E1484&lt;I1483,I1483*(1-'Trading Model'!$E$14),I1483))</f>
        <v>8.9840153609188427</v>
      </c>
      <c r="J1484" s="198">
        <f t="shared" si="191"/>
        <v>0</v>
      </c>
      <c r="K1484" s="198">
        <f t="shared" si="186"/>
        <v>0</v>
      </c>
      <c r="L1484" s="198">
        <f>COUNTIF(J1484:K1484,"&lt;&gt;0")*-'Trading Model'!$E$15</f>
        <v>0</v>
      </c>
      <c r="M1484" s="198">
        <f t="shared" si="184"/>
        <v>0</v>
      </c>
      <c r="N1484" s="75">
        <f t="shared" si="187"/>
        <v>45</v>
      </c>
      <c r="O1484" s="202">
        <f t="shared" si="188"/>
        <v>0</v>
      </c>
      <c r="P1484" s="199">
        <f t="shared" si="185"/>
        <v>0</v>
      </c>
      <c r="Q1484" s="203">
        <f t="shared" si="189"/>
        <v>27.500000000001528</v>
      </c>
      <c r="R1484" s="203" t="s">
        <v>55</v>
      </c>
      <c r="S1484" s="201">
        <f t="shared" si="190"/>
        <v>-4.1512915129151562E-3</v>
      </c>
    </row>
    <row r="1485" spans="1:19">
      <c r="A1485" s="196">
        <v>42123</v>
      </c>
      <c r="B1485" s="122">
        <v>21.389999</v>
      </c>
      <c r="C1485" s="122">
        <v>21.4</v>
      </c>
      <c r="D1485" s="122">
        <v>21.15</v>
      </c>
      <c r="E1485" s="122">
        <v>21.190000999999999</v>
      </c>
      <c r="F1485" s="122">
        <v>17.599869000000002</v>
      </c>
      <c r="G1485" s="197">
        <v>103100</v>
      </c>
      <c r="H1485" s="198">
        <f>IF(AND(E1484&gt;=H1484,E1485&gt;=E1484),E1484*(1+'Trading Model'!$E$13),IF(AND(E1485&lt;E1484,E1484&gt;=H1484),E1485*(1+'Trading Model'!$E$13),H1484))</f>
        <v>27.698998950000004</v>
      </c>
      <c r="I1485" s="198">
        <f>IF(K1485&gt;0,E1485*(1-'Trading Model'!E1495),IF(E1485&lt;I1484,I1484*(1-'Trading Model'!$E$14),I1484))</f>
        <v>8.9840153609188427</v>
      </c>
      <c r="J1485" s="198">
        <f t="shared" si="191"/>
        <v>0</v>
      </c>
      <c r="K1485" s="198">
        <f t="shared" si="186"/>
        <v>0</v>
      </c>
      <c r="L1485" s="198">
        <f>COUNTIF(J1485:K1485,"&lt;&gt;0")*-'Trading Model'!$E$15</f>
        <v>0</v>
      </c>
      <c r="M1485" s="198">
        <f t="shared" si="184"/>
        <v>0</v>
      </c>
      <c r="N1485" s="75">
        <f t="shared" si="187"/>
        <v>45</v>
      </c>
      <c r="O1485" s="202">
        <f t="shared" si="188"/>
        <v>0</v>
      </c>
      <c r="P1485" s="199">
        <f t="shared" si="185"/>
        <v>0</v>
      </c>
      <c r="Q1485" s="203">
        <f t="shared" si="189"/>
        <v>27.400000000001526</v>
      </c>
      <c r="R1485" s="203" t="s">
        <v>55</v>
      </c>
      <c r="S1485" s="201">
        <f t="shared" si="190"/>
        <v>-1.8527049559981523E-2</v>
      </c>
    </row>
    <row r="1486" spans="1:19">
      <c r="A1486" s="196">
        <v>42124</v>
      </c>
      <c r="B1486" s="122">
        <v>21.16</v>
      </c>
      <c r="C1486" s="122">
        <v>21.200001</v>
      </c>
      <c r="D1486" s="122">
        <v>20.83</v>
      </c>
      <c r="E1486" s="122">
        <v>20.860001</v>
      </c>
      <c r="F1486" s="122">
        <v>17.325780999999999</v>
      </c>
      <c r="G1486" s="197">
        <v>171900</v>
      </c>
      <c r="H1486" s="198">
        <f>IF(AND(E1485&gt;=H1485,E1486&gt;=E1485),E1485*(1+'Trading Model'!$E$13),IF(AND(E1486&lt;E1485,E1485&gt;=H1485),E1486*(1+'Trading Model'!$E$13),H1485))</f>
        <v>27.698998950000004</v>
      </c>
      <c r="I1486" s="198">
        <f>IF(K1486&gt;0,E1486*(1-'Trading Model'!E1496),IF(E1486&lt;I1485,I1485*(1-'Trading Model'!$E$14),I1485))</f>
        <v>8.9840153609188427</v>
      </c>
      <c r="J1486" s="198">
        <f t="shared" si="191"/>
        <v>0</v>
      </c>
      <c r="K1486" s="198">
        <f t="shared" si="186"/>
        <v>0</v>
      </c>
      <c r="L1486" s="198">
        <f>COUNTIF(J1486:K1486,"&lt;&gt;0")*-'Trading Model'!$E$15</f>
        <v>0</v>
      </c>
      <c r="M1486" s="198">
        <f t="shared" si="184"/>
        <v>0</v>
      </c>
      <c r="N1486" s="75">
        <f t="shared" si="187"/>
        <v>45</v>
      </c>
      <c r="O1486" s="202">
        <f t="shared" si="188"/>
        <v>0</v>
      </c>
      <c r="P1486" s="199">
        <f t="shared" si="185"/>
        <v>0</v>
      </c>
      <c r="Q1486" s="203">
        <f t="shared" si="189"/>
        <v>27.300000000001525</v>
      </c>
      <c r="R1486" s="203" t="s">
        <v>55</v>
      </c>
      <c r="S1486" s="201">
        <f t="shared" si="190"/>
        <v>-1.5573382936602931E-2</v>
      </c>
    </row>
    <row r="1487" spans="1:19">
      <c r="A1487" s="196">
        <v>42125</v>
      </c>
      <c r="B1487" s="122">
        <v>20.969999000000001</v>
      </c>
      <c r="C1487" s="122">
        <v>21.07</v>
      </c>
      <c r="D1487" s="122">
        <v>20.75</v>
      </c>
      <c r="E1487" s="122">
        <v>21.01</v>
      </c>
      <c r="F1487" s="122">
        <v>17.450367</v>
      </c>
      <c r="G1487" s="197">
        <v>109800</v>
      </c>
      <c r="H1487" s="198">
        <f>IF(AND(E1486&gt;=H1486,E1487&gt;=E1486),E1486*(1+'Trading Model'!$E$13),IF(AND(E1487&lt;E1486,E1486&gt;=H1486),E1487*(1+'Trading Model'!$E$13),H1486))</f>
        <v>27.698998950000004</v>
      </c>
      <c r="I1487" s="198">
        <f>IF(K1487&gt;0,E1487*(1-'Trading Model'!E1497),IF(E1487&lt;I1486,I1486*(1-'Trading Model'!$E$14),I1486))</f>
        <v>8.9840153609188427</v>
      </c>
      <c r="J1487" s="198">
        <f t="shared" si="191"/>
        <v>0</v>
      </c>
      <c r="K1487" s="198">
        <f t="shared" si="186"/>
        <v>0</v>
      </c>
      <c r="L1487" s="198">
        <f>COUNTIF(J1487:K1487,"&lt;&gt;0")*-'Trading Model'!$E$15</f>
        <v>0</v>
      </c>
      <c r="M1487" s="198">
        <f t="shared" si="184"/>
        <v>0</v>
      </c>
      <c r="N1487" s="75">
        <f t="shared" si="187"/>
        <v>45</v>
      </c>
      <c r="O1487" s="202">
        <f t="shared" si="188"/>
        <v>0</v>
      </c>
      <c r="P1487" s="199">
        <f t="shared" si="185"/>
        <v>0</v>
      </c>
      <c r="Q1487" s="203">
        <f t="shared" si="189"/>
        <v>27.300000000001525</v>
      </c>
      <c r="R1487" s="201">
        <f>E1487/B1483-1</f>
        <v>-1.7765264972663064E-2</v>
      </c>
      <c r="S1487" s="201">
        <f t="shared" si="190"/>
        <v>7.1907474980466013E-3</v>
      </c>
    </row>
    <row r="1488" spans="1:19">
      <c r="A1488" s="196">
        <v>42128</v>
      </c>
      <c r="B1488" s="122">
        <v>21.1</v>
      </c>
      <c r="C1488" s="122">
        <v>21.1</v>
      </c>
      <c r="D1488" s="122">
        <v>20.690000999999999</v>
      </c>
      <c r="E1488" s="122">
        <v>20.99</v>
      </c>
      <c r="F1488" s="122">
        <v>17.433755999999999</v>
      </c>
      <c r="G1488" s="197">
        <v>121400</v>
      </c>
      <c r="H1488" s="198">
        <f>IF(AND(E1487&gt;=H1487,E1488&gt;=E1487),E1487*(1+'Trading Model'!$E$13),IF(AND(E1488&lt;E1487,E1487&gt;=H1487),E1488*(1+'Trading Model'!$E$13),H1487))</f>
        <v>27.698998950000004</v>
      </c>
      <c r="I1488" s="198">
        <f>IF(K1488&gt;0,E1488*(1-'Trading Model'!E1498),IF(E1488&lt;I1487,I1487*(1-'Trading Model'!$E$14),I1487))</f>
        <v>8.9840153609188427</v>
      </c>
      <c r="J1488" s="198">
        <f t="shared" si="191"/>
        <v>0</v>
      </c>
      <c r="K1488" s="198">
        <f t="shared" si="186"/>
        <v>0</v>
      </c>
      <c r="L1488" s="198">
        <f>COUNTIF(J1488:K1488,"&lt;&gt;0")*-'Trading Model'!$E$15</f>
        <v>0</v>
      </c>
      <c r="M1488" s="198">
        <f t="shared" si="184"/>
        <v>0</v>
      </c>
      <c r="N1488" s="75">
        <f t="shared" si="187"/>
        <v>45</v>
      </c>
      <c r="O1488" s="202">
        <f t="shared" si="188"/>
        <v>0</v>
      </c>
      <c r="P1488" s="199">
        <f t="shared" si="185"/>
        <v>0</v>
      </c>
      <c r="Q1488" s="203">
        <f t="shared" si="189"/>
        <v>27.200000000001523</v>
      </c>
      <c r="R1488" s="160" t="s">
        <v>55</v>
      </c>
      <c r="S1488" s="201">
        <f t="shared" si="190"/>
        <v>-9.5192765349849662E-4</v>
      </c>
    </row>
    <row r="1489" spans="1:19">
      <c r="A1489" s="196">
        <v>42129</v>
      </c>
      <c r="B1489" s="122">
        <v>20.940000999999999</v>
      </c>
      <c r="C1489" s="122">
        <v>21.09</v>
      </c>
      <c r="D1489" s="122">
        <v>20.58</v>
      </c>
      <c r="E1489" s="122">
        <v>20.860001</v>
      </c>
      <c r="F1489" s="122">
        <v>17.325780999999999</v>
      </c>
      <c r="G1489" s="197">
        <v>147200</v>
      </c>
      <c r="H1489" s="198">
        <f>IF(AND(E1488&gt;=H1488,E1489&gt;=E1488),E1488*(1+'Trading Model'!$E$13),IF(AND(E1489&lt;E1488,E1488&gt;=H1488),E1489*(1+'Trading Model'!$E$13),H1488))</f>
        <v>27.698998950000004</v>
      </c>
      <c r="I1489" s="198">
        <f>IF(K1489&gt;0,E1489*(1-'Trading Model'!E1499),IF(E1489&lt;I1488,I1488*(1-'Trading Model'!$E$14),I1488))</f>
        <v>8.9840153609188427</v>
      </c>
      <c r="J1489" s="198">
        <f t="shared" si="191"/>
        <v>0</v>
      </c>
      <c r="K1489" s="198">
        <f t="shared" si="186"/>
        <v>0</v>
      </c>
      <c r="L1489" s="198">
        <f>COUNTIF(J1489:K1489,"&lt;&gt;0")*-'Trading Model'!$E$15</f>
        <v>0</v>
      </c>
      <c r="M1489" s="198">
        <f t="shared" si="184"/>
        <v>0</v>
      </c>
      <c r="N1489" s="75">
        <f t="shared" si="187"/>
        <v>45</v>
      </c>
      <c r="O1489" s="202">
        <f t="shared" si="188"/>
        <v>0</v>
      </c>
      <c r="P1489" s="199">
        <f t="shared" si="185"/>
        <v>0</v>
      </c>
      <c r="Q1489" s="203">
        <f t="shared" si="189"/>
        <v>27.100000000001522</v>
      </c>
      <c r="R1489" s="203" t="s">
        <v>55</v>
      </c>
      <c r="S1489" s="201">
        <f t="shared" si="190"/>
        <v>-6.1933777989517935E-3</v>
      </c>
    </row>
    <row r="1490" spans="1:19">
      <c r="A1490" s="196">
        <v>42130</v>
      </c>
      <c r="B1490" s="122">
        <v>20.59</v>
      </c>
      <c r="C1490" s="122">
        <v>21.1</v>
      </c>
      <c r="D1490" s="122">
        <v>20.190000999999999</v>
      </c>
      <c r="E1490" s="122">
        <v>20.889999</v>
      </c>
      <c r="F1490" s="122">
        <v>17.74614</v>
      </c>
      <c r="G1490" s="197">
        <v>173100</v>
      </c>
      <c r="H1490" s="198">
        <f>IF(AND(E1489&gt;=H1489,E1490&gt;=E1489),E1489*(1+'Trading Model'!$E$13),IF(AND(E1490&lt;E1489,E1489&gt;=H1489),E1490*(1+'Trading Model'!$E$13),H1489))</f>
        <v>27.698998950000004</v>
      </c>
      <c r="I1490" s="198">
        <f>IF(K1490&gt;0,E1490*(1-'Trading Model'!E1500),IF(E1490&lt;I1489,I1489*(1-'Trading Model'!$E$14),I1489))</f>
        <v>8.9840153609188427</v>
      </c>
      <c r="J1490" s="198">
        <f t="shared" si="191"/>
        <v>0</v>
      </c>
      <c r="K1490" s="198">
        <f t="shared" si="186"/>
        <v>0</v>
      </c>
      <c r="L1490" s="198">
        <f>COUNTIF(J1490:K1490,"&lt;&gt;0")*-'Trading Model'!$E$15</f>
        <v>0</v>
      </c>
      <c r="M1490" s="198">
        <f t="shared" si="184"/>
        <v>0</v>
      </c>
      <c r="N1490" s="75">
        <f t="shared" si="187"/>
        <v>45</v>
      </c>
      <c r="O1490" s="202">
        <f t="shared" si="188"/>
        <v>0.46483000000000002</v>
      </c>
      <c r="P1490" s="199">
        <f t="shared" si="185"/>
        <v>0.46483000000000002</v>
      </c>
      <c r="Q1490" s="203">
        <f t="shared" si="189"/>
        <v>27.100000000001522</v>
      </c>
      <c r="R1490" s="203" t="s">
        <v>55</v>
      </c>
      <c r="S1490" s="201">
        <f t="shared" si="190"/>
        <v>1.4380632100641222E-3</v>
      </c>
    </row>
    <row r="1491" spans="1:19">
      <c r="A1491" s="196">
        <v>42131</v>
      </c>
      <c r="B1491" s="122">
        <v>20.719999000000001</v>
      </c>
      <c r="C1491" s="122">
        <v>21.040001</v>
      </c>
      <c r="D1491" s="122">
        <v>20.379999000000002</v>
      </c>
      <c r="E1491" s="122">
        <v>20.99</v>
      </c>
      <c r="F1491" s="122">
        <v>17.831092999999999</v>
      </c>
      <c r="G1491" s="197">
        <v>322500</v>
      </c>
      <c r="H1491" s="198">
        <f>IF(AND(E1490&gt;=H1490,E1491&gt;=E1490),E1490*(1+'Trading Model'!$E$13),IF(AND(E1491&lt;E1490,E1490&gt;=H1490),E1491*(1+'Trading Model'!$E$13),H1490))</f>
        <v>27.698998950000004</v>
      </c>
      <c r="I1491" s="198">
        <f>IF(K1491&gt;0,E1491*(1-'Trading Model'!E1501),IF(E1491&lt;I1490,I1490*(1-'Trading Model'!$E$14),I1490))</f>
        <v>8.9840153609188427</v>
      </c>
      <c r="J1491" s="198">
        <f t="shared" si="191"/>
        <v>0</v>
      </c>
      <c r="K1491" s="198">
        <f t="shared" si="186"/>
        <v>0</v>
      </c>
      <c r="L1491" s="198">
        <f>COUNTIF(J1491:K1491,"&lt;&gt;0")*-'Trading Model'!$E$15</f>
        <v>0</v>
      </c>
      <c r="M1491" s="198">
        <f t="shared" si="184"/>
        <v>0</v>
      </c>
      <c r="N1491" s="75">
        <f t="shared" si="187"/>
        <v>45</v>
      </c>
      <c r="O1491" s="202">
        <f t="shared" si="188"/>
        <v>0</v>
      </c>
      <c r="P1491" s="199">
        <f t="shared" si="185"/>
        <v>0</v>
      </c>
      <c r="Q1491" s="203">
        <f t="shared" si="189"/>
        <v>27.100000000001522</v>
      </c>
      <c r="R1491" s="203" t="s">
        <v>55</v>
      </c>
      <c r="S1491" s="201">
        <f t="shared" si="190"/>
        <v>4.7870275149366481E-3</v>
      </c>
    </row>
    <row r="1492" spans="1:19">
      <c r="A1492" s="196">
        <v>42132</v>
      </c>
      <c r="B1492" s="122">
        <v>21.040001</v>
      </c>
      <c r="C1492" s="122">
        <v>21.08</v>
      </c>
      <c r="D1492" s="122">
        <v>20.48</v>
      </c>
      <c r="E1492" s="122">
        <v>20.6</v>
      </c>
      <c r="F1492" s="122">
        <v>17.499783999999998</v>
      </c>
      <c r="G1492" s="197">
        <v>113900</v>
      </c>
      <c r="H1492" s="198">
        <f>IF(AND(E1491&gt;=H1491,E1492&gt;=E1491),E1491*(1+'Trading Model'!$E$13),IF(AND(E1492&lt;E1491,E1491&gt;=H1491),E1492*(1+'Trading Model'!$E$13),H1491))</f>
        <v>27.698998950000004</v>
      </c>
      <c r="I1492" s="198">
        <f>IF(K1492&gt;0,E1492*(1-'Trading Model'!E1502),IF(E1492&lt;I1491,I1491*(1-'Trading Model'!$E$14),I1491))</f>
        <v>8.9840153609188427</v>
      </c>
      <c r="J1492" s="198">
        <f t="shared" si="191"/>
        <v>0</v>
      </c>
      <c r="K1492" s="198">
        <f t="shared" si="186"/>
        <v>0</v>
      </c>
      <c r="L1492" s="198">
        <f>COUNTIF(J1492:K1492,"&lt;&gt;0")*-'Trading Model'!$E$15</f>
        <v>0</v>
      </c>
      <c r="M1492" s="198">
        <f t="shared" si="184"/>
        <v>0</v>
      </c>
      <c r="N1492" s="75">
        <f t="shared" si="187"/>
        <v>45</v>
      </c>
      <c r="O1492" s="202">
        <f t="shared" si="188"/>
        <v>0</v>
      </c>
      <c r="P1492" s="199">
        <f t="shared" si="185"/>
        <v>0</v>
      </c>
      <c r="Q1492" s="203">
        <f t="shared" si="189"/>
        <v>27.000000000001521</v>
      </c>
      <c r="R1492" s="201">
        <f>E1492/B1488-1</f>
        <v>-2.3696682464454999E-2</v>
      </c>
      <c r="S1492" s="201">
        <f t="shared" si="190"/>
        <v>-1.8580276322057943E-2</v>
      </c>
    </row>
    <row r="1493" spans="1:19">
      <c r="A1493" s="196">
        <v>42135</v>
      </c>
      <c r="B1493" s="122">
        <v>20.75</v>
      </c>
      <c r="C1493" s="122">
        <v>21.1</v>
      </c>
      <c r="D1493" s="122">
        <v>20.549999</v>
      </c>
      <c r="E1493" s="122">
        <v>21.059999000000001</v>
      </c>
      <c r="F1493" s="122">
        <v>17.890554000000002</v>
      </c>
      <c r="G1493" s="197">
        <v>160400</v>
      </c>
      <c r="H1493" s="198">
        <f>IF(AND(E1492&gt;=H1492,E1493&gt;=E1492),E1492*(1+'Trading Model'!$E$13),IF(AND(E1493&lt;E1492,E1492&gt;=H1492),E1493*(1+'Trading Model'!$E$13),H1492))</f>
        <v>27.698998950000004</v>
      </c>
      <c r="I1493" s="198">
        <f>IF(K1493&gt;0,E1493*(1-'Trading Model'!E1503),IF(E1493&lt;I1492,I1492*(1-'Trading Model'!$E$14),I1492))</f>
        <v>8.9840153609188427</v>
      </c>
      <c r="J1493" s="198">
        <f t="shared" si="191"/>
        <v>0</v>
      </c>
      <c r="K1493" s="198">
        <f t="shared" si="186"/>
        <v>0</v>
      </c>
      <c r="L1493" s="198">
        <f>COUNTIF(J1493:K1493,"&lt;&gt;0")*-'Trading Model'!$E$15</f>
        <v>0</v>
      </c>
      <c r="M1493" s="198">
        <f t="shared" si="184"/>
        <v>0</v>
      </c>
      <c r="N1493" s="75">
        <f t="shared" si="187"/>
        <v>45</v>
      </c>
      <c r="O1493" s="202">
        <f t="shared" si="188"/>
        <v>0</v>
      </c>
      <c r="P1493" s="199">
        <f t="shared" si="185"/>
        <v>0</v>
      </c>
      <c r="Q1493" s="203">
        <f t="shared" si="189"/>
        <v>27.000000000001521</v>
      </c>
      <c r="R1493" s="160" t="s">
        <v>55</v>
      </c>
      <c r="S1493" s="201">
        <f t="shared" si="190"/>
        <v>2.2330048543689252E-2</v>
      </c>
    </row>
    <row r="1494" spans="1:19">
      <c r="A1494" s="196">
        <v>42136</v>
      </c>
      <c r="B1494" s="122">
        <v>20.940000999999999</v>
      </c>
      <c r="C1494" s="122">
        <v>20.940000999999999</v>
      </c>
      <c r="D1494" s="122">
        <v>20.530000999999999</v>
      </c>
      <c r="E1494" s="122">
        <v>20.549999</v>
      </c>
      <c r="F1494" s="122">
        <v>17.45731</v>
      </c>
      <c r="G1494" s="197">
        <v>75400</v>
      </c>
      <c r="H1494" s="198">
        <f>IF(AND(E1493&gt;=H1493,E1494&gt;=E1493),E1493*(1+'Trading Model'!$E$13),IF(AND(E1494&lt;E1493,E1493&gt;=H1493),E1494*(1+'Trading Model'!$E$13),H1493))</f>
        <v>27.698998950000004</v>
      </c>
      <c r="I1494" s="198">
        <f>IF(K1494&gt;0,E1494*(1-'Trading Model'!E1504),IF(E1494&lt;I1493,I1493*(1-'Trading Model'!$E$14),I1493))</f>
        <v>8.9840153609188427</v>
      </c>
      <c r="J1494" s="198">
        <f t="shared" si="191"/>
        <v>0</v>
      </c>
      <c r="K1494" s="198">
        <f t="shared" si="186"/>
        <v>0</v>
      </c>
      <c r="L1494" s="198">
        <f>COUNTIF(J1494:K1494,"&lt;&gt;0")*-'Trading Model'!$E$15</f>
        <v>0</v>
      </c>
      <c r="M1494" s="198">
        <f t="shared" si="184"/>
        <v>0</v>
      </c>
      <c r="N1494" s="75">
        <f t="shared" si="187"/>
        <v>45</v>
      </c>
      <c r="O1494" s="202">
        <f t="shared" si="188"/>
        <v>0</v>
      </c>
      <c r="P1494" s="199">
        <f t="shared" si="185"/>
        <v>0</v>
      </c>
      <c r="Q1494" s="203">
        <f t="shared" si="189"/>
        <v>26.900000000001519</v>
      </c>
      <c r="R1494" s="203" t="s">
        <v>55</v>
      </c>
      <c r="S1494" s="201">
        <f t="shared" si="190"/>
        <v>-2.4216525366406838E-2</v>
      </c>
    </row>
    <row r="1495" spans="1:19">
      <c r="A1495" s="196">
        <v>42137</v>
      </c>
      <c r="B1495" s="122">
        <v>20.75</v>
      </c>
      <c r="C1495" s="122">
        <v>20.809999000000001</v>
      </c>
      <c r="D1495" s="122">
        <v>20.360001</v>
      </c>
      <c r="E1495" s="122">
        <v>20.67</v>
      </c>
      <c r="F1495" s="122">
        <v>17.559252000000001</v>
      </c>
      <c r="G1495" s="197">
        <v>60900</v>
      </c>
      <c r="H1495" s="198">
        <f>IF(AND(E1494&gt;=H1494,E1495&gt;=E1494),E1494*(1+'Trading Model'!$E$13),IF(AND(E1495&lt;E1494,E1494&gt;=H1494),E1495*(1+'Trading Model'!$E$13),H1494))</f>
        <v>27.698998950000004</v>
      </c>
      <c r="I1495" s="198">
        <f>IF(K1495&gt;0,E1495*(1-'Trading Model'!E1505),IF(E1495&lt;I1494,I1494*(1-'Trading Model'!$E$14),I1494))</f>
        <v>8.9840153609188427</v>
      </c>
      <c r="J1495" s="198">
        <f t="shared" si="191"/>
        <v>0</v>
      </c>
      <c r="K1495" s="198">
        <f t="shared" si="186"/>
        <v>0</v>
      </c>
      <c r="L1495" s="198">
        <f>COUNTIF(J1495:K1495,"&lt;&gt;0")*-'Trading Model'!$E$15</f>
        <v>0</v>
      </c>
      <c r="M1495" s="198">
        <f t="shared" si="184"/>
        <v>0</v>
      </c>
      <c r="N1495" s="75">
        <f t="shared" si="187"/>
        <v>45</v>
      </c>
      <c r="O1495" s="202">
        <f t="shared" si="188"/>
        <v>0</v>
      </c>
      <c r="P1495" s="199">
        <f t="shared" si="185"/>
        <v>0</v>
      </c>
      <c r="Q1495" s="203">
        <f t="shared" si="189"/>
        <v>26.900000000001519</v>
      </c>
      <c r="R1495" s="203" t="s">
        <v>55</v>
      </c>
      <c r="S1495" s="201">
        <f t="shared" si="190"/>
        <v>5.8394650043536167E-3</v>
      </c>
    </row>
    <row r="1496" spans="1:19">
      <c r="A1496" s="196">
        <v>42138</v>
      </c>
      <c r="B1496" s="122">
        <v>20.73</v>
      </c>
      <c r="C1496" s="122">
        <v>20.889999</v>
      </c>
      <c r="D1496" s="122">
        <v>20.440000999999999</v>
      </c>
      <c r="E1496" s="122">
        <v>20.75</v>
      </c>
      <c r="F1496" s="122">
        <v>17.627209000000001</v>
      </c>
      <c r="G1496" s="197">
        <v>35000</v>
      </c>
      <c r="H1496" s="198">
        <f>IF(AND(E1495&gt;=H1495,E1496&gt;=E1495),E1495*(1+'Trading Model'!$E$13),IF(AND(E1496&lt;E1495,E1495&gt;=H1495),E1496*(1+'Trading Model'!$E$13),H1495))</f>
        <v>27.698998950000004</v>
      </c>
      <c r="I1496" s="198">
        <f>IF(K1496&gt;0,E1496*(1-'Trading Model'!E1506),IF(E1496&lt;I1495,I1495*(1-'Trading Model'!$E$14),I1495))</f>
        <v>8.9840153609188427</v>
      </c>
      <c r="J1496" s="198">
        <f t="shared" si="191"/>
        <v>0</v>
      </c>
      <c r="K1496" s="198">
        <f t="shared" si="186"/>
        <v>0</v>
      </c>
      <c r="L1496" s="198">
        <f>COUNTIF(J1496:K1496,"&lt;&gt;0")*-'Trading Model'!$E$15</f>
        <v>0</v>
      </c>
      <c r="M1496" s="198">
        <f t="shared" si="184"/>
        <v>0</v>
      </c>
      <c r="N1496" s="75">
        <f t="shared" si="187"/>
        <v>45</v>
      </c>
      <c r="O1496" s="202">
        <f t="shared" si="188"/>
        <v>0</v>
      </c>
      <c r="P1496" s="199">
        <f t="shared" si="185"/>
        <v>0</v>
      </c>
      <c r="Q1496" s="203">
        <f t="shared" si="189"/>
        <v>26.900000000001519</v>
      </c>
      <c r="R1496" s="203" t="s">
        <v>55</v>
      </c>
      <c r="S1496" s="201">
        <f t="shared" si="190"/>
        <v>3.8703434929849845E-3</v>
      </c>
    </row>
    <row r="1497" spans="1:19">
      <c r="A1497" s="196">
        <v>42139</v>
      </c>
      <c r="B1497" s="122">
        <v>20.799999</v>
      </c>
      <c r="C1497" s="122">
        <v>20.950001</v>
      </c>
      <c r="D1497" s="122">
        <v>20.5</v>
      </c>
      <c r="E1497" s="122">
        <v>20.860001</v>
      </c>
      <c r="F1497" s="122">
        <v>17.720655000000001</v>
      </c>
      <c r="G1497" s="197">
        <v>178200</v>
      </c>
      <c r="H1497" s="198">
        <f>IF(AND(E1496&gt;=H1496,E1497&gt;=E1496),E1496*(1+'Trading Model'!$E$13),IF(AND(E1497&lt;E1496,E1496&gt;=H1496),E1497*(1+'Trading Model'!$E$13),H1496))</f>
        <v>27.698998950000004</v>
      </c>
      <c r="I1497" s="198">
        <f>IF(K1497&gt;0,E1497*(1-'Trading Model'!E1507),IF(E1497&lt;I1496,I1496*(1-'Trading Model'!$E$14),I1496))</f>
        <v>8.9840153609188427</v>
      </c>
      <c r="J1497" s="198">
        <f t="shared" si="191"/>
        <v>0</v>
      </c>
      <c r="K1497" s="198">
        <f t="shared" si="186"/>
        <v>0</v>
      </c>
      <c r="L1497" s="198">
        <f>COUNTIF(J1497:K1497,"&lt;&gt;0")*-'Trading Model'!$E$15</f>
        <v>0</v>
      </c>
      <c r="M1497" s="198">
        <f t="shared" si="184"/>
        <v>0</v>
      </c>
      <c r="N1497" s="75">
        <f t="shared" si="187"/>
        <v>45</v>
      </c>
      <c r="O1497" s="202">
        <f t="shared" si="188"/>
        <v>0</v>
      </c>
      <c r="P1497" s="199">
        <f t="shared" si="185"/>
        <v>0</v>
      </c>
      <c r="Q1497" s="203">
        <f t="shared" si="189"/>
        <v>26.900000000001519</v>
      </c>
      <c r="R1497" s="201">
        <f>E1497/B1493-1</f>
        <v>5.3012530120482015E-3</v>
      </c>
      <c r="S1497" s="201">
        <f t="shared" si="190"/>
        <v>5.3012530120482015E-3</v>
      </c>
    </row>
    <row r="1498" spans="1:19">
      <c r="A1498" s="196">
        <v>42142</v>
      </c>
      <c r="B1498" s="122">
        <v>20.799999</v>
      </c>
      <c r="C1498" s="122">
        <v>21.1</v>
      </c>
      <c r="D1498" s="122">
        <v>20.65</v>
      </c>
      <c r="E1498" s="122">
        <v>21.1</v>
      </c>
      <c r="F1498" s="122">
        <v>17.924536</v>
      </c>
      <c r="G1498" s="197">
        <v>207700</v>
      </c>
      <c r="H1498" s="198">
        <f>IF(AND(E1497&gt;=H1497,E1498&gt;=E1497),E1497*(1+'Trading Model'!$E$13),IF(AND(E1498&lt;E1497,E1497&gt;=H1497),E1498*(1+'Trading Model'!$E$13),H1497))</f>
        <v>27.698998950000004</v>
      </c>
      <c r="I1498" s="198">
        <f>IF(K1498&gt;0,E1498*(1-'Trading Model'!E1508),IF(E1498&lt;I1497,I1497*(1-'Trading Model'!$E$14),I1497))</f>
        <v>8.9840153609188427</v>
      </c>
      <c r="J1498" s="198">
        <f t="shared" si="191"/>
        <v>0</v>
      </c>
      <c r="K1498" s="198">
        <f t="shared" si="186"/>
        <v>0</v>
      </c>
      <c r="L1498" s="198">
        <f>COUNTIF(J1498:K1498,"&lt;&gt;0")*-'Trading Model'!$E$15</f>
        <v>0</v>
      </c>
      <c r="M1498" s="198">
        <f t="shared" si="184"/>
        <v>0</v>
      </c>
      <c r="N1498" s="75">
        <f t="shared" si="187"/>
        <v>45</v>
      </c>
      <c r="O1498" s="202">
        <f t="shared" si="188"/>
        <v>0</v>
      </c>
      <c r="P1498" s="199">
        <f t="shared" si="185"/>
        <v>0</v>
      </c>
      <c r="Q1498" s="203">
        <f t="shared" si="189"/>
        <v>26.900000000001519</v>
      </c>
      <c r="R1498" s="160" t="s">
        <v>55</v>
      </c>
      <c r="S1498" s="201">
        <f t="shared" si="190"/>
        <v>1.1505224760056443E-2</v>
      </c>
    </row>
    <row r="1499" spans="1:19">
      <c r="A1499" s="196">
        <v>42143</v>
      </c>
      <c r="B1499" s="122">
        <v>21.059999000000001</v>
      </c>
      <c r="C1499" s="122">
        <v>21.07</v>
      </c>
      <c r="D1499" s="122">
        <v>20.799999</v>
      </c>
      <c r="E1499" s="122">
        <v>21.02</v>
      </c>
      <c r="F1499" s="122">
        <v>17.856577000000001</v>
      </c>
      <c r="G1499" s="197">
        <v>54100</v>
      </c>
      <c r="H1499" s="198">
        <f>IF(AND(E1498&gt;=H1498,E1499&gt;=E1498),E1498*(1+'Trading Model'!$E$13),IF(AND(E1499&lt;E1498,E1498&gt;=H1498),E1499*(1+'Trading Model'!$E$13),H1498))</f>
        <v>27.698998950000004</v>
      </c>
      <c r="I1499" s="198">
        <f>IF(K1499&gt;0,E1499*(1-'Trading Model'!E1509),IF(E1499&lt;I1498,I1498*(1-'Trading Model'!$E$14),I1498))</f>
        <v>8.9840153609188427</v>
      </c>
      <c r="J1499" s="198">
        <f t="shared" si="191"/>
        <v>0</v>
      </c>
      <c r="K1499" s="198">
        <f t="shared" si="186"/>
        <v>0</v>
      </c>
      <c r="L1499" s="198">
        <f>COUNTIF(J1499:K1499,"&lt;&gt;0")*-'Trading Model'!$E$15</f>
        <v>0</v>
      </c>
      <c r="M1499" s="198">
        <f t="shared" si="184"/>
        <v>0</v>
      </c>
      <c r="N1499" s="75">
        <f t="shared" si="187"/>
        <v>45</v>
      </c>
      <c r="O1499" s="202">
        <f t="shared" si="188"/>
        <v>0</v>
      </c>
      <c r="P1499" s="199">
        <f t="shared" si="185"/>
        <v>0</v>
      </c>
      <c r="Q1499" s="203">
        <f t="shared" si="189"/>
        <v>26.800000000001518</v>
      </c>
      <c r="R1499" s="203" t="s">
        <v>55</v>
      </c>
      <c r="S1499" s="201">
        <f t="shared" si="190"/>
        <v>-3.7914691943128354E-3</v>
      </c>
    </row>
    <row r="1500" spans="1:19">
      <c r="A1500" s="196">
        <v>42144</v>
      </c>
      <c r="B1500" s="122">
        <v>21.02</v>
      </c>
      <c r="C1500" s="122">
        <v>21.02</v>
      </c>
      <c r="D1500" s="122">
        <v>20.610001</v>
      </c>
      <c r="E1500" s="122">
        <v>20.84</v>
      </c>
      <c r="F1500" s="122">
        <v>17.703666999999999</v>
      </c>
      <c r="G1500" s="197">
        <v>51700</v>
      </c>
      <c r="H1500" s="198">
        <f>IF(AND(E1499&gt;=H1499,E1500&gt;=E1499),E1499*(1+'Trading Model'!$E$13),IF(AND(E1500&lt;E1499,E1499&gt;=H1499),E1500*(1+'Trading Model'!$E$13),H1499))</f>
        <v>27.698998950000004</v>
      </c>
      <c r="I1500" s="198">
        <f>IF(K1500&gt;0,E1500*(1-'Trading Model'!E1510),IF(E1500&lt;I1499,I1499*(1-'Trading Model'!$E$14),I1499))</f>
        <v>8.9840153609188427</v>
      </c>
      <c r="J1500" s="198">
        <f t="shared" si="191"/>
        <v>0</v>
      </c>
      <c r="K1500" s="198">
        <f t="shared" si="186"/>
        <v>0</v>
      </c>
      <c r="L1500" s="198">
        <f>COUNTIF(J1500:K1500,"&lt;&gt;0")*-'Trading Model'!$E$15</f>
        <v>0</v>
      </c>
      <c r="M1500" s="198">
        <f t="shared" si="184"/>
        <v>0</v>
      </c>
      <c r="N1500" s="75">
        <f t="shared" si="187"/>
        <v>45</v>
      </c>
      <c r="O1500" s="202">
        <f t="shared" si="188"/>
        <v>0</v>
      </c>
      <c r="P1500" s="199">
        <f t="shared" si="185"/>
        <v>0</v>
      </c>
      <c r="Q1500" s="203">
        <f t="shared" si="189"/>
        <v>26.700000000001516</v>
      </c>
      <c r="R1500" s="203" t="s">
        <v>55</v>
      </c>
      <c r="S1500" s="201">
        <f t="shared" si="190"/>
        <v>-8.5632730732635443E-3</v>
      </c>
    </row>
    <row r="1501" spans="1:19">
      <c r="A1501" s="196">
        <v>42145</v>
      </c>
      <c r="B1501" s="122">
        <v>20.85</v>
      </c>
      <c r="C1501" s="122">
        <v>20.85</v>
      </c>
      <c r="D1501" s="122">
        <v>20.399999999999999</v>
      </c>
      <c r="E1501" s="122">
        <v>20.66</v>
      </c>
      <c r="F1501" s="122">
        <v>17.550753</v>
      </c>
      <c r="G1501" s="197">
        <v>122300</v>
      </c>
      <c r="H1501" s="198">
        <f>IF(AND(E1500&gt;=H1500,E1501&gt;=E1500),E1500*(1+'Trading Model'!$E$13),IF(AND(E1501&lt;E1500,E1500&gt;=H1500),E1501*(1+'Trading Model'!$E$13),H1500))</f>
        <v>27.698998950000004</v>
      </c>
      <c r="I1501" s="198">
        <f>IF(K1501&gt;0,E1501*(1-'Trading Model'!E1511),IF(E1501&lt;I1500,I1500*(1-'Trading Model'!$E$14),I1500))</f>
        <v>8.9840153609188427</v>
      </c>
      <c r="J1501" s="198">
        <f t="shared" si="191"/>
        <v>0</v>
      </c>
      <c r="K1501" s="198">
        <f t="shared" si="186"/>
        <v>0</v>
      </c>
      <c r="L1501" s="198">
        <f>COUNTIF(J1501:K1501,"&lt;&gt;0")*-'Trading Model'!$E$15</f>
        <v>0</v>
      </c>
      <c r="M1501" s="198">
        <f t="shared" si="184"/>
        <v>0</v>
      </c>
      <c r="N1501" s="75">
        <f t="shared" si="187"/>
        <v>45</v>
      </c>
      <c r="O1501" s="202">
        <f t="shared" si="188"/>
        <v>0</v>
      </c>
      <c r="P1501" s="199">
        <f t="shared" si="185"/>
        <v>0</v>
      </c>
      <c r="Q1501" s="203">
        <f t="shared" si="189"/>
        <v>26.600000000001515</v>
      </c>
      <c r="R1501" s="203" t="s">
        <v>55</v>
      </c>
      <c r="S1501" s="201">
        <f t="shared" si="190"/>
        <v>-8.6372360844529927E-3</v>
      </c>
    </row>
    <row r="1502" spans="1:19">
      <c r="A1502" s="196">
        <v>42146</v>
      </c>
      <c r="B1502" s="122">
        <v>20.66</v>
      </c>
      <c r="C1502" s="122">
        <v>20.84</v>
      </c>
      <c r="D1502" s="122">
        <v>20.5</v>
      </c>
      <c r="E1502" s="122">
        <v>20.77</v>
      </c>
      <c r="F1502" s="122">
        <v>17.644200999999999</v>
      </c>
      <c r="G1502" s="197">
        <v>82500</v>
      </c>
      <c r="H1502" s="198">
        <f>IF(AND(E1501&gt;=H1501,E1502&gt;=E1501),E1501*(1+'Trading Model'!$E$13),IF(AND(E1502&lt;E1501,E1501&gt;=H1501),E1502*(1+'Trading Model'!$E$13),H1501))</f>
        <v>27.698998950000004</v>
      </c>
      <c r="I1502" s="198">
        <f>IF(K1502&gt;0,E1502*(1-'Trading Model'!E1512),IF(E1502&lt;I1501,I1501*(1-'Trading Model'!$E$14),I1501))</f>
        <v>8.9840153609188427</v>
      </c>
      <c r="J1502" s="198">
        <f t="shared" si="191"/>
        <v>0</v>
      </c>
      <c r="K1502" s="198">
        <f t="shared" si="186"/>
        <v>0</v>
      </c>
      <c r="L1502" s="198">
        <f>COUNTIF(J1502:K1502,"&lt;&gt;0")*-'Trading Model'!$E$15</f>
        <v>0</v>
      </c>
      <c r="M1502" s="198">
        <f t="shared" si="184"/>
        <v>0</v>
      </c>
      <c r="N1502" s="75">
        <f t="shared" si="187"/>
        <v>45</v>
      </c>
      <c r="O1502" s="202">
        <f t="shared" si="188"/>
        <v>0</v>
      </c>
      <c r="P1502" s="199">
        <f t="shared" si="185"/>
        <v>0</v>
      </c>
      <c r="Q1502" s="203">
        <f t="shared" si="189"/>
        <v>26.600000000001515</v>
      </c>
      <c r="R1502" s="201">
        <f>E1502/B1498-1</f>
        <v>-1.442259684724001E-3</v>
      </c>
      <c r="S1502" s="201">
        <f t="shared" si="190"/>
        <v>5.3242981606969053E-3</v>
      </c>
    </row>
    <row r="1503" spans="1:19">
      <c r="A1503" s="196">
        <v>42150</v>
      </c>
      <c r="B1503" s="122">
        <v>20.709999</v>
      </c>
      <c r="C1503" s="122">
        <v>20.870000999999998</v>
      </c>
      <c r="D1503" s="122">
        <v>20.25</v>
      </c>
      <c r="E1503" s="122">
        <v>20.360001</v>
      </c>
      <c r="F1503" s="122">
        <v>17.295904</v>
      </c>
      <c r="G1503" s="197">
        <v>101000</v>
      </c>
      <c r="H1503" s="198">
        <f>IF(AND(E1502&gt;=H1502,E1503&gt;=E1502),E1502*(1+'Trading Model'!$E$13),IF(AND(E1503&lt;E1502,E1502&gt;=H1502),E1503*(1+'Trading Model'!$E$13),H1502))</f>
        <v>27.698998950000004</v>
      </c>
      <c r="I1503" s="198">
        <f>IF(K1503&gt;0,E1503*(1-'Trading Model'!E1513),IF(E1503&lt;I1502,I1502*(1-'Trading Model'!$E$14),I1502))</f>
        <v>8.9840153609188427</v>
      </c>
      <c r="J1503" s="198">
        <f t="shared" si="191"/>
        <v>0</v>
      </c>
      <c r="K1503" s="198">
        <f t="shared" si="186"/>
        <v>0</v>
      </c>
      <c r="L1503" s="198">
        <f>COUNTIF(J1503:K1503,"&lt;&gt;0")*-'Trading Model'!$E$15</f>
        <v>0</v>
      </c>
      <c r="M1503" s="198">
        <f t="shared" si="184"/>
        <v>0</v>
      </c>
      <c r="N1503" s="75">
        <f t="shared" si="187"/>
        <v>45</v>
      </c>
      <c r="O1503" s="202">
        <f t="shared" si="188"/>
        <v>0</v>
      </c>
      <c r="P1503" s="199">
        <f t="shared" si="185"/>
        <v>0</v>
      </c>
      <c r="Q1503" s="203">
        <f t="shared" si="189"/>
        <v>26.500000000001513</v>
      </c>
      <c r="R1503" s="160" t="s">
        <v>55</v>
      </c>
      <c r="S1503" s="201">
        <f t="shared" si="190"/>
        <v>-1.9739961482908019E-2</v>
      </c>
    </row>
    <row r="1504" spans="1:19">
      <c r="A1504" s="196">
        <v>42151</v>
      </c>
      <c r="B1504" s="122">
        <v>20.299999</v>
      </c>
      <c r="C1504" s="122">
        <v>20.309999000000001</v>
      </c>
      <c r="D1504" s="122">
        <v>19.780000999999999</v>
      </c>
      <c r="E1504" s="122">
        <v>20.02</v>
      </c>
      <c r="F1504" s="122">
        <v>17.007072000000001</v>
      </c>
      <c r="G1504" s="197">
        <v>125900</v>
      </c>
      <c r="H1504" s="198">
        <f>IF(AND(E1503&gt;=H1503,E1504&gt;=E1503),E1503*(1+'Trading Model'!$E$13),IF(AND(E1504&lt;E1503,E1503&gt;=H1503),E1504*(1+'Trading Model'!$E$13),H1503))</f>
        <v>27.698998950000004</v>
      </c>
      <c r="I1504" s="198">
        <f>IF(K1504&gt;0,E1504*(1-'Trading Model'!E1514),IF(E1504&lt;I1503,I1503*(1-'Trading Model'!$E$14),I1503))</f>
        <v>8.9840153609188427</v>
      </c>
      <c r="J1504" s="198">
        <f t="shared" si="191"/>
        <v>0</v>
      </c>
      <c r="K1504" s="198">
        <f t="shared" si="186"/>
        <v>0</v>
      </c>
      <c r="L1504" s="198">
        <f>COUNTIF(J1504:K1504,"&lt;&gt;0")*-'Trading Model'!$E$15</f>
        <v>0</v>
      </c>
      <c r="M1504" s="198">
        <f t="shared" si="184"/>
        <v>0</v>
      </c>
      <c r="N1504" s="75">
        <f t="shared" si="187"/>
        <v>45</v>
      </c>
      <c r="O1504" s="202">
        <f t="shared" si="188"/>
        <v>0</v>
      </c>
      <c r="P1504" s="199">
        <f t="shared" si="185"/>
        <v>0</v>
      </c>
      <c r="Q1504" s="203">
        <f t="shared" si="189"/>
        <v>26.400000000001512</v>
      </c>
      <c r="R1504" s="203" t="s">
        <v>55</v>
      </c>
      <c r="S1504" s="201">
        <f t="shared" si="190"/>
        <v>-1.6699458904741782E-2</v>
      </c>
    </row>
    <row r="1505" spans="1:19">
      <c r="A1505" s="196">
        <v>42152</v>
      </c>
      <c r="B1505" s="122">
        <v>19.809999000000001</v>
      </c>
      <c r="C1505" s="122">
        <v>19.98</v>
      </c>
      <c r="D1505" s="122">
        <v>19.670000000000002</v>
      </c>
      <c r="E1505" s="122">
        <v>19.780000999999999</v>
      </c>
      <c r="F1505" s="122">
        <v>16.803191999999999</v>
      </c>
      <c r="G1505" s="197">
        <v>151600</v>
      </c>
      <c r="H1505" s="198">
        <f>IF(AND(E1504&gt;=H1504,E1505&gt;=E1504),E1504*(1+'Trading Model'!$E$13),IF(AND(E1505&lt;E1504,E1504&gt;=H1504),E1505*(1+'Trading Model'!$E$13),H1504))</f>
        <v>27.698998950000004</v>
      </c>
      <c r="I1505" s="198">
        <f>IF(K1505&gt;0,E1505*(1-'Trading Model'!E1515),IF(E1505&lt;I1504,I1504*(1-'Trading Model'!$E$14),I1504))</f>
        <v>8.9840153609188427</v>
      </c>
      <c r="J1505" s="198">
        <f t="shared" si="191"/>
        <v>0</v>
      </c>
      <c r="K1505" s="198">
        <f t="shared" si="186"/>
        <v>0</v>
      </c>
      <c r="L1505" s="198">
        <f>COUNTIF(J1505:K1505,"&lt;&gt;0")*-'Trading Model'!$E$15</f>
        <v>0</v>
      </c>
      <c r="M1505" s="198">
        <f t="shared" si="184"/>
        <v>0</v>
      </c>
      <c r="N1505" s="75">
        <f t="shared" si="187"/>
        <v>45</v>
      </c>
      <c r="O1505" s="202">
        <f t="shared" si="188"/>
        <v>0</v>
      </c>
      <c r="P1505" s="199">
        <f t="shared" si="185"/>
        <v>0</v>
      </c>
      <c r="Q1505" s="203">
        <f t="shared" si="189"/>
        <v>26.300000000001511</v>
      </c>
      <c r="R1505" s="203" t="s">
        <v>55</v>
      </c>
      <c r="S1505" s="201">
        <f t="shared" si="190"/>
        <v>-1.1987962037962041E-2</v>
      </c>
    </row>
    <row r="1506" spans="1:19">
      <c r="A1506" s="196">
        <v>42153</v>
      </c>
      <c r="B1506" s="122">
        <v>19.719999000000001</v>
      </c>
      <c r="C1506" s="122">
        <v>19.940000999999999</v>
      </c>
      <c r="D1506" s="122">
        <v>19.370000999999998</v>
      </c>
      <c r="E1506" s="122">
        <v>19.629999000000002</v>
      </c>
      <c r="F1506" s="122">
        <v>16.675764000000001</v>
      </c>
      <c r="G1506" s="197">
        <v>195000</v>
      </c>
      <c r="H1506" s="198">
        <f>IF(AND(E1505&gt;=H1505,E1506&gt;=E1505),E1505*(1+'Trading Model'!$E$13),IF(AND(E1506&lt;E1505,E1505&gt;=H1505),E1506*(1+'Trading Model'!$E$13),H1505))</f>
        <v>27.698998950000004</v>
      </c>
      <c r="I1506" s="198">
        <f>IF(K1506&gt;0,E1506*(1-'Trading Model'!E1516),IF(E1506&lt;I1505,I1505*(1-'Trading Model'!$E$14),I1505))</f>
        <v>8.9840153609188427</v>
      </c>
      <c r="J1506" s="198">
        <f t="shared" si="191"/>
        <v>0</v>
      </c>
      <c r="K1506" s="198">
        <f t="shared" si="186"/>
        <v>0</v>
      </c>
      <c r="L1506" s="198">
        <f>COUNTIF(J1506:K1506,"&lt;&gt;0")*-'Trading Model'!$E$15</f>
        <v>0</v>
      </c>
      <c r="M1506" s="198">
        <f t="shared" si="184"/>
        <v>0</v>
      </c>
      <c r="N1506" s="75">
        <f t="shared" si="187"/>
        <v>45</v>
      </c>
      <c r="O1506" s="202">
        <f t="shared" si="188"/>
        <v>0</v>
      </c>
      <c r="P1506" s="199">
        <f t="shared" si="185"/>
        <v>0</v>
      </c>
      <c r="Q1506" s="203">
        <f t="shared" si="189"/>
        <v>26.200000000001509</v>
      </c>
      <c r="R1506" s="203" t="s">
        <v>55</v>
      </c>
      <c r="S1506" s="201">
        <f t="shared" si="190"/>
        <v>-7.5835183223700309E-3</v>
      </c>
    </row>
    <row r="1507" spans="1:19">
      <c r="A1507" s="196">
        <v>42156</v>
      </c>
      <c r="B1507" s="122">
        <v>19.709999</v>
      </c>
      <c r="C1507" s="122">
        <v>19.709999</v>
      </c>
      <c r="D1507" s="122">
        <v>19.299999</v>
      </c>
      <c r="E1507" s="122">
        <v>19.43</v>
      </c>
      <c r="F1507" s="122">
        <v>16.505865</v>
      </c>
      <c r="G1507" s="197">
        <v>82300</v>
      </c>
      <c r="H1507" s="198">
        <f>IF(AND(E1506&gt;=H1506,E1507&gt;=E1506),E1506*(1+'Trading Model'!$E$13),IF(AND(E1507&lt;E1506,E1506&gt;=H1506),E1507*(1+'Trading Model'!$E$13),H1506))</f>
        <v>27.698998950000004</v>
      </c>
      <c r="I1507" s="198">
        <f>IF(K1507&gt;0,E1507*(1-'Trading Model'!E1517),IF(E1507&lt;I1506,I1506*(1-'Trading Model'!$E$14),I1506))</f>
        <v>8.9840153609188427</v>
      </c>
      <c r="J1507" s="198">
        <f t="shared" si="191"/>
        <v>0</v>
      </c>
      <c r="K1507" s="198">
        <f t="shared" si="186"/>
        <v>0</v>
      </c>
      <c r="L1507" s="198">
        <f>COUNTIF(J1507:K1507,"&lt;&gt;0")*-'Trading Model'!$E$15</f>
        <v>0</v>
      </c>
      <c r="M1507" s="198">
        <f t="shared" si="184"/>
        <v>0</v>
      </c>
      <c r="N1507" s="75">
        <f t="shared" si="187"/>
        <v>45</v>
      </c>
      <c r="O1507" s="202">
        <f t="shared" si="188"/>
        <v>0</v>
      </c>
      <c r="P1507" s="199">
        <f t="shared" si="185"/>
        <v>0</v>
      </c>
      <c r="Q1507" s="203">
        <f t="shared" si="189"/>
        <v>26.100000000001508</v>
      </c>
      <c r="R1507" s="201">
        <f>E1507/B1503-1</f>
        <v>-6.1805845572469598E-2</v>
      </c>
      <c r="S1507" s="201">
        <f t="shared" si="190"/>
        <v>-1.0188436586267891E-2</v>
      </c>
    </row>
    <row r="1508" spans="1:19">
      <c r="A1508" s="196">
        <v>42157</v>
      </c>
      <c r="B1508" s="122">
        <v>19.34</v>
      </c>
      <c r="C1508" s="122">
        <v>20.309999000000001</v>
      </c>
      <c r="D1508" s="122">
        <v>19.34</v>
      </c>
      <c r="E1508" s="122">
        <v>20.25</v>
      </c>
      <c r="F1508" s="122">
        <v>17.202456000000002</v>
      </c>
      <c r="G1508" s="197">
        <v>231800</v>
      </c>
      <c r="H1508" s="198">
        <f>IF(AND(E1507&gt;=H1507,E1508&gt;=E1507),E1507*(1+'Trading Model'!$E$13),IF(AND(E1508&lt;E1507,E1507&gt;=H1507),E1508*(1+'Trading Model'!$E$13),H1507))</f>
        <v>27.698998950000004</v>
      </c>
      <c r="I1508" s="198">
        <f>IF(K1508&gt;0,E1508*(1-'Trading Model'!E1518),IF(E1508&lt;I1507,I1507*(1-'Trading Model'!$E$14),I1507))</f>
        <v>8.9840153609188427</v>
      </c>
      <c r="J1508" s="198">
        <f t="shared" si="191"/>
        <v>0</v>
      </c>
      <c r="K1508" s="198">
        <f t="shared" si="186"/>
        <v>0</v>
      </c>
      <c r="L1508" s="198">
        <f>COUNTIF(J1508:K1508,"&lt;&gt;0")*-'Trading Model'!$E$15</f>
        <v>0</v>
      </c>
      <c r="M1508" s="198">
        <f t="shared" si="184"/>
        <v>0</v>
      </c>
      <c r="N1508" s="75">
        <f t="shared" si="187"/>
        <v>45</v>
      </c>
      <c r="O1508" s="202">
        <f t="shared" si="188"/>
        <v>0</v>
      </c>
      <c r="P1508" s="199">
        <f t="shared" si="185"/>
        <v>0</v>
      </c>
      <c r="Q1508" s="203">
        <f t="shared" si="189"/>
        <v>26.100000000001508</v>
      </c>
      <c r="R1508" s="160" t="s">
        <v>55</v>
      </c>
      <c r="S1508" s="201">
        <f t="shared" si="190"/>
        <v>4.2202779207411334E-2</v>
      </c>
    </row>
    <row r="1509" spans="1:19">
      <c r="A1509" s="196">
        <v>42158</v>
      </c>
      <c r="B1509" s="122">
        <v>20.260000000000002</v>
      </c>
      <c r="C1509" s="122">
        <v>20.329999999999998</v>
      </c>
      <c r="D1509" s="122">
        <v>20.07</v>
      </c>
      <c r="E1509" s="122">
        <v>20.200001</v>
      </c>
      <c r="F1509" s="122">
        <v>17.159983</v>
      </c>
      <c r="G1509" s="197">
        <v>56900</v>
      </c>
      <c r="H1509" s="198">
        <f>IF(AND(E1508&gt;=H1508,E1509&gt;=E1508),E1508*(1+'Trading Model'!$E$13),IF(AND(E1509&lt;E1508,E1508&gt;=H1508),E1509*(1+'Trading Model'!$E$13),H1508))</f>
        <v>27.698998950000004</v>
      </c>
      <c r="I1509" s="198">
        <f>IF(K1509&gt;0,E1509*(1-'Trading Model'!E1519),IF(E1509&lt;I1508,I1508*(1-'Trading Model'!$E$14),I1508))</f>
        <v>8.9840153609188427</v>
      </c>
      <c r="J1509" s="198">
        <f t="shared" si="191"/>
        <v>0</v>
      </c>
      <c r="K1509" s="198">
        <f t="shared" si="186"/>
        <v>0</v>
      </c>
      <c r="L1509" s="198">
        <f>COUNTIF(J1509:K1509,"&lt;&gt;0")*-'Trading Model'!$E$15</f>
        <v>0</v>
      </c>
      <c r="M1509" s="198">
        <f t="shared" si="184"/>
        <v>0</v>
      </c>
      <c r="N1509" s="75">
        <f t="shared" si="187"/>
        <v>45</v>
      </c>
      <c r="O1509" s="202">
        <f t="shared" si="188"/>
        <v>0</v>
      </c>
      <c r="P1509" s="199">
        <f t="shared" si="185"/>
        <v>0</v>
      </c>
      <c r="Q1509" s="203">
        <f t="shared" si="189"/>
        <v>26.000000000001506</v>
      </c>
      <c r="R1509" s="203" t="s">
        <v>55</v>
      </c>
      <c r="S1509" s="201">
        <f t="shared" si="190"/>
        <v>-2.4690864197530749E-3</v>
      </c>
    </row>
    <row r="1510" spans="1:19">
      <c r="A1510" s="196">
        <v>42159</v>
      </c>
      <c r="B1510" s="122">
        <v>20.219999000000001</v>
      </c>
      <c r="C1510" s="122">
        <v>20.73</v>
      </c>
      <c r="D1510" s="122">
        <v>20.219999000000001</v>
      </c>
      <c r="E1510" s="122">
        <v>20.379999000000002</v>
      </c>
      <c r="F1510" s="122">
        <v>17.312892999999999</v>
      </c>
      <c r="G1510" s="197">
        <v>229900</v>
      </c>
      <c r="H1510" s="198">
        <f>IF(AND(E1509&gt;=H1509,E1510&gt;=E1509),E1509*(1+'Trading Model'!$E$13),IF(AND(E1510&lt;E1509,E1509&gt;=H1509),E1510*(1+'Trading Model'!$E$13),H1509))</f>
        <v>27.698998950000004</v>
      </c>
      <c r="I1510" s="198">
        <f>IF(K1510&gt;0,E1510*(1-'Trading Model'!E1520),IF(E1510&lt;I1509,I1509*(1-'Trading Model'!$E$14),I1509))</f>
        <v>8.9840153609188427</v>
      </c>
      <c r="J1510" s="198">
        <f t="shared" si="191"/>
        <v>0</v>
      </c>
      <c r="K1510" s="198">
        <f t="shared" si="186"/>
        <v>0</v>
      </c>
      <c r="L1510" s="198">
        <f>COUNTIF(J1510:K1510,"&lt;&gt;0")*-'Trading Model'!$E$15</f>
        <v>0</v>
      </c>
      <c r="M1510" s="198">
        <f t="shared" si="184"/>
        <v>0</v>
      </c>
      <c r="N1510" s="75">
        <f t="shared" si="187"/>
        <v>45</v>
      </c>
      <c r="O1510" s="202">
        <f t="shared" si="188"/>
        <v>0</v>
      </c>
      <c r="P1510" s="199">
        <f t="shared" si="185"/>
        <v>0</v>
      </c>
      <c r="Q1510" s="203">
        <f t="shared" si="189"/>
        <v>26.000000000001506</v>
      </c>
      <c r="R1510" s="203" t="s">
        <v>55</v>
      </c>
      <c r="S1510" s="201">
        <f t="shared" si="190"/>
        <v>8.9107916380797292E-3</v>
      </c>
    </row>
    <row r="1511" spans="1:19">
      <c r="A1511" s="196">
        <v>42160</v>
      </c>
      <c r="B1511" s="122">
        <v>20.450001</v>
      </c>
      <c r="C1511" s="122">
        <v>20.450001</v>
      </c>
      <c r="D1511" s="122">
        <v>19.709999</v>
      </c>
      <c r="E1511" s="122">
        <v>19.93</v>
      </c>
      <c r="F1511" s="122">
        <v>16.930613999999998</v>
      </c>
      <c r="G1511" s="197">
        <v>55700</v>
      </c>
      <c r="H1511" s="198">
        <f>IF(AND(E1510&gt;=H1510,E1511&gt;=E1510),E1510*(1+'Trading Model'!$E$13),IF(AND(E1511&lt;E1510,E1510&gt;=H1510),E1511*(1+'Trading Model'!$E$13),H1510))</f>
        <v>27.698998950000004</v>
      </c>
      <c r="I1511" s="198">
        <f>IF(K1511&gt;0,E1511*(1-'Trading Model'!E1521),IF(E1511&lt;I1510,I1510*(1-'Trading Model'!$E$14),I1510))</f>
        <v>8.9840153609188427</v>
      </c>
      <c r="J1511" s="198">
        <f t="shared" si="191"/>
        <v>0</v>
      </c>
      <c r="K1511" s="198">
        <f t="shared" si="186"/>
        <v>0</v>
      </c>
      <c r="L1511" s="198">
        <f>COUNTIF(J1511:K1511,"&lt;&gt;0")*-'Trading Model'!$E$15</f>
        <v>0</v>
      </c>
      <c r="M1511" s="198">
        <f t="shared" si="184"/>
        <v>0</v>
      </c>
      <c r="N1511" s="75">
        <f t="shared" si="187"/>
        <v>45</v>
      </c>
      <c r="O1511" s="202">
        <f t="shared" si="188"/>
        <v>0</v>
      </c>
      <c r="P1511" s="199">
        <f t="shared" si="185"/>
        <v>0</v>
      </c>
      <c r="Q1511" s="203">
        <f t="shared" si="189"/>
        <v>25.900000000001505</v>
      </c>
      <c r="R1511" s="203" t="s">
        <v>55</v>
      </c>
      <c r="S1511" s="201">
        <f t="shared" si="190"/>
        <v>-2.2080423065771626E-2</v>
      </c>
    </row>
    <row r="1512" spans="1:19">
      <c r="A1512" s="196">
        <v>42163</v>
      </c>
      <c r="B1512" s="122">
        <v>19.860001</v>
      </c>
      <c r="C1512" s="122">
        <v>19.969999000000001</v>
      </c>
      <c r="D1512" s="122">
        <v>19.59</v>
      </c>
      <c r="E1512" s="122">
        <v>19.690000999999999</v>
      </c>
      <c r="F1512" s="122">
        <v>16.726734</v>
      </c>
      <c r="G1512" s="197">
        <v>35400</v>
      </c>
      <c r="H1512" s="198">
        <f>IF(AND(E1511&gt;=H1511,E1512&gt;=E1511),E1511*(1+'Trading Model'!$E$13),IF(AND(E1512&lt;E1511,E1511&gt;=H1511),E1512*(1+'Trading Model'!$E$13),H1511))</f>
        <v>27.698998950000004</v>
      </c>
      <c r="I1512" s="198">
        <f>IF(K1512&gt;0,E1512*(1-'Trading Model'!E1522),IF(E1512&lt;I1511,I1511*(1-'Trading Model'!$E$14),I1511))</f>
        <v>8.9840153609188427</v>
      </c>
      <c r="J1512" s="198">
        <f t="shared" si="191"/>
        <v>0</v>
      </c>
      <c r="K1512" s="198">
        <f t="shared" si="186"/>
        <v>0</v>
      </c>
      <c r="L1512" s="198">
        <f>COUNTIF(J1512:K1512,"&lt;&gt;0")*-'Trading Model'!$E$15</f>
        <v>0</v>
      </c>
      <c r="M1512" s="198">
        <f t="shared" si="184"/>
        <v>0</v>
      </c>
      <c r="N1512" s="75">
        <f t="shared" si="187"/>
        <v>45</v>
      </c>
      <c r="O1512" s="202">
        <f t="shared" si="188"/>
        <v>0</v>
      </c>
      <c r="P1512" s="199">
        <f t="shared" si="185"/>
        <v>0</v>
      </c>
      <c r="Q1512" s="203">
        <f t="shared" si="189"/>
        <v>25.800000000001504</v>
      </c>
      <c r="R1512" s="201">
        <f>E1512/B1508-1</f>
        <v>1.809725956566699E-2</v>
      </c>
      <c r="S1512" s="201">
        <f t="shared" si="190"/>
        <v>-1.2042097340692504E-2</v>
      </c>
    </row>
    <row r="1513" spans="1:19">
      <c r="A1513" s="196">
        <v>42164</v>
      </c>
      <c r="B1513" s="122">
        <v>19.620000999999998</v>
      </c>
      <c r="C1513" s="122">
        <v>20</v>
      </c>
      <c r="D1513" s="122">
        <v>19.399999999999999</v>
      </c>
      <c r="E1513" s="122">
        <v>19.75</v>
      </c>
      <c r="F1513" s="122">
        <v>16.777704</v>
      </c>
      <c r="G1513" s="197">
        <v>89400</v>
      </c>
      <c r="H1513" s="198">
        <f>IF(AND(E1512&gt;=H1512,E1513&gt;=E1512),E1512*(1+'Trading Model'!$E$13),IF(AND(E1513&lt;E1512,E1512&gt;=H1512),E1513*(1+'Trading Model'!$E$13),H1512))</f>
        <v>27.698998950000004</v>
      </c>
      <c r="I1513" s="198">
        <f>IF(K1513&gt;0,E1513*(1-'Trading Model'!E1523),IF(E1513&lt;I1512,I1512*(1-'Trading Model'!$E$14),I1512))</f>
        <v>8.9840153609188427</v>
      </c>
      <c r="J1513" s="198">
        <f t="shared" si="191"/>
        <v>0</v>
      </c>
      <c r="K1513" s="198">
        <f t="shared" si="186"/>
        <v>0</v>
      </c>
      <c r="L1513" s="198">
        <f>COUNTIF(J1513:K1513,"&lt;&gt;0")*-'Trading Model'!$E$15</f>
        <v>0</v>
      </c>
      <c r="M1513" s="198">
        <f t="shared" si="184"/>
        <v>0</v>
      </c>
      <c r="N1513" s="75">
        <f t="shared" si="187"/>
        <v>45</v>
      </c>
      <c r="O1513" s="202">
        <f t="shared" si="188"/>
        <v>0</v>
      </c>
      <c r="P1513" s="199">
        <f t="shared" si="185"/>
        <v>0</v>
      </c>
      <c r="Q1513" s="203">
        <f t="shared" si="189"/>
        <v>25.800000000001504</v>
      </c>
      <c r="R1513" s="160" t="s">
        <v>55</v>
      </c>
      <c r="S1513" s="201">
        <f t="shared" si="190"/>
        <v>3.0471811555521366E-3</v>
      </c>
    </row>
    <row r="1514" spans="1:19">
      <c r="A1514" s="196">
        <v>42165</v>
      </c>
      <c r="B1514" s="122">
        <v>19.940000999999999</v>
      </c>
      <c r="C1514" s="122">
        <v>20.329999999999998</v>
      </c>
      <c r="D1514" s="122">
        <v>19.59</v>
      </c>
      <c r="E1514" s="122">
        <v>19.670000000000002</v>
      </c>
      <c r="F1514" s="122">
        <v>16.709743</v>
      </c>
      <c r="G1514" s="197">
        <v>450000</v>
      </c>
      <c r="H1514" s="198">
        <f>IF(AND(E1513&gt;=H1513,E1514&gt;=E1513),E1513*(1+'Trading Model'!$E$13),IF(AND(E1514&lt;E1513,E1513&gt;=H1513),E1514*(1+'Trading Model'!$E$13),H1513))</f>
        <v>27.698998950000004</v>
      </c>
      <c r="I1514" s="198">
        <f>IF(K1514&gt;0,E1514*(1-'Trading Model'!E1524),IF(E1514&lt;I1513,I1513*(1-'Trading Model'!$E$14),I1513))</f>
        <v>8.9840153609188427</v>
      </c>
      <c r="J1514" s="198">
        <f t="shared" si="191"/>
        <v>0</v>
      </c>
      <c r="K1514" s="198">
        <f t="shared" si="186"/>
        <v>0</v>
      </c>
      <c r="L1514" s="198">
        <f>COUNTIF(J1514:K1514,"&lt;&gt;0")*-'Trading Model'!$E$15</f>
        <v>0</v>
      </c>
      <c r="M1514" s="198">
        <f t="shared" si="184"/>
        <v>0</v>
      </c>
      <c r="N1514" s="75">
        <f t="shared" si="187"/>
        <v>45</v>
      </c>
      <c r="O1514" s="202">
        <f t="shared" si="188"/>
        <v>0</v>
      </c>
      <c r="P1514" s="199">
        <f t="shared" si="185"/>
        <v>0</v>
      </c>
      <c r="Q1514" s="203">
        <f t="shared" si="189"/>
        <v>25.700000000001502</v>
      </c>
      <c r="R1514" s="203" t="s">
        <v>55</v>
      </c>
      <c r="S1514" s="201">
        <f t="shared" si="190"/>
        <v>-4.0506329113922934E-3</v>
      </c>
    </row>
    <row r="1515" spans="1:19">
      <c r="A1515" s="196">
        <v>42166</v>
      </c>
      <c r="B1515" s="122">
        <v>19.68</v>
      </c>
      <c r="C1515" s="122">
        <v>19.989999999999998</v>
      </c>
      <c r="D1515" s="122">
        <v>19.48</v>
      </c>
      <c r="E1515" s="122">
        <v>19.600000000000001</v>
      </c>
      <c r="F1515" s="122">
        <v>16.650282000000001</v>
      </c>
      <c r="G1515" s="197">
        <v>60000</v>
      </c>
      <c r="H1515" s="198">
        <f>IF(AND(E1514&gt;=H1514,E1515&gt;=E1514),E1514*(1+'Trading Model'!$E$13),IF(AND(E1515&lt;E1514,E1514&gt;=H1514),E1515*(1+'Trading Model'!$E$13),H1514))</f>
        <v>27.698998950000004</v>
      </c>
      <c r="I1515" s="198">
        <f>IF(K1515&gt;0,E1515*(1-'Trading Model'!E1525),IF(E1515&lt;I1514,I1514*(1-'Trading Model'!$E$14),I1514))</f>
        <v>8.9840153609188427</v>
      </c>
      <c r="J1515" s="198">
        <f t="shared" si="191"/>
        <v>0</v>
      </c>
      <c r="K1515" s="198">
        <f t="shared" si="186"/>
        <v>0</v>
      </c>
      <c r="L1515" s="198">
        <f>COUNTIF(J1515:K1515,"&lt;&gt;0")*-'Trading Model'!$E$15</f>
        <v>0</v>
      </c>
      <c r="M1515" s="198">
        <f t="shared" si="184"/>
        <v>0</v>
      </c>
      <c r="N1515" s="75">
        <f t="shared" si="187"/>
        <v>45</v>
      </c>
      <c r="O1515" s="202">
        <f t="shared" si="188"/>
        <v>0</v>
      </c>
      <c r="P1515" s="199">
        <f t="shared" si="185"/>
        <v>0</v>
      </c>
      <c r="Q1515" s="203">
        <f t="shared" si="189"/>
        <v>25.600000000001501</v>
      </c>
      <c r="R1515" s="203" t="s">
        <v>55</v>
      </c>
      <c r="S1515" s="201">
        <f t="shared" si="190"/>
        <v>-3.558718861209953E-3</v>
      </c>
    </row>
    <row r="1516" spans="1:19">
      <c r="A1516" s="196">
        <v>42167</v>
      </c>
      <c r="B1516" s="122">
        <v>19.52</v>
      </c>
      <c r="C1516" s="122">
        <v>19.540001</v>
      </c>
      <c r="D1516" s="122">
        <v>19.25</v>
      </c>
      <c r="E1516" s="122">
        <v>19.379999000000002</v>
      </c>
      <c r="F1516" s="122">
        <v>16.463387999999998</v>
      </c>
      <c r="G1516" s="197">
        <v>31500</v>
      </c>
      <c r="H1516" s="198">
        <f>IF(AND(E1515&gt;=H1515,E1516&gt;=E1515),E1515*(1+'Trading Model'!$E$13),IF(AND(E1516&lt;E1515,E1515&gt;=H1515),E1516*(1+'Trading Model'!$E$13),H1515))</f>
        <v>27.698998950000004</v>
      </c>
      <c r="I1516" s="198">
        <f>IF(K1516&gt;0,E1516*(1-'Trading Model'!E1526),IF(E1516&lt;I1515,I1515*(1-'Trading Model'!$E$14),I1515))</f>
        <v>8.9840153609188427</v>
      </c>
      <c r="J1516" s="198">
        <f t="shared" si="191"/>
        <v>0</v>
      </c>
      <c r="K1516" s="198">
        <f t="shared" si="186"/>
        <v>0</v>
      </c>
      <c r="L1516" s="198">
        <f>COUNTIF(J1516:K1516,"&lt;&gt;0")*-'Trading Model'!$E$15</f>
        <v>0</v>
      </c>
      <c r="M1516" s="198">
        <f t="shared" si="184"/>
        <v>0</v>
      </c>
      <c r="N1516" s="75">
        <f t="shared" si="187"/>
        <v>45</v>
      </c>
      <c r="O1516" s="202">
        <f t="shared" si="188"/>
        <v>0</v>
      </c>
      <c r="P1516" s="199">
        <f t="shared" si="185"/>
        <v>0</v>
      </c>
      <c r="Q1516" s="203">
        <f t="shared" si="189"/>
        <v>25.500000000001499</v>
      </c>
      <c r="R1516" s="203" t="s">
        <v>55</v>
      </c>
      <c r="S1516" s="201">
        <f t="shared" si="190"/>
        <v>-1.1224540816326511E-2</v>
      </c>
    </row>
    <row r="1517" spans="1:19">
      <c r="A1517" s="196">
        <v>42170</v>
      </c>
      <c r="B1517" s="122">
        <v>19.200001</v>
      </c>
      <c r="C1517" s="122">
        <v>19.200001</v>
      </c>
      <c r="D1517" s="122">
        <v>19.02</v>
      </c>
      <c r="E1517" s="122">
        <v>19.079999999999998</v>
      </c>
      <c r="F1517" s="122">
        <v>16.208538000000001</v>
      </c>
      <c r="G1517" s="197">
        <v>46600</v>
      </c>
      <c r="H1517" s="198">
        <f>IF(AND(E1516&gt;=H1516,E1517&gt;=E1516),E1516*(1+'Trading Model'!$E$13),IF(AND(E1517&lt;E1516,E1516&gt;=H1516),E1517*(1+'Trading Model'!$E$13),H1516))</f>
        <v>27.698998950000004</v>
      </c>
      <c r="I1517" s="198">
        <f>IF(K1517&gt;0,E1517*(1-'Trading Model'!E1527),IF(E1517&lt;I1516,I1516*(1-'Trading Model'!$E$14),I1516))</f>
        <v>8.9840153609188427</v>
      </c>
      <c r="J1517" s="198">
        <f t="shared" si="191"/>
        <v>0</v>
      </c>
      <c r="K1517" s="198">
        <f t="shared" si="186"/>
        <v>0</v>
      </c>
      <c r="L1517" s="198">
        <f>COUNTIF(J1517:K1517,"&lt;&gt;0")*-'Trading Model'!$E$15</f>
        <v>0</v>
      </c>
      <c r="M1517" s="198">
        <f t="shared" si="184"/>
        <v>0</v>
      </c>
      <c r="N1517" s="75">
        <f t="shared" si="187"/>
        <v>45</v>
      </c>
      <c r="O1517" s="202">
        <f t="shared" si="188"/>
        <v>0</v>
      </c>
      <c r="P1517" s="199">
        <f t="shared" si="185"/>
        <v>0</v>
      </c>
      <c r="Q1517" s="203">
        <f t="shared" si="189"/>
        <v>25.400000000001498</v>
      </c>
      <c r="R1517" s="201">
        <f>E1517/B1513-1</f>
        <v>-2.7522985345413642E-2</v>
      </c>
      <c r="S1517" s="201">
        <f t="shared" si="190"/>
        <v>-1.5479825360156241E-2</v>
      </c>
    </row>
    <row r="1518" spans="1:19">
      <c r="A1518" s="196">
        <v>42171</v>
      </c>
      <c r="B1518" s="122">
        <v>19.139999</v>
      </c>
      <c r="C1518" s="122">
        <v>19.200001</v>
      </c>
      <c r="D1518" s="122">
        <v>18.760000000000002</v>
      </c>
      <c r="E1518" s="122">
        <v>18.780000999999999</v>
      </c>
      <c r="F1518" s="122">
        <v>15.953687</v>
      </c>
      <c r="G1518" s="197">
        <v>35300</v>
      </c>
      <c r="H1518" s="198">
        <f>IF(AND(E1517&gt;=H1517,E1518&gt;=E1517),E1517*(1+'Trading Model'!$E$13),IF(AND(E1518&lt;E1517,E1517&gt;=H1517),E1518*(1+'Trading Model'!$E$13),H1517))</f>
        <v>27.698998950000004</v>
      </c>
      <c r="I1518" s="198">
        <f>IF(K1518&gt;0,E1518*(1-'Trading Model'!E1528),IF(E1518&lt;I1517,I1517*(1-'Trading Model'!$E$14),I1517))</f>
        <v>8.9840153609188427</v>
      </c>
      <c r="J1518" s="198">
        <f t="shared" si="191"/>
        <v>0</v>
      </c>
      <c r="K1518" s="198">
        <f t="shared" si="186"/>
        <v>0</v>
      </c>
      <c r="L1518" s="198">
        <f>COUNTIF(J1518:K1518,"&lt;&gt;0")*-'Trading Model'!$E$15</f>
        <v>0</v>
      </c>
      <c r="M1518" s="198">
        <f t="shared" si="184"/>
        <v>0</v>
      </c>
      <c r="N1518" s="75">
        <f t="shared" si="187"/>
        <v>45</v>
      </c>
      <c r="O1518" s="202">
        <f t="shared" si="188"/>
        <v>0</v>
      </c>
      <c r="P1518" s="199">
        <f t="shared" si="185"/>
        <v>0</v>
      </c>
      <c r="Q1518" s="203">
        <f t="shared" si="189"/>
        <v>25.300000000001496</v>
      </c>
      <c r="R1518" s="160" t="s">
        <v>55</v>
      </c>
      <c r="S1518" s="201">
        <f t="shared" si="190"/>
        <v>-1.5723218029350061E-2</v>
      </c>
    </row>
    <row r="1519" spans="1:19">
      <c r="A1519" s="196">
        <v>42172</v>
      </c>
      <c r="B1519" s="122">
        <v>18.870000999999998</v>
      </c>
      <c r="C1519" s="122">
        <v>18.950001</v>
      </c>
      <c r="D1519" s="122">
        <v>17.899999999999999</v>
      </c>
      <c r="E1519" s="122">
        <v>18.239999999999998</v>
      </c>
      <c r="F1519" s="122">
        <v>15.494954999999999</v>
      </c>
      <c r="G1519" s="197">
        <v>269900</v>
      </c>
      <c r="H1519" s="198">
        <f>IF(AND(E1518&gt;=H1518,E1519&gt;=E1518),E1518*(1+'Trading Model'!$E$13),IF(AND(E1519&lt;E1518,E1518&gt;=H1518),E1519*(1+'Trading Model'!$E$13),H1518))</f>
        <v>27.698998950000004</v>
      </c>
      <c r="I1519" s="198">
        <f>IF(K1519&gt;0,E1519*(1-'Trading Model'!E1529),IF(E1519&lt;I1518,I1518*(1-'Trading Model'!$E$14),I1518))</f>
        <v>8.9840153609188427</v>
      </c>
      <c r="J1519" s="198">
        <f t="shared" si="191"/>
        <v>0</v>
      </c>
      <c r="K1519" s="198">
        <f t="shared" si="186"/>
        <v>0</v>
      </c>
      <c r="L1519" s="198">
        <f>COUNTIF(J1519:K1519,"&lt;&gt;0")*-'Trading Model'!$E$15</f>
        <v>0</v>
      </c>
      <c r="M1519" s="198">
        <f t="shared" si="184"/>
        <v>0</v>
      </c>
      <c r="N1519" s="75">
        <f t="shared" si="187"/>
        <v>45</v>
      </c>
      <c r="O1519" s="202">
        <f t="shared" si="188"/>
        <v>0</v>
      </c>
      <c r="P1519" s="199">
        <f t="shared" si="185"/>
        <v>0</v>
      </c>
      <c r="Q1519" s="203">
        <f t="shared" si="189"/>
        <v>25.200000000001495</v>
      </c>
      <c r="R1519" s="203" t="s">
        <v>55</v>
      </c>
      <c r="S1519" s="201">
        <f t="shared" si="190"/>
        <v>-2.8754045327260669E-2</v>
      </c>
    </row>
    <row r="1520" spans="1:19">
      <c r="A1520" s="196">
        <v>42173</v>
      </c>
      <c r="B1520" s="122">
        <v>18.200001</v>
      </c>
      <c r="C1520" s="122">
        <v>18.370000999999998</v>
      </c>
      <c r="D1520" s="122">
        <v>18</v>
      </c>
      <c r="E1520" s="122">
        <v>18.079999999999998</v>
      </c>
      <c r="F1520" s="122">
        <v>15.359033999999999</v>
      </c>
      <c r="G1520" s="197">
        <v>231800</v>
      </c>
      <c r="H1520" s="198">
        <f>IF(AND(E1519&gt;=H1519,E1520&gt;=E1519),E1519*(1+'Trading Model'!$E$13),IF(AND(E1520&lt;E1519,E1519&gt;=H1519),E1520*(1+'Trading Model'!$E$13),H1519))</f>
        <v>27.698998950000004</v>
      </c>
      <c r="I1520" s="198">
        <f>IF(K1520&gt;0,E1520*(1-'Trading Model'!E1530),IF(E1520&lt;I1519,I1519*(1-'Trading Model'!$E$14),I1519))</f>
        <v>8.9840153609188427</v>
      </c>
      <c r="J1520" s="198">
        <f t="shared" si="191"/>
        <v>0</v>
      </c>
      <c r="K1520" s="198">
        <f t="shared" si="186"/>
        <v>0</v>
      </c>
      <c r="L1520" s="198">
        <f>COUNTIF(J1520:K1520,"&lt;&gt;0")*-'Trading Model'!$E$15</f>
        <v>0</v>
      </c>
      <c r="M1520" s="198">
        <f t="shared" si="184"/>
        <v>0</v>
      </c>
      <c r="N1520" s="75">
        <f t="shared" si="187"/>
        <v>45</v>
      </c>
      <c r="O1520" s="202">
        <f t="shared" si="188"/>
        <v>0</v>
      </c>
      <c r="P1520" s="199">
        <f t="shared" si="185"/>
        <v>0</v>
      </c>
      <c r="Q1520" s="203">
        <f t="shared" si="189"/>
        <v>25.100000000001494</v>
      </c>
      <c r="R1520" s="203" t="s">
        <v>55</v>
      </c>
      <c r="S1520" s="201">
        <f t="shared" si="190"/>
        <v>-8.7719298245614308E-3</v>
      </c>
    </row>
    <row r="1521" spans="1:19">
      <c r="A1521" s="196">
        <v>42174</v>
      </c>
      <c r="B1521" s="122">
        <v>17.989999999999998</v>
      </c>
      <c r="C1521" s="122">
        <v>18.129999000000002</v>
      </c>
      <c r="D1521" s="122">
        <v>17.899999999999999</v>
      </c>
      <c r="E1521" s="122">
        <v>18.040001</v>
      </c>
      <c r="F1521" s="122">
        <v>15.325054</v>
      </c>
      <c r="G1521" s="197">
        <v>144700</v>
      </c>
      <c r="H1521" s="198">
        <f>IF(AND(E1520&gt;=H1520,E1521&gt;=E1520),E1520*(1+'Trading Model'!$E$13),IF(AND(E1521&lt;E1520,E1520&gt;=H1520),E1521*(1+'Trading Model'!$E$13),H1520))</f>
        <v>27.698998950000004</v>
      </c>
      <c r="I1521" s="198">
        <f>IF(K1521&gt;0,E1521*(1-'Trading Model'!E1531),IF(E1521&lt;I1520,I1520*(1-'Trading Model'!$E$14),I1520))</f>
        <v>8.9840153609188427</v>
      </c>
      <c r="J1521" s="198">
        <f t="shared" si="191"/>
        <v>0</v>
      </c>
      <c r="K1521" s="198">
        <f t="shared" si="186"/>
        <v>0</v>
      </c>
      <c r="L1521" s="198">
        <f>COUNTIF(J1521:K1521,"&lt;&gt;0")*-'Trading Model'!$E$15</f>
        <v>0</v>
      </c>
      <c r="M1521" s="198">
        <f t="shared" si="184"/>
        <v>0</v>
      </c>
      <c r="N1521" s="75">
        <f t="shared" si="187"/>
        <v>45</v>
      </c>
      <c r="O1521" s="202">
        <f t="shared" si="188"/>
        <v>0</v>
      </c>
      <c r="P1521" s="199">
        <f t="shared" si="185"/>
        <v>0</v>
      </c>
      <c r="Q1521" s="203">
        <f t="shared" si="189"/>
        <v>25.000000000001492</v>
      </c>
      <c r="R1521" s="203" t="s">
        <v>55</v>
      </c>
      <c r="S1521" s="201">
        <f t="shared" si="190"/>
        <v>-2.2123340707963512E-3</v>
      </c>
    </row>
    <row r="1522" spans="1:19">
      <c r="A1522" s="196">
        <v>42177</v>
      </c>
      <c r="B1522" s="122">
        <v>18.170000000000002</v>
      </c>
      <c r="C1522" s="122">
        <v>18.850000000000001</v>
      </c>
      <c r="D1522" s="122">
        <v>18.170000000000002</v>
      </c>
      <c r="E1522" s="122">
        <v>18.73</v>
      </c>
      <c r="F1522" s="122">
        <v>15.911210000000001</v>
      </c>
      <c r="G1522" s="197">
        <v>138200</v>
      </c>
      <c r="H1522" s="198">
        <f>IF(AND(E1521&gt;=H1521,E1522&gt;=E1521),E1521*(1+'Trading Model'!$E$13),IF(AND(E1522&lt;E1521,E1521&gt;=H1521),E1522*(1+'Trading Model'!$E$13),H1521))</f>
        <v>27.698998950000004</v>
      </c>
      <c r="I1522" s="198">
        <f>IF(K1522&gt;0,E1522*(1-'Trading Model'!E1532),IF(E1522&lt;I1521,I1521*(1-'Trading Model'!$E$14),I1521))</f>
        <v>8.9840153609188427</v>
      </c>
      <c r="J1522" s="198">
        <f t="shared" si="191"/>
        <v>0</v>
      </c>
      <c r="K1522" s="198">
        <f t="shared" si="186"/>
        <v>0</v>
      </c>
      <c r="L1522" s="198">
        <f>COUNTIF(J1522:K1522,"&lt;&gt;0")*-'Trading Model'!$E$15</f>
        <v>0</v>
      </c>
      <c r="M1522" s="198">
        <f t="shared" si="184"/>
        <v>0</v>
      </c>
      <c r="N1522" s="75">
        <f t="shared" si="187"/>
        <v>45</v>
      </c>
      <c r="O1522" s="202">
        <f t="shared" si="188"/>
        <v>0</v>
      </c>
      <c r="P1522" s="199">
        <f t="shared" si="185"/>
        <v>0</v>
      </c>
      <c r="Q1522" s="203">
        <f t="shared" si="189"/>
        <v>25.000000000001492</v>
      </c>
      <c r="R1522" s="201">
        <f>E1522/B1518-1</f>
        <v>-2.1421056500577573E-2</v>
      </c>
      <c r="S1522" s="201">
        <f t="shared" si="190"/>
        <v>3.8248279476259528E-2</v>
      </c>
    </row>
    <row r="1523" spans="1:19">
      <c r="A1523" s="196">
        <v>42178</v>
      </c>
      <c r="B1523" s="122">
        <v>18.73</v>
      </c>
      <c r="C1523" s="122">
        <v>19.100000000000001</v>
      </c>
      <c r="D1523" s="122">
        <v>18.719999000000001</v>
      </c>
      <c r="E1523" s="122">
        <v>18.969999000000001</v>
      </c>
      <c r="F1523" s="122">
        <v>16.115093000000002</v>
      </c>
      <c r="G1523" s="197">
        <v>184300</v>
      </c>
      <c r="H1523" s="198">
        <f>IF(AND(E1522&gt;=H1522,E1523&gt;=E1522),E1522*(1+'Trading Model'!$E$13),IF(AND(E1523&lt;E1522,E1522&gt;=H1522),E1523*(1+'Trading Model'!$E$13),H1522))</f>
        <v>27.698998950000004</v>
      </c>
      <c r="I1523" s="198">
        <f>IF(K1523&gt;0,E1523*(1-'Trading Model'!E1533),IF(E1523&lt;I1522,I1522*(1-'Trading Model'!$E$14),I1522))</f>
        <v>8.9840153609188427</v>
      </c>
      <c r="J1523" s="198">
        <f t="shared" si="191"/>
        <v>0</v>
      </c>
      <c r="K1523" s="198">
        <f t="shared" si="186"/>
        <v>0</v>
      </c>
      <c r="L1523" s="198">
        <f>COUNTIF(J1523:K1523,"&lt;&gt;0")*-'Trading Model'!$E$15</f>
        <v>0</v>
      </c>
      <c r="M1523" s="198">
        <f t="shared" si="184"/>
        <v>0</v>
      </c>
      <c r="N1523" s="75">
        <f t="shared" si="187"/>
        <v>45</v>
      </c>
      <c r="O1523" s="202">
        <f t="shared" si="188"/>
        <v>0</v>
      </c>
      <c r="P1523" s="199">
        <f t="shared" si="185"/>
        <v>0</v>
      </c>
      <c r="Q1523" s="203">
        <f t="shared" si="189"/>
        <v>25.000000000001492</v>
      </c>
      <c r="R1523" s="160" t="s">
        <v>55</v>
      </c>
      <c r="S1523" s="201">
        <f t="shared" si="190"/>
        <v>1.2813614522157124E-2</v>
      </c>
    </row>
    <row r="1524" spans="1:19">
      <c r="A1524" s="196">
        <v>42179</v>
      </c>
      <c r="B1524" s="122">
        <v>18.989999999999998</v>
      </c>
      <c r="C1524" s="122">
        <v>19.18</v>
      </c>
      <c r="D1524" s="122">
        <v>18.75</v>
      </c>
      <c r="E1524" s="122">
        <v>18.850000000000001</v>
      </c>
      <c r="F1524" s="122">
        <v>16.013152999999999</v>
      </c>
      <c r="G1524" s="197">
        <v>74900</v>
      </c>
      <c r="H1524" s="198">
        <f>IF(AND(E1523&gt;=H1523,E1524&gt;=E1523),E1523*(1+'Trading Model'!$E$13),IF(AND(E1524&lt;E1523,E1523&gt;=H1523),E1524*(1+'Trading Model'!$E$13),H1523))</f>
        <v>27.698998950000004</v>
      </c>
      <c r="I1524" s="198">
        <f>IF(K1524&gt;0,E1524*(1-'Trading Model'!E1534),IF(E1524&lt;I1523,I1523*(1-'Trading Model'!$E$14),I1523))</f>
        <v>8.9840153609188427</v>
      </c>
      <c r="J1524" s="198">
        <f t="shared" si="191"/>
        <v>0</v>
      </c>
      <c r="K1524" s="198">
        <f t="shared" si="186"/>
        <v>0</v>
      </c>
      <c r="L1524" s="198">
        <f>COUNTIF(J1524:K1524,"&lt;&gt;0")*-'Trading Model'!$E$15</f>
        <v>0</v>
      </c>
      <c r="M1524" s="198">
        <f t="shared" si="184"/>
        <v>0</v>
      </c>
      <c r="N1524" s="75">
        <f t="shared" si="187"/>
        <v>45</v>
      </c>
      <c r="O1524" s="202">
        <f t="shared" si="188"/>
        <v>0</v>
      </c>
      <c r="P1524" s="199">
        <f t="shared" si="185"/>
        <v>0</v>
      </c>
      <c r="Q1524" s="203">
        <f t="shared" si="189"/>
        <v>24.900000000001491</v>
      </c>
      <c r="R1524" s="203" t="s">
        <v>55</v>
      </c>
      <c r="S1524" s="201">
        <f t="shared" si="190"/>
        <v>-6.3257251621362531E-3</v>
      </c>
    </row>
    <row r="1525" spans="1:19">
      <c r="A1525" s="196">
        <v>42180</v>
      </c>
      <c r="B1525" s="122">
        <v>18.91</v>
      </c>
      <c r="C1525" s="122">
        <v>19.010000000000002</v>
      </c>
      <c r="D1525" s="122">
        <v>18.049999</v>
      </c>
      <c r="E1525" s="122">
        <v>18.420000000000002</v>
      </c>
      <c r="F1525" s="122">
        <v>15.647864999999999</v>
      </c>
      <c r="G1525" s="197">
        <v>219900</v>
      </c>
      <c r="H1525" s="198">
        <f>IF(AND(E1524&gt;=H1524,E1525&gt;=E1524),E1524*(1+'Trading Model'!$E$13),IF(AND(E1525&lt;E1524,E1524&gt;=H1524),E1525*(1+'Trading Model'!$E$13),H1524))</f>
        <v>27.698998950000004</v>
      </c>
      <c r="I1525" s="198">
        <f>IF(K1525&gt;0,E1525*(1-'Trading Model'!E1535),IF(E1525&lt;I1524,I1524*(1-'Trading Model'!$E$14),I1524))</f>
        <v>8.9840153609188427</v>
      </c>
      <c r="J1525" s="198">
        <f t="shared" si="191"/>
        <v>0</v>
      </c>
      <c r="K1525" s="198">
        <f t="shared" si="186"/>
        <v>0</v>
      </c>
      <c r="L1525" s="198">
        <f>COUNTIF(J1525:K1525,"&lt;&gt;0")*-'Trading Model'!$E$15</f>
        <v>0</v>
      </c>
      <c r="M1525" s="198">
        <f t="shared" si="184"/>
        <v>0</v>
      </c>
      <c r="N1525" s="75">
        <f t="shared" si="187"/>
        <v>45</v>
      </c>
      <c r="O1525" s="202">
        <f t="shared" si="188"/>
        <v>0</v>
      </c>
      <c r="P1525" s="199">
        <f t="shared" si="185"/>
        <v>0</v>
      </c>
      <c r="Q1525" s="203">
        <f t="shared" si="189"/>
        <v>24.800000000001489</v>
      </c>
      <c r="R1525" s="203" t="s">
        <v>55</v>
      </c>
      <c r="S1525" s="201">
        <f t="shared" si="190"/>
        <v>-2.2811671087533125E-2</v>
      </c>
    </row>
    <row r="1526" spans="1:19">
      <c r="A1526" s="196">
        <v>42181</v>
      </c>
      <c r="B1526" s="122">
        <v>18.48</v>
      </c>
      <c r="C1526" s="122">
        <v>18.690000999999999</v>
      </c>
      <c r="D1526" s="122">
        <v>18.23</v>
      </c>
      <c r="E1526" s="122">
        <v>18.48</v>
      </c>
      <c r="F1526" s="122">
        <v>15.698833</v>
      </c>
      <c r="G1526" s="197">
        <v>209500</v>
      </c>
      <c r="H1526" s="198">
        <f>IF(AND(E1525&gt;=H1525,E1526&gt;=E1525),E1525*(1+'Trading Model'!$E$13),IF(AND(E1526&lt;E1525,E1525&gt;=H1525),E1526*(1+'Trading Model'!$E$13),H1525))</f>
        <v>27.698998950000004</v>
      </c>
      <c r="I1526" s="198">
        <f>IF(K1526&gt;0,E1526*(1-'Trading Model'!E1536),IF(E1526&lt;I1525,I1525*(1-'Trading Model'!$E$14),I1525))</f>
        <v>8.9840153609188427</v>
      </c>
      <c r="J1526" s="198">
        <f t="shared" si="191"/>
        <v>0</v>
      </c>
      <c r="K1526" s="198">
        <f t="shared" si="186"/>
        <v>0</v>
      </c>
      <c r="L1526" s="198">
        <f>COUNTIF(J1526:K1526,"&lt;&gt;0")*-'Trading Model'!$E$15</f>
        <v>0</v>
      </c>
      <c r="M1526" s="198">
        <f t="shared" si="184"/>
        <v>0</v>
      </c>
      <c r="N1526" s="75">
        <f t="shared" si="187"/>
        <v>45</v>
      </c>
      <c r="O1526" s="202">
        <f t="shared" si="188"/>
        <v>0</v>
      </c>
      <c r="P1526" s="199">
        <f t="shared" si="185"/>
        <v>0</v>
      </c>
      <c r="Q1526" s="203">
        <f t="shared" si="189"/>
        <v>24.800000000001489</v>
      </c>
      <c r="R1526" s="203" t="s">
        <v>55</v>
      </c>
      <c r="S1526" s="201">
        <f t="shared" si="190"/>
        <v>3.2573289902280145E-3</v>
      </c>
    </row>
    <row r="1527" spans="1:19">
      <c r="A1527" s="196">
        <v>42184</v>
      </c>
      <c r="B1527" s="122">
        <v>18.219999000000001</v>
      </c>
      <c r="C1527" s="122">
        <v>18.459999</v>
      </c>
      <c r="D1527" s="122">
        <v>17.84</v>
      </c>
      <c r="E1527" s="122">
        <v>17.950001</v>
      </c>
      <c r="F1527" s="122">
        <v>15.248601000000001</v>
      </c>
      <c r="G1527" s="197">
        <v>186000</v>
      </c>
      <c r="H1527" s="198">
        <f>IF(AND(E1526&gt;=H1526,E1527&gt;=E1526),E1526*(1+'Trading Model'!$E$13),IF(AND(E1527&lt;E1526,E1526&gt;=H1526),E1527*(1+'Trading Model'!$E$13),H1526))</f>
        <v>27.698998950000004</v>
      </c>
      <c r="I1527" s="198">
        <f>IF(K1527&gt;0,E1527*(1-'Trading Model'!E1537),IF(E1527&lt;I1526,I1526*(1-'Trading Model'!$E$14),I1526))</f>
        <v>8.9840153609188427</v>
      </c>
      <c r="J1527" s="198">
        <f t="shared" si="191"/>
        <v>0</v>
      </c>
      <c r="K1527" s="198">
        <f t="shared" si="186"/>
        <v>0</v>
      </c>
      <c r="L1527" s="198">
        <f>COUNTIF(J1527:K1527,"&lt;&gt;0")*-'Trading Model'!$E$15</f>
        <v>0</v>
      </c>
      <c r="M1527" s="198">
        <f t="shared" si="184"/>
        <v>0</v>
      </c>
      <c r="N1527" s="75">
        <f t="shared" si="187"/>
        <v>45</v>
      </c>
      <c r="O1527" s="202">
        <f t="shared" si="188"/>
        <v>0</v>
      </c>
      <c r="P1527" s="199">
        <f t="shared" si="185"/>
        <v>0</v>
      </c>
      <c r="Q1527" s="203">
        <f t="shared" si="189"/>
        <v>24.700000000001488</v>
      </c>
      <c r="R1527" s="201">
        <f>E1527/B1523-1</f>
        <v>-4.1644367325146869E-2</v>
      </c>
      <c r="S1527" s="201">
        <f t="shared" si="190"/>
        <v>-2.8679599567099534E-2</v>
      </c>
    </row>
    <row r="1528" spans="1:19">
      <c r="A1528" s="196">
        <v>42185</v>
      </c>
      <c r="B1528" s="122">
        <v>18.049999</v>
      </c>
      <c r="C1528" s="122">
        <v>18.68</v>
      </c>
      <c r="D1528" s="122">
        <v>17.899999999999999</v>
      </c>
      <c r="E1528" s="122">
        <v>17.989999999999998</v>
      </c>
      <c r="F1528" s="122">
        <v>15.282578000000001</v>
      </c>
      <c r="G1528" s="197">
        <v>181600</v>
      </c>
      <c r="H1528" s="198">
        <f>IF(AND(E1527&gt;=H1527,E1528&gt;=E1527),E1527*(1+'Trading Model'!$E$13),IF(AND(E1528&lt;E1527,E1527&gt;=H1527),E1528*(1+'Trading Model'!$E$13),H1527))</f>
        <v>27.698998950000004</v>
      </c>
      <c r="I1528" s="198">
        <f>IF(K1528&gt;0,E1528*(1-'Trading Model'!E1538),IF(E1528&lt;I1527,I1527*(1-'Trading Model'!$E$14),I1527))</f>
        <v>8.9840153609188427</v>
      </c>
      <c r="J1528" s="198">
        <f t="shared" si="191"/>
        <v>0</v>
      </c>
      <c r="K1528" s="198">
        <f t="shared" si="186"/>
        <v>0</v>
      </c>
      <c r="L1528" s="198">
        <f>COUNTIF(J1528:K1528,"&lt;&gt;0")*-'Trading Model'!$E$15</f>
        <v>0</v>
      </c>
      <c r="M1528" s="198">
        <f t="shared" si="184"/>
        <v>0</v>
      </c>
      <c r="N1528" s="75">
        <f t="shared" si="187"/>
        <v>45</v>
      </c>
      <c r="O1528" s="202">
        <f t="shared" si="188"/>
        <v>0</v>
      </c>
      <c r="P1528" s="199">
        <f t="shared" si="185"/>
        <v>0</v>
      </c>
      <c r="Q1528" s="203">
        <f t="shared" si="189"/>
        <v>24.700000000001488</v>
      </c>
      <c r="R1528" s="160" t="s">
        <v>55</v>
      </c>
      <c r="S1528" s="201">
        <f t="shared" si="190"/>
        <v>2.2283564218184004E-3</v>
      </c>
    </row>
    <row r="1529" spans="1:19">
      <c r="A1529" s="196">
        <v>42186</v>
      </c>
      <c r="B1529" s="122">
        <v>18.16</v>
      </c>
      <c r="C1529" s="122">
        <v>18.5</v>
      </c>
      <c r="D1529" s="122">
        <v>17.84</v>
      </c>
      <c r="E1529" s="122">
        <v>18.139999</v>
      </c>
      <c r="F1529" s="122">
        <v>15.410005</v>
      </c>
      <c r="G1529" s="197">
        <v>231600</v>
      </c>
      <c r="H1529" s="198">
        <f>IF(AND(E1528&gt;=H1528,E1529&gt;=E1528),E1528*(1+'Trading Model'!$E$13),IF(AND(E1529&lt;E1528,E1528&gt;=H1528),E1529*(1+'Trading Model'!$E$13),H1528))</f>
        <v>27.698998950000004</v>
      </c>
      <c r="I1529" s="198">
        <f>IF(K1529&gt;0,E1529*(1-'Trading Model'!E1539),IF(E1529&lt;I1528,I1528*(1-'Trading Model'!$E$14),I1528))</f>
        <v>8.9840153609188427</v>
      </c>
      <c r="J1529" s="198">
        <f t="shared" si="191"/>
        <v>0</v>
      </c>
      <c r="K1529" s="198">
        <f t="shared" si="186"/>
        <v>0</v>
      </c>
      <c r="L1529" s="198">
        <f>COUNTIF(J1529:K1529,"&lt;&gt;0")*-'Trading Model'!$E$15</f>
        <v>0</v>
      </c>
      <c r="M1529" s="198">
        <f t="shared" si="184"/>
        <v>0</v>
      </c>
      <c r="N1529" s="75">
        <f t="shared" si="187"/>
        <v>45</v>
      </c>
      <c r="O1529" s="202">
        <f t="shared" si="188"/>
        <v>0</v>
      </c>
      <c r="P1529" s="199">
        <f t="shared" si="185"/>
        <v>0</v>
      </c>
      <c r="Q1529" s="203">
        <f t="shared" si="189"/>
        <v>24.700000000001488</v>
      </c>
      <c r="R1529" s="203" t="s">
        <v>55</v>
      </c>
      <c r="S1529" s="201">
        <f t="shared" si="190"/>
        <v>8.3379099499722997E-3</v>
      </c>
    </row>
    <row r="1530" spans="1:19">
      <c r="A1530" s="196">
        <v>42187</v>
      </c>
      <c r="B1530" s="122">
        <v>18.18</v>
      </c>
      <c r="C1530" s="122">
        <v>18.360001</v>
      </c>
      <c r="D1530" s="122">
        <v>17.739999999999998</v>
      </c>
      <c r="E1530" s="122">
        <v>17.790001</v>
      </c>
      <c r="F1530" s="122">
        <v>15.112679</v>
      </c>
      <c r="G1530" s="197">
        <v>208000</v>
      </c>
      <c r="H1530" s="198">
        <f>IF(AND(E1529&gt;=H1529,E1530&gt;=E1529),E1529*(1+'Trading Model'!$E$13),IF(AND(E1530&lt;E1529,E1529&gt;=H1529),E1530*(1+'Trading Model'!$E$13),H1529))</f>
        <v>27.698998950000004</v>
      </c>
      <c r="I1530" s="198">
        <f>IF(K1530&gt;0,E1530*(1-'Trading Model'!E1540),IF(E1530&lt;I1529,I1529*(1-'Trading Model'!$E$14),I1529))</f>
        <v>8.9840153609188427</v>
      </c>
      <c r="J1530" s="198">
        <f t="shared" si="191"/>
        <v>0</v>
      </c>
      <c r="K1530" s="198">
        <f t="shared" si="186"/>
        <v>0</v>
      </c>
      <c r="L1530" s="198">
        <f>COUNTIF(J1530:K1530,"&lt;&gt;0")*-'Trading Model'!$E$15</f>
        <v>0</v>
      </c>
      <c r="M1530" s="198">
        <f t="shared" si="184"/>
        <v>0</v>
      </c>
      <c r="N1530" s="75">
        <f t="shared" si="187"/>
        <v>45</v>
      </c>
      <c r="O1530" s="202">
        <f t="shared" si="188"/>
        <v>0</v>
      </c>
      <c r="P1530" s="199">
        <f t="shared" si="185"/>
        <v>0</v>
      </c>
      <c r="Q1530" s="203">
        <f t="shared" si="189"/>
        <v>24.600000000001486</v>
      </c>
      <c r="R1530" s="203" t="s">
        <v>55</v>
      </c>
      <c r="S1530" s="201">
        <f t="shared" si="190"/>
        <v>-1.9294267877302484E-2</v>
      </c>
    </row>
    <row r="1531" spans="1:19">
      <c r="A1531" s="196">
        <v>42191</v>
      </c>
      <c r="B1531" s="122">
        <v>17.739999999999998</v>
      </c>
      <c r="C1531" s="122">
        <v>18.040001</v>
      </c>
      <c r="D1531" s="122">
        <v>17.5</v>
      </c>
      <c r="E1531" s="122">
        <v>17.639999</v>
      </c>
      <c r="F1531" s="122">
        <v>14.985250000000001</v>
      </c>
      <c r="G1531" s="197">
        <v>143900</v>
      </c>
      <c r="H1531" s="198">
        <f>IF(AND(E1530&gt;=H1530,E1531&gt;=E1530),E1530*(1+'Trading Model'!$E$13),IF(AND(E1531&lt;E1530,E1530&gt;=H1530),E1531*(1+'Trading Model'!$E$13),H1530))</f>
        <v>27.698998950000004</v>
      </c>
      <c r="I1531" s="198">
        <f>IF(K1531&gt;0,E1531*(1-'Trading Model'!E1541),IF(E1531&lt;I1530,I1530*(1-'Trading Model'!$E$14),I1530))</f>
        <v>8.9840153609188427</v>
      </c>
      <c r="J1531" s="198">
        <f t="shared" si="191"/>
        <v>0</v>
      </c>
      <c r="K1531" s="198">
        <f t="shared" si="186"/>
        <v>0</v>
      </c>
      <c r="L1531" s="198">
        <f>COUNTIF(J1531:K1531,"&lt;&gt;0")*-'Trading Model'!$E$15</f>
        <v>0</v>
      </c>
      <c r="M1531" s="198">
        <f t="shared" si="184"/>
        <v>0</v>
      </c>
      <c r="N1531" s="75">
        <f t="shared" si="187"/>
        <v>45</v>
      </c>
      <c r="O1531" s="202">
        <f t="shared" si="188"/>
        <v>0</v>
      </c>
      <c r="P1531" s="199">
        <f t="shared" si="185"/>
        <v>0</v>
      </c>
      <c r="Q1531" s="203">
        <f t="shared" si="189"/>
        <v>24.500000000001485</v>
      </c>
      <c r="R1531" s="203" t="s">
        <v>55</v>
      </c>
      <c r="S1531" s="201">
        <f t="shared" si="190"/>
        <v>-8.4318151527928986E-3</v>
      </c>
    </row>
    <row r="1532" spans="1:19">
      <c r="A1532" s="196">
        <v>42192</v>
      </c>
      <c r="B1532" s="122">
        <v>17.57</v>
      </c>
      <c r="C1532" s="122">
        <v>18.040001</v>
      </c>
      <c r="D1532" s="122">
        <v>17.34</v>
      </c>
      <c r="E1532" s="122">
        <v>17.889999</v>
      </c>
      <c r="F1532" s="122">
        <v>15.197628</v>
      </c>
      <c r="G1532" s="197">
        <v>193200</v>
      </c>
      <c r="H1532" s="198">
        <f>IF(AND(E1531&gt;=H1531,E1532&gt;=E1531),E1531*(1+'Trading Model'!$E$13),IF(AND(E1532&lt;E1531,E1531&gt;=H1531),E1532*(1+'Trading Model'!$E$13),H1531))</f>
        <v>27.698998950000004</v>
      </c>
      <c r="I1532" s="198">
        <f>IF(K1532&gt;0,E1532*(1-'Trading Model'!E1542),IF(E1532&lt;I1531,I1531*(1-'Trading Model'!$E$14),I1531))</f>
        <v>8.9840153609188427</v>
      </c>
      <c r="J1532" s="198">
        <f t="shared" si="191"/>
        <v>0</v>
      </c>
      <c r="K1532" s="198">
        <f t="shared" si="186"/>
        <v>0</v>
      </c>
      <c r="L1532" s="198">
        <f>COUNTIF(J1532:K1532,"&lt;&gt;0")*-'Trading Model'!$E$15</f>
        <v>0</v>
      </c>
      <c r="M1532" s="198">
        <f t="shared" si="184"/>
        <v>0</v>
      </c>
      <c r="N1532" s="75">
        <f t="shared" si="187"/>
        <v>45</v>
      </c>
      <c r="O1532" s="202">
        <f t="shared" si="188"/>
        <v>0</v>
      </c>
      <c r="P1532" s="199">
        <f t="shared" si="185"/>
        <v>0</v>
      </c>
      <c r="Q1532" s="203">
        <f t="shared" si="189"/>
        <v>24.500000000001485</v>
      </c>
      <c r="R1532" s="201">
        <f>E1532/B1528-1</f>
        <v>-8.864266419072897E-3</v>
      </c>
      <c r="S1532" s="201">
        <f t="shared" si="190"/>
        <v>1.4172336404327357E-2</v>
      </c>
    </row>
    <row r="1533" spans="1:19">
      <c r="A1533" s="196">
        <v>42193</v>
      </c>
      <c r="B1533" s="122">
        <v>17.68</v>
      </c>
      <c r="C1533" s="122">
        <v>17.920000000000002</v>
      </c>
      <c r="D1533" s="122">
        <v>16.860001</v>
      </c>
      <c r="E1533" s="122">
        <v>17.079999999999998</v>
      </c>
      <c r="F1533" s="122">
        <v>14.50953</v>
      </c>
      <c r="G1533" s="197">
        <v>259000</v>
      </c>
      <c r="H1533" s="198">
        <f>IF(AND(E1532&gt;=H1532,E1533&gt;=E1532),E1532*(1+'Trading Model'!$E$13),IF(AND(E1533&lt;E1532,E1532&gt;=H1532),E1533*(1+'Trading Model'!$E$13),H1532))</f>
        <v>27.698998950000004</v>
      </c>
      <c r="I1533" s="198">
        <f>IF(K1533&gt;0,E1533*(1-'Trading Model'!E1543),IF(E1533&lt;I1532,I1532*(1-'Trading Model'!$E$14),I1532))</f>
        <v>8.9840153609188427</v>
      </c>
      <c r="J1533" s="198">
        <f t="shared" si="191"/>
        <v>0</v>
      </c>
      <c r="K1533" s="198">
        <f t="shared" si="186"/>
        <v>0</v>
      </c>
      <c r="L1533" s="198">
        <f>COUNTIF(J1533:K1533,"&lt;&gt;0")*-'Trading Model'!$E$15</f>
        <v>0</v>
      </c>
      <c r="M1533" s="198">
        <f t="shared" si="184"/>
        <v>0</v>
      </c>
      <c r="N1533" s="75">
        <f t="shared" si="187"/>
        <v>45</v>
      </c>
      <c r="O1533" s="202">
        <f t="shared" si="188"/>
        <v>0</v>
      </c>
      <c r="P1533" s="199">
        <f t="shared" si="185"/>
        <v>0</v>
      </c>
      <c r="Q1533" s="203">
        <f t="shared" si="189"/>
        <v>24.400000000001484</v>
      </c>
      <c r="R1533" s="160" t="s">
        <v>55</v>
      </c>
      <c r="S1533" s="201">
        <f t="shared" si="190"/>
        <v>-4.527663752245048E-2</v>
      </c>
    </row>
    <row r="1534" spans="1:19">
      <c r="A1534" s="196">
        <v>42194</v>
      </c>
      <c r="B1534" s="122">
        <v>17.27</v>
      </c>
      <c r="C1534" s="122">
        <v>17.450001</v>
      </c>
      <c r="D1534" s="122">
        <v>16.850000000000001</v>
      </c>
      <c r="E1534" s="122">
        <v>16.889999</v>
      </c>
      <c r="F1534" s="122">
        <v>14.348122999999999</v>
      </c>
      <c r="G1534" s="197">
        <v>213800</v>
      </c>
      <c r="H1534" s="198">
        <f>IF(AND(E1533&gt;=H1533,E1534&gt;=E1533),E1533*(1+'Trading Model'!$E$13),IF(AND(E1534&lt;E1533,E1533&gt;=H1533),E1534*(1+'Trading Model'!$E$13),H1533))</f>
        <v>27.698998950000004</v>
      </c>
      <c r="I1534" s="198">
        <f>IF(K1534&gt;0,E1534*(1-'Trading Model'!E1544),IF(E1534&lt;I1533,I1533*(1-'Trading Model'!$E$14),I1533))</f>
        <v>8.9840153609188427</v>
      </c>
      <c r="J1534" s="198">
        <f t="shared" si="191"/>
        <v>0</v>
      </c>
      <c r="K1534" s="198">
        <f t="shared" si="186"/>
        <v>0</v>
      </c>
      <c r="L1534" s="198">
        <f>COUNTIF(J1534:K1534,"&lt;&gt;0")*-'Trading Model'!$E$15</f>
        <v>0</v>
      </c>
      <c r="M1534" s="198">
        <f t="shared" si="184"/>
        <v>0</v>
      </c>
      <c r="N1534" s="75">
        <f t="shared" si="187"/>
        <v>45</v>
      </c>
      <c r="O1534" s="202">
        <f t="shared" si="188"/>
        <v>0</v>
      </c>
      <c r="P1534" s="199">
        <f t="shared" si="185"/>
        <v>0</v>
      </c>
      <c r="Q1534" s="203">
        <f t="shared" si="189"/>
        <v>24.300000000001482</v>
      </c>
      <c r="R1534" s="203" t="s">
        <v>55</v>
      </c>
      <c r="S1534" s="201">
        <f t="shared" si="190"/>
        <v>-1.1124180327868771E-2</v>
      </c>
    </row>
    <row r="1535" spans="1:19">
      <c r="A1535" s="196">
        <v>42195</v>
      </c>
      <c r="B1535" s="122">
        <v>17.129999000000002</v>
      </c>
      <c r="C1535" s="122">
        <v>18.440000999999999</v>
      </c>
      <c r="D1535" s="122">
        <v>17.059999000000001</v>
      </c>
      <c r="E1535" s="122">
        <v>18.27</v>
      </c>
      <c r="F1535" s="122">
        <v>15.520439</v>
      </c>
      <c r="G1535" s="197">
        <v>226100</v>
      </c>
      <c r="H1535" s="198">
        <f>IF(AND(E1534&gt;=H1534,E1535&gt;=E1534),E1534*(1+'Trading Model'!$E$13),IF(AND(E1535&lt;E1534,E1534&gt;=H1534),E1535*(1+'Trading Model'!$E$13),H1534))</f>
        <v>27.698998950000004</v>
      </c>
      <c r="I1535" s="198">
        <f>IF(K1535&gt;0,E1535*(1-'Trading Model'!E1545),IF(E1535&lt;I1534,I1534*(1-'Trading Model'!$E$14),I1534))</f>
        <v>8.9840153609188427</v>
      </c>
      <c r="J1535" s="198">
        <f t="shared" si="191"/>
        <v>0</v>
      </c>
      <c r="K1535" s="198">
        <f t="shared" si="186"/>
        <v>0</v>
      </c>
      <c r="L1535" s="198">
        <f>COUNTIF(J1535:K1535,"&lt;&gt;0")*-'Trading Model'!$E$15</f>
        <v>0</v>
      </c>
      <c r="M1535" s="198">
        <f t="shared" si="184"/>
        <v>0</v>
      </c>
      <c r="N1535" s="75">
        <f t="shared" si="187"/>
        <v>45</v>
      </c>
      <c r="O1535" s="202">
        <f t="shared" si="188"/>
        <v>0</v>
      </c>
      <c r="P1535" s="199">
        <f t="shared" si="185"/>
        <v>0</v>
      </c>
      <c r="Q1535" s="203">
        <f t="shared" si="189"/>
        <v>24.300000000001482</v>
      </c>
      <c r="R1535" s="203" t="s">
        <v>55</v>
      </c>
      <c r="S1535" s="201">
        <f t="shared" si="190"/>
        <v>8.1705215021031119E-2</v>
      </c>
    </row>
    <row r="1536" spans="1:19">
      <c r="A1536" s="196">
        <v>42198</v>
      </c>
      <c r="B1536" s="122">
        <v>18.360001</v>
      </c>
      <c r="C1536" s="122">
        <v>18.549999</v>
      </c>
      <c r="D1536" s="122">
        <v>18.120000999999998</v>
      </c>
      <c r="E1536" s="122">
        <v>18.239999999999998</v>
      </c>
      <c r="F1536" s="122">
        <v>15.494954999999999</v>
      </c>
      <c r="G1536" s="197">
        <v>168500</v>
      </c>
      <c r="H1536" s="198">
        <f>IF(AND(E1535&gt;=H1535,E1536&gt;=E1535),E1535*(1+'Trading Model'!$E$13),IF(AND(E1536&lt;E1535,E1535&gt;=H1535),E1536*(1+'Trading Model'!$E$13),H1535))</f>
        <v>27.698998950000004</v>
      </c>
      <c r="I1536" s="198">
        <f>IF(K1536&gt;0,E1536*(1-'Trading Model'!E1546),IF(E1536&lt;I1535,I1535*(1-'Trading Model'!$E$14),I1535))</f>
        <v>8.9840153609188427</v>
      </c>
      <c r="J1536" s="198">
        <f t="shared" si="191"/>
        <v>0</v>
      </c>
      <c r="K1536" s="198">
        <f t="shared" si="186"/>
        <v>0</v>
      </c>
      <c r="L1536" s="198">
        <f>COUNTIF(J1536:K1536,"&lt;&gt;0")*-'Trading Model'!$E$15</f>
        <v>0</v>
      </c>
      <c r="M1536" s="198">
        <f t="shared" si="184"/>
        <v>0</v>
      </c>
      <c r="N1536" s="75">
        <f t="shared" si="187"/>
        <v>45</v>
      </c>
      <c r="O1536" s="202">
        <f t="shared" si="188"/>
        <v>0</v>
      </c>
      <c r="P1536" s="199">
        <f t="shared" si="185"/>
        <v>0</v>
      </c>
      <c r="Q1536" s="203">
        <f t="shared" si="189"/>
        <v>24.200000000001481</v>
      </c>
      <c r="R1536" s="203" t="s">
        <v>55</v>
      </c>
      <c r="S1536" s="201">
        <f t="shared" si="190"/>
        <v>-1.6420361247948545E-3</v>
      </c>
    </row>
    <row r="1537" spans="1:19">
      <c r="A1537" s="196">
        <v>42199</v>
      </c>
      <c r="B1537" s="122">
        <v>18.219999000000001</v>
      </c>
      <c r="C1537" s="122">
        <v>18.73</v>
      </c>
      <c r="D1537" s="122">
        <v>18.139999</v>
      </c>
      <c r="E1537" s="122">
        <v>18.68</v>
      </c>
      <c r="F1537" s="122">
        <v>15.868736999999999</v>
      </c>
      <c r="G1537" s="197">
        <v>219700</v>
      </c>
      <c r="H1537" s="198">
        <f>IF(AND(E1536&gt;=H1536,E1537&gt;=E1536),E1536*(1+'Trading Model'!$E$13),IF(AND(E1537&lt;E1536,E1536&gt;=H1536),E1537*(1+'Trading Model'!$E$13),H1536))</f>
        <v>27.698998950000004</v>
      </c>
      <c r="I1537" s="198">
        <f>IF(K1537&gt;0,E1537*(1-'Trading Model'!E1547),IF(E1537&lt;I1536,I1536*(1-'Trading Model'!$E$14),I1536))</f>
        <v>8.9840153609188427</v>
      </c>
      <c r="J1537" s="198">
        <f t="shared" si="191"/>
        <v>0</v>
      </c>
      <c r="K1537" s="198">
        <f t="shared" si="186"/>
        <v>0</v>
      </c>
      <c r="L1537" s="198">
        <f>COUNTIF(J1537:K1537,"&lt;&gt;0")*-'Trading Model'!$E$15</f>
        <v>0</v>
      </c>
      <c r="M1537" s="198">
        <f t="shared" si="184"/>
        <v>0</v>
      </c>
      <c r="N1537" s="75">
        <f t="shared" si="187"/>
        <v>45</v>
      </c>
      <c r="O1537" s="202">
        <f t="shared" si="188"/>
        <v>0</v>
      </c>
      <c r="P1537" s="199">
        <f t="shared" si="185"/>
        <v>0</v>
      </c>
      <c r="Q1537" s="203">
        <f t="shared" si="189"/>
        <v>24.200000000001481</v>
      </c>
      <c r="R1537" s="201">
        <f>E1537/B1533-1</f>
        <v>5.65610859728507E-2</v>
      </c>
      <c r="S1537" s="201">
        <f t="shared" si="190"/>
        <v>2.4122807017543879E-2</v>
      </c>
    </row>
    <row r="1538" spans="1:19">
      <c r="A1538" s="196">
        <v>42200</v>
      </c>
      <c r="B1538" s="122">
        <v>18.610001</v>
      </c>
      <c r="C1538" s="122">
        <v>18.790001</v>
      </c>
      <c r="D1538" s="122">
        <v>18.440000999999999</v>
      </c>
      <c r="E1538" s="122">
        <v>18.690000999999999</v>
      </c>
      <c r="F1538" s="122">
        <v>15.877231999999999</v>
      </c>
      <c r="G1538" s="197">
        <v>140100</v>
      </c>
      <c r="H1538" s="198">
        <f>IF(AND(E1537&gt;=H1537,E1538&gt;=E1537),E1537*(1+'Trading Model'!$E$13),IF(AND(E1538&lt;E1537,E1537&gt;=H1537),E1538*(1+'Trading Model'!$E$13),H1537))</f>
        <v>27.698998950000004</v>
      </c>
      <c r="I1538" s="198">
        <f>IF(K1538&gt;0,E1538*(1-'Trading Model'!E1548),IF(E1538&lt;I1537,I1537*(1-'Trading Model'!$E$14),I1537))</f>
        <v>8.9840153609188427</v>
      </c>
      <c r="J1538" s="198">
        <f t="shared" si="191"/>
        <v>0</v>
      </c>
      <c r="K1538" s="198">
        <f t="shared" si="186"/>
        <v>0</v>
      </c>
      <c r="L1538" s="198">
        <f>COUNTIF(J1538:K1538,"&lt;&gt;0")*-'Trading Model'!$E$15</f>
        <v>0</v>
      </c>
      <c r="M1538" s="198">
        <f t="shared" si="184"/>
        <v>0</v>
      </c>
      <c r="N1538" s="75">
        <f t="shared" si="187"/>
        <v>45</v>
      </c>
      <c r="O1538" s="202">
        <f t="shared" si="188"/>
        <v>0</v>
      </c>
      <c r="P1538" s="199">
        <f t="shared" si="185"/>
        <v>0</v>
      </c>
      <c r="Q1538" s="203">
        <f t="shared" si="189"/>
        <v>24.200000000001481</v>
      </c>
      <c r="R1538" s="160" t="s">
        <v>55</v>
      </c>
      <c r="S1538" s="201">
        <f t="shared" si="190"/>
        <v>5.3538543897202473E-4</v>
      </c>
    </row>
    <row r="1539" spans="1:19">
      <c r="A1539" s="196">
        <v>42201</v>
      </c>
      <c r="B1539" s="122">
        <v>18.790001</v>
      </c>
      <c r="C1539" s="122">
        <v>19.309999000000001</v>
      </c>
      <c r="D1539" s="122">
        <v>18.5</v>
      </c>
      <c r="E1539" s="122">
        <v>18.670000000000002</v>
      </c>
      <c r="F1539" s="122">
        <v>15.860239999999999</v>
      </c>
      <c r="G1539" s="197">
        <v>128400</v>
      </c>
      <c r="H1539" s="198">
        <f>IF(AND(E1538&gt;=H1538,E1539&gt;=E1538),E1538*(1+'Trading Model'!$E$13),IF(AND(E1539&lt;E1538,E1538&gt;=H1538),E1539*(1+'Trading Model'!$E$13),H1538))</f>
        <v>27.698998950000004</v>
      </c>
      <c r="I1539" s="198">
        <f>IF(K1539&gt;0,E1539*(1-'Trading Model'!E1549),IF(E1539&lt;I1538,I1538*(1-'Trading Model'!$E$14),I1538))</f>
        <v>8.9840153609188427</v>
      </c>
      <c r="J1539" s="198">
        <f t="shared" si="191"/>
        <v>0</v>
      </c>
      <c r="K1539" s="198">
        <f t="shared" si="186"/>
        <v>0</v>
      </c>
      <c r="L1539" s="198">
        <f>COUNTIF(J1539:K1539,"&lt;&gt;0")*-'Trading Model'!$E$15</f>
        <v>0</v>
      </c>
      <c r="M1539" s="198">
        <f t="shared" ref="M1539:M1602" si="192">SUM(J1539:L1539)</f>
        <v>0</v>
      </c>
      <c r="N1539" s="75">
        <f t="shared" si="187"/>
        <v>45</v>
      </c>
      <c r="O1539" s="202">
        <f t="shared" si="188"/>
        <v>0</v>
      </c>
      <c r="P1539" s="199">
        <f t="shared" ref="P1539:P1602" si="193">IFERROR(VLOOKUP(A1539,Dividends,2,FALSE),$U$1)</f>
        <v>0</v>
      </c>
      <c r="Q1539" s="203">
        <f t="shared" si="189"/>
        <v>24.100000000001479</v>
      </c>
      <c r="R1539" s="203" t="s">
        <v>55</v>
      </c>
      <c r="S1539" s="201">
        <f t="shared" si="190"/>
        <v>-1.0701444050215114E-3</v>
      </c>
    </row>
    <row r="1540" spans="1:19">
      <c r="A1540" s="196">
        <v>42202</v>
      </c>
      <c r="B1540" s="122">
        <v>18.600000000000001</v>
      </c>
      <c r="C1540" s="122">
        <v>18.870000999999998</v>
      </c>
      <c r="D1540" s="122">
        <v>17.93</v>
      </c>
      <c r="E1540" s="122">
        <v>18.23</v>
      </c>
      <c r="F1540" s="122">
        <v>15.486461</v>
      </c>
      <c r="G1540" s="197">
        <v>131000</v>
      </c>
      <c r="H1540" s="198">
        <f>IF(AND(E1539&gt;=H1539,E1540&gt;=E1539),E1539*(1+'Trading Model'!$E$13),IF(AND(E1540&lt;E1539,E1539&gt;=H1539),E1540*(1+'Trading Model'!$E$13),H1539))</f>
        <v>27.698998950000004</v>
      </c>
      <c r="I1540" s="198">
        <f>IF(K1540&gt;0,E1540*(1-'Trading Model'!E1550),IF(E1540&lt;I1539,I1539*(1-'Trading Model'!$E$14),I1539))</f>
        <v>8.9840153609188427</v>
      </c>
      <c r="J1540" s="198">
        <f t="shared" si="191"/>
        <v>0</v>
      </c>
      <c r="K1540" s="198">
        <f t="shared" ref="K1540:K1603" si="194">IF(E1540&gt;=H1540,E1540,0)</f>
        <v>0</v>
      </c>
      <c r="L1540" s="198">
        <f>COUNTIF(J1540:K1540,"&lt;&gt;0")*-'Trading Model'!$E$15</f>
        <v>0</v>
      </c>
      <c r="M1540" s="198">
        <f t="shared" si="192"/>
        <v>0</v>
      </c>
      <c r="N1540" s="75">
        <f t="shared" ref="N1540:N1603" si="195">IF(AND(J1540&lt;0,K1540&gt;0),N1539,(IF(J1540&lt;0,N1539+1,IF(K1540&gt;0,N1539+1,N1539))))</f>
        <v>45</v>
      </c>
      <c r="O1540" s="202">
        <f t="shared" ref="O1540:O1603" si="196">P1540</f>
        <v>0</v>
      </c>
      <c r="P1540" s="199">
        <f t="shared" si="193"/>
        <v>0</v>
      </c>
      <c r="Q1540" s="203">
        <f t="shared" ref="Q1540:Q1603" si="197">IF(E1540&lt;E1539,Q1539-0.1,Q1539)</f>
        <v>24.000000000001478</v>
      </c>
      <c r="R1540" s="203" t="s">
        <v>55</v>
      </c>
      <c r="S1540" s="201">
        <f t="shared" ref="S1540:S1603" si="198">E1540/E1539-1</f>
        <v>-2.3567220139260936E-2</v>
      </c>
    </row>
    <row r="1541" spans="1:19">
      <c r="A1541" s="196">
        <v>42205</v>
      </c>
      <c r="B1541" s="122">
        <v>18.07</v>
      </c>
      <c r="C1541" s="122">
        <v>18.239999999999998</v>
      </c>
      <c r="D1541" s="122">
        <v>17.399999999999999</v>
      </c>
      <c r="E1541" s="122">
        <v>17.5</v>
      </c>
      <c r="F1541" s="122">
        <v>14.866323</v>
      </c>
      <c r="G1541" s="197">
        <v>84500</v>
      </c>
      <c r="H1541" s="198">
        <f>IF(AND(E1540&gt;=H1540,E1541&gt;=E1540),E1540*(1+'Trading Model'!$E$13),IF(AND(E1541&lt;E1540,E1540&gt;=H1540),E1541*(1+'Trading Model'!$E$13),H1540))</f>
        <v>27.698998950000004</v>
      </c>
      <c r="I1541" s="198">
        <f>IF(K1541&gt;0,E1541*(1-'Trading Model'!E1551),IF(E1541&lt;I1540,I1540*(1-'Trading Model'!$E$14),I1540))</f>
        <v>8.9840153609188427</v>
      </c>
      <c r="J1541" s="198">
        <f t="shared" ref="J1541:J1604" si="199">IF(E1541&gt;=H1541,-E1541,IF(E1541&lt;=I1540,-E1541,0))</f>
        <v>0</v>
      </c>
      <c r="K1541" s="198">
        <f t="shared" si="194"/>
        <v>0</v>
      </c>
      <c r="L1541" s="198">
        <f>COUNTIF(J1541:K1541,"&lt;&gt;0")*-'Trading Model'!$E$15</f>
        <v>0</v>
      </c>
      <c r="M1541" s="198">
        <f t="shared" si="192"/>
        <v>0</v>
      </c>
      <c r="N1541" s="75">
        <f t="shared" si="195"/>
        <v>45</v>
      </c>
      <c r="O1541" s="202">
        <f t="shared" si="196"/>
        <v>0</v>
      </c>
      <c r="P1541" s="199">
        <f t="shared" si="193"/>
        <v>0</v>
      </c>
      <c r="Q1541" s="203">
        <f t="shared" si="197"/>
        <v>23.900000000001477</v>
      </c>
      <c r="R1541" s="203" t="s">
        <v>55</v>
      </c>
      <c r="S1541" s="201">
        <f t="shared" si="198"/>
        <v>-4.0043883708173356E-2</v>
      </c>
    </row>
    <row r="1542" spans="1:19">
      <c r="A1542" s="196">
        <v>42206</v>
      </c>
      <c r="B1542" s="122">
        <v>17.48</v>
      </c>
      <c r="C1542" s="122">
        <v>17.579999999999998</v>
      </c>
      <c r="D1542" s="122">
        <v>16.68</v>
      </c>
      <c r="E1542" s="122">
        <v>16.959999</v>
      </c>
      <c r="F1542" s="122">
        <v>14.407590000000001</v>
      </c>
      <c r="G1542" s="197">
        <v>161300</v>
      </c>
      <c r="H1542" s="198">
        <f>IF(AND(E1541&gt;=H1541,E1542&gt;=E1541),E1541*(1+'Trading Model'!$E$13),IF(AND(E1542&lt;E1541,E1541&gt;=H1541),E1542*(1+'Trading Model'!$E$13),H1541))</f>
        <v>27.698998950000004</v>
      </c>
      <c r="I1542" s="198">
        <f>IF(K1542&gt;0,E1542*(1-'Trading Model'!E1552),IF(E1542&lt;I1541,I1541*(1-'Trading Model'!$E$14),I1541))</f>
        <v>8.9840153609188427</v>
      </c>
      <c r="J1542" s="198">
        <f t="shared" si="199"/>
        <v>0</v>
      </c>
      <c r="K1542" s="198">
        <f t="shared" si="194"/>
        <v>0</v>
      </c>
      <c r="L1542" s="198">
        <f>COUNTIF(J1542:K1542,"&lt;&gt;0")*-'Trading Model'!$E$15</f>
        <v>0</v>
      </c>
      <c r="M1542" s="198">
        <f t="shared" si="192"/>
        <v>0</v>
      </c>
      <c r="N1542" s="75">
        <f t="shared" si="195"/>
        <v>45</v>
      </c>
      <c r="O1542" s="202">
        <f t="shared" si="196"/>
        <v>0</v>
      </c>
      <c r="P1542" s="199">
        <f t="shared" si="193"/>
        <v>0</v>
      </c>
      <c r="Q1542" s="203">
        <f t="shared" si="197"/>
        <v>23.800000000001475</v>
      </c>
      <c r="R1542" s="201">
        <f>E1542/B1538-1</f>
        <v>-8.8662112377103086E-2</v>
      </c>
      <c r="S1542" s="201">
        <f t="shared" si="198"/>
        <v>-3.0857200000000029E-2</v>
      </c>
    </row>
    <row r="1543" spans="1:19">
      <c r="A1543" s="196">
        <v>42207</v>
      </c>
      <c r="B1543" s="122">
        <v>16.760000000000002</v>
      </c>
      <c r="C1543" s="122">
        <v>17.41</v>
      </c>
      <c r="D1543" s="122">
        <v>16.760000000000002</v>
      </c>
      <c r="E1543" s="122">
        <v>17.010000000000002</v>
      </c>
      <c r="F1543" s="122">
        <v>14.450065</v>
      </c>
      <c r="G1543" s="197">
        <v>175100</v>
      </c>
      <c r="H1543" s="198">
        <f>IF(AND(E1542&gt;=H1542,E1543&gt;=E1542),E1542*(1+'Trading Model'!$E$13),IF(AND(E1543&lt;E1542,E1542&gt;=H1542),E1543*(1+'Trading Model'!$E$13),H1542))</f>
        <v>27.698998950000004</v>
      </c>
      <c r="I1543" s="198">
        <f>IF(K1543&gt;0,E1543*(1-'Trading Model'!E1553),IF(E1543&lt;I1542,I1542*(1-'Trading Model'!$E$14),I1542))</f>
        <v>8.9840153609188427</v>
      </c>
      <c r="J1543" s="198">
        <f t="shared" si="199"/>
        <v>0</v>
      </c>
      <c r="K1543" s="198">
        <f t="shared" si="194"/>
        <v>0</v>
      </c>
      <c r="L1543" s="198">
        <f>COUNTIF(J1543:K1543,"&lt;&gt;0")*-'Trading Model'!$E$15</f>
        <v>0</v>
      </c>
      <c r="M1543" s="198">
        <f t="shared" si="192"/>
        <v>0</v>
      </c>
      <c r="N1543" s="75">
        <f t="shared" si="195"/>
        <v>45</v>
      </c>
      <c r="O1543" s="202">
        <f t="shared" si="196"/>
        <v>0</v>
      </c>
      <c r="P1543" s="199">
        <f t="shared" si="193"/>
        <v>0</v>
      </c>
      <c r="Q1543" s="203">
        <f t="shared" si="197"/>
        <v>23.800000000001475</v>
      </c>
      <c r="R1543" s="160" t="s">
        <v>55</v>
      </c>
      <c r="S1543" s="201">
        <f t="shared" si="198"/>
        <v>2.948172343642419E-3</v>
      </c>
    </row>
    <row r="1544" spans="1:19">
      <c r="A1544" s="196">
        <v>42208</v>
      </c>
      <c r="B1544" s="122">
        <v>16.829999999999998</v>
      </c>
      <c r="C1544" s="122">
        <v>17.16</v>
      </c>
      <c r="D1544" s="122">
        <v>16.75</v>
      </c>
      <c r="E1544" s="122">
        <v>17.010000000000002</v>
      </c>
      <c r="F1544" s="122">
        <v>14.450065</v>
      </c>
      <c r="G1544" s="197">
        <v>69600</v>
      </c>
      <c r="H1544" s="198">
        <f>IF(AND(E1543&gt;=H1543,E1544&gt;=E1543),E1543*(1+'Trading Model'!$E$13),IF(AND(E1544&lt;E1543,E1543&gt;=H1543),E1544*(1+'Trading Model'!$E$13),H1543))</f>
        <v>27.698998950000004</v>
      </c>
      <c r="I1544" s="198">
        <f>IF(K1544&gt;0,E1544*(1-'Trading Model'!E1554),IF(E1544&lt;I1543,I1543*(1-'Trading Model'!$E$14),I1543))</f>
        <v>8.9840153609188427</v>
      </c>
      <c r="J1544" s="198">
        <f t="shared" si="199"/>
        <v>0</v>
      </c>
      <c r="K1544" s="198">
        <f t="shared" si="194"/>
        <v>0</v>
      </c>
      <c r="L1544" s="198">
        <f>COUNTIF(J1544:K1544,"&lt;&gt;0")*-'Trading Model'!$E$15</f>
        <v>0</v>
      </c>
      <c r="M1544" s="198">
        <f t="shared" si="192"/>
        <v>0</v>
      </c>
      <c r="N1544" s="75">
        <f t="shared" si="195"/>
        <v>45</v>
      </c>
      <c r="O1544" s="202">
        <f t="shared" si="196"/>
        <v>0</v>
      </c>
      <c r="P1544" s="199">
        <f t="shared" si="193"/>
        <v>0</v>
      </c>
      <c r="Q1544" s="203">
        <f t="shared" si="197"/>
        <v>23.800000000001475</v>
      </c>
      <c r="R1544" s="203" t="s">
        <v>55</v>
      </c>
      <c r="S1544" s="201">
        <f t="shared" si="198"/>
        <v>0</v>
      </c>
    </row>
    <row r="1545" spans="1:19">
      <c r="A1545" s="196">
        <v>42209</v>
      </c>
      <c r="B1545" s="122">
        <v>16.829999999999998</v>
      </c>
      <c r="C1545" s="122">
        <v>16.98</v>
      </c>
      <c r="D1545" s="122">
        <v>16.290001</v>
      </c>
      <c r="E1545" s="122">
        <v>16.41</v>
      </c>
      <c r="F1545" s="122">
        <v>13.940362</v>
      </c>
      <c r="G1545" s="197">
        <v>129300</v>
      </c>
      <c r="H1545" s="198">
        <f>IF(AND(E1544&gt;=H1544,E1545&gt;=E1544),E1544*(1+'Trading Model'!$E$13),IF(AND(E1545&lt;E1544,E1544&gt;=H1544),E1545*(1+'Trading Model'!$E$13),H1544))</f>
        <v>27.698998950000004</v>
      </c>
      <c r="I1545" s="198">
        <f>IF(K1545&gt;0,E1545*(1-'Trading Model'!E1555),IF(E1545&lt;I1544,I1544*(1-'Trading Model'!$E$14),I1544))</f>
        <v>8.9840153609188427</v>
      </c>
      <c r="J1545" s="198">
        <f t="shared" si="199"/>
        <v>0</v>
      </c>
      <c r="K1545" s="198">
        <f t="shared" si="194"/>
        <v>0</v>
      </c>
      <c r="L1545" s="198">
        <f>COUNTIF(J1545:K1545,"&lt;&gt;0")*-'Trading Model'!$E$15</f>
        <v>0</v>
      </c>
      <c r="M1545" s="198">
        <f t="shared" si="192"/>
        <v>0</v>
      </c>
      <c r="N1545" s="75">
        <f t="shared" si="195"/>
        <v>45</v>
      </c>
      <c r="O1545" s="202">
        <f t="shared" si="196"/>
        <v>0</v>
      </c>
      <c r="P1545" s="199">
        <f t="shared" si="193"/>
        <v>0</v>
      </c>
      <c r="Q1545" s="203">
        <f t="shared" si="197"/>
        <v>23.700000000001474</v>
      </c>
      <c r="R1545" s="203" t="s">
        <v>55</v>
      </c>
      <c r="S1545" s="201">
        <f t="shared" si="198"/>
        <v>-3.5273368606702049E-2</v>
      </c>
    </row>
    <row r="1546" spans="1:19">
      <c r="A1546" s="196">
        <v>42212</v>
      </c>
      <c r="B1546" s="122">
        <v>16.129999000000002</v>
      </c>
      <c r="C1546" s="122">
        <v>16.389999</v>
      </c>
      <c r="D1546" s="122">
        <v>15.93</v>
      </c>
      <c r="E1546" s="122">
        <v>16.190000999999999</v>
      </c>
      <c r="F1546" s="122">
        <v>13.75347</v>
      </c>
      <c r="G1546" s="197">
        <v>157400</v>
      </c>
      <c r="H1546" s="198">
        <f>IF(AND(E1545&gt;=H1545,E1546&gt;=E1545),E1545*(1+'Trading Model'!$E$13),IF(AND(E1546&lt;E1545,E1545&gt;=H1545),E1546*(1+'Trading Model'!$E$13),H1545))</f>
        <v>27.698998950000004</v>
      </c>
      <c r="I1546" s="198">
        <f>IF(K1546&gt;0,E1546*(1-'Trading Model'!E1556),IF(E1546&lt;I1545,I1545*(1-'Trading Model'!$E$14),I1545))</f>
        <v>8.9840153609188427</v>
      </c>
      <c r="J1546" s="198">
        <f t="shared" si="199"/>
        <v>0</v>
      </c>
      <c r="K1546" s="198">
        <f t="shared" si="194"/>
        <v>0</v>
      </c>
      <c r="L1546" s="198">
        <f>COUNTIF(J1546:K1546,"&lt;&gt;0")*-'Trading Model'!$E$15</f>
        <v>0</v>
      </c>
      <c r="M1546" s="198">
        <f t="shared" si="192"/>
        <v>0</v>
      </c>
      <c r="N1546" s="75">
        <f t="shared" si="195"/>
        <v>45</v>
      </c>
      <c r="O1546" s="202">
        <f t="shared" si="196"/>
        <v>0</v>
      </c>
      <c r="P1546" s="199">
        <f t="shared" si="193"/>
        <v>0</v>
      </c>
      <c r="Q1546" s="203">
        <f t="shared" si="197"/>
        <v>23.600000000001472</v>
      </c>
      <c r="R1546" s="203" t="s">
        <v>55</v>
      </c>
      <c r="S1546" s="201">
        <f t="shared" si="198"/>
        <v>-1.3406398537477271E-2</v>
      </c>
    </row>
    <row r="1547" spans="1:19">
      <c r="A1547" s="196">
        <v>42213</v>
      </c>
      <c r="B1547" s="122">
        <v>16.52</v>
      </c>
      <c r="C1547" s="122">
        <v>16.629999000000002</v>
      </c>
      <c r="D1547" s="122">
        <v>16.02</v>
      </c>
      <c r="E1547" s="122">
        <v>16.200001</v>
      </c>
      <c r="F1547" s="122">
        <v>13.761967</v>
      </c>
      <c r="G1547" s="197">
        <v>162900</v>
      </c>
      <c r="H1547" s="198">
        <f>IF(AND(E1546&gt;=H1546,E1547&gt;=E1546),E1546*(1+'Trading Model'!$E$13),IF(AND(E1547&lt;E1546,E1546&gt;=H1546),E1547*(1+'Trading Model'!$E$13),H1546))</f>
        <v>27.698998950000004</v>
      </c>
      <c r="I1547" s="198">
        <f>IF(K1547&gt;0,E1547*(1-'Trading Model'!E1557),IF(E1547&lt;I1546,I1546*(1-'Trading Model'!$E$14),I1546))</f>
        <v>8.9840153609188427</v>
      </c>
      <c r="J1547" s="198">
        <f t="shared" si="199"/>
        <v>0</v>
      </c>
      <c r="K1547" s="198">
        <f t="shared" si="194"/>
        <v>0</v>
      </c>
      <c r="L1547" s="198">
        <f>COUNTIF(J1547:K1547,"&lt;&gt;0")*-'Trading Model'!$E$15</f>
        <v>0</v>
      </c>
      <c r="M1547" s="198">
        <f t="shared" si="192"/>
        <v>0</v>
      </c>
      <c r="N1547" s="75">
        <f t="shared" si="195"/>
        <v>45</v>
      </c>
      <c r="O1547" s="202">
        <f t="shared" si="196"/>
        <v>0</v>
      </c>
      <c r="P1547" s="199">
        <f t="shared" si="193"/>
        <v>0</v>
      </c>
      <c r="Q1547" s="203">
        <f t="shared" si="197"/>
        <v>23.600000000001472</v>
      </c>
      <c r="R1547" s="201">
        <f>E1547/B1543-1</f>
        <v>-3.3412828162291186E-2</v>
      </c>
      <c r="S1547" s="201">
        <f t="shared" si="198"/>
        <v>6.1766518729688968E-4</v>
      </c>
    </row>
    <row r="1548" spans="1:19">
      <c r="A1548" s="196">
        <v>42214</v>
      </c>
      <c r="B1548" s="122">
        <v>16.200001</v>
      </c>
      <c r="C1548" s="122">
        <v>16.43</v>
      </c>
      <c r="D1548" s="122">
        <v>16.079999999999998</v>
      </c>
      <c r="E1548" s="122">
        <v>16.120000999999998</v>
      </c>
      <c r="F1548" s="122">
        <v>13.694006</v>
      </c>
      <c r="G1548" s="197">
        <v>77200</v>
      </c>
      <c r="H1548" s="198">
        <f>IF(AND(E1547&gt;=H1547,E1548&gt;=E1547),E1547*(1+'Trading Model'!$E$13),IF(AND(E1548&lt;E1547,E1547&gt;=H1547),E1548*(1+'Trading Model'!$E$13),H1547))</f>
        <v>27.698998950000004</v>
      </c>
      <c r="I1548" s="198">
        <f>IF(K1548&gt;0,E1548*(1-'Trading Model'!E1558),IF(E1548&lt;I1547,I1547*(1-'Trading Model'!$E$14),I1547))</f>
        <v>8.9840153609188427</v>
      </c>
      <c r="J1548" s="198">
        <f t="shared" si="199"/>
        <v>0</v>
      </c>
      <c r="K1548" s="198">
        <f t="shared" si="194"/>
        <v>0</v>
      </c>
      <c r="L1548" s="198">
        <f>COUNTIF(J1548:K1548,"&lt;&gt;0")*-'Trading Model'!$E$15</f>
        <v>0</v>
      </c>
      <c r="M1548" s="198">
        <f t="shared" si="192"/>
        <v>0</v>
      </c>
      <c r="N1548" s="75">
        <f t="shared" si="195"/>
        <v>45</v>
      </c>
      <c r="O1548" s="202">
        <f t="shared" si="196"/>
        <v>0</v>
      </c>
      <c r="P1548" s="199">
        <f t="shared" si="193"/>
        <v>0</v>
      </c>
      <c r="Q1548" s="203">
        <f t="shared" si="197"/>
        <v>23.500000000001471</v>
      </c>
      <c r="R1548" s="160" t="s">
        <v>55</v>
      </c>
      <c r="S1548" s="201">
        <f t="shared" si="198"/>
        <v>-4.9382713001068224E-3</v>
      </c>
    </row>
    <row r="1549" spans="1:19">
      <c r="A1549" s="196">
        <v>42215</v>
      </c>
      <c r="B1549" s="122">
        <v>16.16</v>
      </c>
      <c r="C1549" s="122">
        <v>16.209999</v>
      </c>
      <c r="D1549" s="122">
        <v>15.84</v>
      </c>
      <c r="E1549" s="122">
        <v>16.040001</v>
      </c>
      <c r="F1549" s="122">
        <v>13.626046000000001</v>
      </c>
      <c r="G1549" s="197">
        <v>77800</v>
      </c>
      <c r="H1549" s="198">
        <f>IF(AND(E1548&gt;=H1548,E1549&gt;=E1548),E1548*(1+'Trading Model'!$E$13),IF(AND(E1549&lt;E1548,E1548&gt;=H1548),E1549*(1+'Trading Model'!$E$13),H1548))</f>
        <v>27.698998950000004</v>
      </c>
      <c r="I1549" s="198">
        <f>IF(K1549&gt;0,E1549*(1-'Trading Model'!E1559),IF(E1549&lt;I1548,I1548*(1-'Trading Model'!$E$14),I1548))</f>
        <v>8.9840153609188427</v>
      </c>
      <c r="J1549" s="198">
        <f t="shared" si="199"/>
        <v>0</v>
      </c>
      <c r="K1549" s="198">
        <f t="shared" si="194"/>
        <v>0</v>
      </c>
      <c r="L1549" s="198">
        <f>COUNTIF(J1549:K1549,"&lt;&gt;0")*-'Trading Model'!$E$15</f>
        <v>0</v>
      </c>
      <c r="M1549" s="198">
        <f t="shared" si="192"/>
        <v>0</v>
      </c>
      <c r="N1549" s="75">
        <f t="shared" si="195"/>
        <v>45</v>
      </c>
      <c r="O1549" s="202">
        <f t="shared" si="196"/>
        <v>0</v>
      </c>
      <c r="P1549" s="199">
        <f t="shared" si="193"/>
        <v>0</v>
      </c>
      <c r="Q1549" s="203">
        <f t="shared" si="197"/>
        <v>23.400000000001469</v>
      </c>
      <c r="R1549" s="203" t="s">
        <v>55</v>
      </c>
      <c r="S1549" s="201">
        <f t="shared" si="198"/>
        <v>-4.9627788484627455E-3</v>
      </c>
    </row>
    <row r="1550" spans="1:19">
      <c r="A1550" s="196">
        <v>42216</v>
      </c>
      <c r="B1550" s="122">
        <v>16.129999000000002</v>
      </c>
      <c r="C1550" s="122">
        <v>16.170000000000002</v>
      </c>
      <c r="D1550" s="122">
        <v>15.9</v>
      </c>
      <c r="E1550" s="122">
        <v>16.010000000000002</v>
      </c>
      <c r="F1550" s="122">
        <v>13.60056</v>
      </c>
      <c r="G1550" s="197">
        <v>98900</v>
      </c>
      <c r="H1550" s="198">
        <f>IF(AND(E1549&gt;=H1549,E1550&gt;=E1549),E1549*(1+'Trading Model'!$E$13),IF(AND(E1550&lt;E1549,E1549&gt;=H1549),E1550*(1+'Trading Model'!$E$13),H1549))</f>
        <v>27.698998950000004</v>
      </c>
      <c r="I1550" s="198">
        <f>IF(K1550&gt;0,E1550*(1-'Trading Model'!E1560),IF(E1550&lt;I1549,I1549*(1-'Trading Model'!$E$14),I1549))</f>
        <v>8.9840153609188427</v>
      </c>
      <c r="J1550" s="198">
        <f t="shared" si="199"/>
        <v>0</v>
      </c>
      <c r="K1550" s="198">
        <f t="shared" si="194"/>
        <v>0</v>
      </c>
      <c r="L1550" s="198">
        <f>COUNTIF(J1550:K1550,"&lt;&gt;0")*-'Trading Model'!$E$15</f>
        <v>0</v>
      </c>
      <c r="M1550" s="198">
        <f t="shared" si="192"/>
        <v>0</v>
      </c>
      <c r="N1550" s="75">
        <f t="shared" si="195"/>
        <v>45</v>
      </c>
      <c r="O1550" s="202">
        <f t="shared" si="196"/>
        <v>0</v>
      </c>
      <c r="P1550" s="199">
        <f t="shared" si="193"/>
        <v>0</v>
      </c>
      <c r="Q1550" s="203">
        <f t="shared" si="197"/>
        <v>23.300000000001468</v>
      </c>
      <c r="R1550" s="203" t="s">
        <v>55</v>
      </c>
      <c r="S1550" s="201">
        <f t="shared" si="198"/>
        <v>-1.8703864170581674E-3</v>
      </c>
    </row>
    <row r="1551" spans="1:19">
      <c r="A1551" s="196">
        <v>42219</v>
      </c>
      <c r="B1551" s="122">
        <v>16</v>
      </c>
      <c r="C1551" s="122">
        <v>16.389999</v>
      </c>
      <c r="D1551" s="122">
        <v>15.9</v>
      </c>
      <c r="E1551" s="122">
        <v>16.239999999999998</v>
      </c>
      <c r="F1551" s="122">
        <v>13.795947</v>
      </c>
      <c r="G1551" s="197">
        <v>60500</v>
      </c>
      <c r="H1551" s="198">
        <f>IF(AND(E1550&gt;=H1550,E1551&gt;=E1550),E1550*(1+'Trading Model'!$E$13),IF(AND(E1551&lt;E1550,E1550&gt;=H1550),E1551*(1+'Trading Model'!$E$13),H1550))</f>
        <v>27.698998950000004</v>
      </c>
      <c r="I1551" s="198">
        <f>IF(K1551&gt;0,E1551*(1-'Trading Model'!E1561),IF(E1551&lt;I1550,I1550*(1-'Trading Model'!$E$14),I1550))</f>
        <v>8.9840153609188427</v>
      </c>
      <c r="J1551" s="198">
        <f t="shared" si="199"/>
        <v>0</v>
      </c>
      <c r="K1551" s="198">
        <f t="shared" si="194"/>
        <v>0</v>
      </c>
      <c r="L1551" s="198">
        <f>COUNTIF(J1551:K1551,"&lt;&gt;0")*-'Trading Model'!$E$15</f>
        <v>0</v>
      </c>
      <c r="M1551" s="198">
        <f t="shared" si="192"/>
        <v>0</v>
      </c>
      <c r="N1551" s="75">
        <f t="shared" si="195"/>
        <v>45</v>
      </c>
      <c r="O1551" s="202">
        <f t="shared" si="196"/>
        <v>0</v>
      </c>
      <c r="P1551" s="199">
        <f t="shared" si="193"/>
        <v>0</v>
      </c>
      <c r="Q1551" s="203">
        <f t="shared" si="197"/>
        <v>23.300000000001468</v>
      </c>
      <c r="R1551" s="203" t="s">
        <v>55</v>
      </c>
      <c r="S1551" s="201">
        <f t="shared" si="198"/>
        <v>1.4366021236726922E-2</v>
      </c>
    </row>
    <row r="1552" spans="1:19">
      <c r="A1552" s="196">
        <v>42220</v>
      </c>
      <c r="B1552" s="122">
        <v>16.18</v>
      </c>
      <c r="C1552" s="122">
        <v>16.360001</v>
      </c>
      <c r="D1552" s="122">
        <v>15.98</v>
      </c>
      <c r="E1552" s="122">
        <v>16.290001</v>
      </c>
      <c r="F1552" s="122">
        <v>13.838423000000001</v>
      </c>
      <c r="G1552" s="197">
        <v>167000</v>
      </c>
      <c r="H1552" s="198">
        <f>IF(AND(E1551&gt;=H1551,E1552&gt;=E1551),E1551*(1+'Trading Model'!$E$13),IF(AND(E1552&lt;E1551,E1551&gt;=H1551),E1552*(1+'Trading Model'!$E$13),H1551))</f>
        <v>27.698998950000004</v>
      </c>
      <c r="I1552" s="198">
        <f>IF(K1552&gt;0,E1552*(1-'Trading Model'!E1562),IF(E1552&lt;I1551,I1551*(1-'Trading Model'!$E$14),I1551))</f>
        <v>8.9840153609188427</v>
      </c>
      <c r="J1552" s="198">
        <f t="shared" si="199"/>
        <v>0</v>
      </c>
      <c r="K1552" s="198">
        <f t="shared" si="194"/>
        <v>0</v>
      </c>
      <c r="L1552" s="198">
        <f>COUNTIF(J1552:K1552,"&lt;&gt;0")*-'Trading Model'!$E$15</f>
        <v>0</v>
      </c>
      <c r="M1552" s="198">
        <f t="shared" si="192"/>
        <v>0</v>
      </c>
      <c r="N1552" s="75">
        <f t="shared" si="195"/>
        <v>45</v>
      </c>
      <c r="O1552" s="202">
        <f t="shared" si="196"/>
        <v>0</v>
      </c>
      <c r="P1552" s="199">
        <f t="shared" si="193"/>
        <v>0</v>
      </c>
      <c r="Q1552" s="203">
        <f t="shared" si="197"/>
        <v>23.300000000001468</v>
      </c>
      <c r="R1552" s="201">
        <f>E1552/B1548-1</f>
        <v>5.555555212620078E-3</v>
      </c>
      <c r="S1552" s="201">
        <f t="shared" si="198"/>
        <v>3.0788793103448953E-3</v>
      </c>
    </row>
    <row r="1553" spans="1:19">
      <c r="A1553" s="196">
        <v>42221</v>
      </c>
      <c r="B1553" s="122">
        <v>16.469999000000001</v>
      </c>
      <c r="C1553" s="122">
        <v>16.91</v>
      </c>
      <c r="D1553" s="122">
        <v>15.82</v>
      </c>
      <c r="E1553" s="122">
        <v>16.690000999999999</v>
      </c>
      <c r="F1553" s="122">
        <v>14.178224</v>
      </c>
      <c r="G1553" s="197">
        <v>125600</v>
      </c>
      <c r="H1553" s="198">
        <f>IF(AND(E1552&gt;=H1552,E1553&gt;=E1552),E1552*(1+'Trading Model'!$E$13),IF(AND(E1553&lt;E1552,E1552&gt;=H1552),E1553*(1+'Trading Model'!$E$13),H1552))</f>
        <v>27.698998950000004</v>
      </c>
      <c r="I1553" s="198">
        <f>IF(K1553&gt;0,E1553*(1-'Trading Model'!E1563),IF(E1553&lt;I1552,I1552*(1-'Trading Model'!$E$14),I1552))</f>
        <v>8.9840153609188427</v>
      </c>
      <c r="J1553" s="198">
        <f t="shared" si="199"/>
        <v>0</v>
      </c>
      <c r="K1553" s="198">
        <f t="shared" si="194"/>
        <v>0</v>
      </c>
      <c r="L1553" s="198">
        <f>COUNTIF(J1553:K1553,"&lt;&gt;0")*-'Trading Model'!$E$15</f>
        <v>0</v>
      </c>
      <c r="M1553" s="198">
        <f t="shared" si="192"/>
        <v>0</v>
      </c>
      <c r="N1553" s="75">
        <f t="shared" si="195"/>
        <v>45</v>
      </c>
      <c r="O1553" s="202">
        <f t="shared" si="196"/>
        <v>0</v>
      </c>
      <c r="P1553" s="199">
        <f t="shared" si="193"/>
        <v>0</v>
      </c>
      <c r="Q1553" s="203">
        <f t="shared" si="197"/>
        <v>23.300000000001468</v>
      </c>
      <c r="R1553" s="160" t="s">
        <v>55</v>
      </c>
      <c r="S1553" s="201">
        <f t="shared" si="198"/>
        <v>2.4554940174650541E-2</v>
      </c>
    </row>
    <row r="1554" spans="1:19">
      <c r="A1554" s="196">
        <v>42222</v>
      </c>
      <c r="B1554" s="122">
        <v>16.620000999999998</v>
      </c>
      <c r="C1554" s="122">
        <v>17.77</v>
      </c>
      <c r="D1554" s="122">
        <v>16.57</v>
      </c>
      <c r="E1554" s="122">
        <v>17.459999</v>
      </c>
      <c r="F1554" s="122">
        <v>14.832338999999999</v>
      </c>
      <c r="G1554" s="197">
        <v>132700</v>
      </c>
      <c r="H1554" s="198">
        <f>IF(AND(E1553&gt;=H1553,E1554&gt;=E1553),E1553*(1+'Trading Model'!$E$13),IF(AND(E1554&lt;E1553,E1553&gt;=H1553),E1554*(1+'Trading Model'!$E$13),H1553))</f>
        <v>27.698998950000004</v>
      </c>
      <c r="I1554" s="198">
        <f>IF(K1554&gt;0,E1554*(1-'Trading Model'!E1564),IF(E1554&lt;I1553,I1553*(1-'Trading Model'!$E$14),I1553))</f>
        <v>8.9840153609188427</v>
      </c>
      <c r="J1554" s="198">
        <f t="shared" si="199"/>
        <v>0</v>
      </c>
      <c r="K1554" s="198">
        <f t="shared" si="194"/>
        <v>0</v>
      </c>
      <c r="L1554" s="198">
        <f>COUNTIF(J1554:K1554,"&lt;&gt;0")*-'Trading Model'!$E$15</f>
        <v>0</v>
      </c>
      <c r="M1554" s="198">
        <f t="shared" si="192"/>
        <v>0</v>
      </c>
      <c r="N1554" s="75">
        <f t="shared" si="195"/>
        <v>45</v>
      </c>
      <c r="O1554" s="202">
        <f t="shared" si="196"/>
        <v>0</v>
      </c>
      <c r="P1554" s="199">
        <f t="shared" si="193"/>
        <v>0</v>
      </c>
      <c r="Q1554" s="203">
        <f t="shared" si="197"/>
        <v>23.300000000001468</v>
      </c>
      <c r="R1554" s="203" t="s">
        <v>55</v>
      </c>
      <c r="S1554" s="201">
        <f t="shared" si="198"/>
        <v>4.6135287828922289E-2</v>
      </c>
    </row>
    <row r="1555" spans="1:19">
      <c r="A1555" s="196">
        <v>42223</v>
      </c>
      <c r="B1555" s="122">
        <v>17.360001</v>
      </c>
      <c r="C1555" s="122">
        <v>17.360001</v>
      </c>
      <c r="D1555" s="122">
        <v>16.899999999999999</v>
      </c>
      <c r="E1555" s="122">
        <v>17.149999999999999</v>
      </c>
      <c r="F1555" s="122">
        <v>14.568994999999999</v>
      </c>
      <c r="G1555" s="197">
        <v>75800</v>
      </c>
      <c r="H1555" s="198">
        <f>IF(AND(E1554&gt;=H1554,E1555&gt;=E1554),E1554*(1+'Trading Model'!$E$13),IF(AND(E1555&lt;E1554,E1554&gt;=H1554),E1555*(1+'Trading Model'!$E$13),H1554))</f>
        <v>27.698998950000004</v>
      </c>
      <c r="I1555" s="198">
        <f>IF(K1555&gt;0,E1555*(1-'Trading Model'!E1565),IF(E1555&lt;I1554,I1554*(1-'Trading Model'!$E$14),I1554))</f>
        <v>8.9840153609188427</v>
      </c>
      <c r="J1555" s="198">
        <f t="shared" si="199"/>
        <v>0</v>
      </c>
      <c r="K1555" s="198">
        <f t="shared" si="194"/>
        <v>0</v>
      </c>
      <c r="L1555" s="198">
        <f>COUNTIF(J1555:K1555,"&lt;&gt;0")*-'Trading Model'!$E$15</f>
        <v>0</v>
      </c>
      <c r="M1555" s="198">
        <f t="shared" si="192"/>
        <v>0</v>
      </c>
      <c r="N1555" s="75">
        <f t="shared" si="195"/>
        <v>45</v>
      </c>
      <c r="O1555" s="202">
        <f t="shared" si="196"/>
        <v>0</v>
      </c>
      <c r="P1555" s="199">
        <f t="shared" si="193"/>
        <v>0</v>
      </c>
      <c r="Q1555" s="203">
        <f t="shared" si="197"/>
        <v>23.200000000001467</v>
      </c>
      <c r="R1555" s="203" t="s">
        <v>55</v>
      </c>
      <c r="S1555" s="201">
        <f t="shared" si="198"/>
        <v>-1.775481201344864E-2</v>
      </c>
    </row>
    <row r="1556" spans="1:19">
      <c r="A1556" s="196">
        <v>42226</v>
      </c>
      <c r="B1556" s="122">
        <v>17.139999</v>
      </c>
      <c r="C1556" s="122">
        <v>18.170000000000002</v>
      </c>
      <c r="D1556" s="122">
        <v>17.120000999999998</v>
      </c>
      <c r="E1556" s="122">
        <v>18.059999000000001</v>
      </c>
      <c r="F1556" s="122">
        <v>15.342044</v>
      </c>
      <c r="G1556" s="197">
        <v>137500</v>
      </c>
      <c r="H1556" s="198">
        <f>IF(AND(E1555&gt;=H1555,E1556&gt;=E1555),E1555*(1+'Trading Model'!$E$13),IF(AND(E1556&lt;E1555,E1555&gt;=H1555),E1556*(1+'Trading Model'!$E$13),H1555))</f>
        <v>27.698998950000004</v>
      </c>
      <c r="I1556" s="198">
        <f>IF(K1556&gt;0,E1556*(1-'Trading Model'!E1566),IF(E1556&lt;I1555,I1555*(1-'Trading Model'!$E$14),I1555))</f>
        <v>8.9840153609188427</v>
      </c>
      <c r="J1556" s="198">
        <f t="shared" si="199"/>
        <v>0</v>
      </c>
      <c r="K1556" s="198">
        <f t="shared" si="194"/>
        <v>0</v>
      </c>
      <c r="L1556" s="198">
        <f>COUNTIF(J1556:K1556,"&lt;&gt;0")*-'Trading Model'!$E$15</f>
        <v>0</v>
      </c>
      <c r="M1556" s="198">
        <f t="shared" si="192"/>
        <v>0</v>
      </c>
      <c r="N1556" s="75">
        <f t="shared" si="195"/>
        <v>45</v>
      </c>
      <c r="O1556" s="202">
        <f t="shared" si="196"/>
        <v>0</v>
      </c>
      <c r="P1556" s="199">
        <f t="shared" si="193"/>
        <v>0</v>
      </c>
      <c r="Q1556" s="203">
        <f t="shared" si="197"/>
        <v>23.200000000001467</v>
      </c>
      <c r="R1556" s="203" t="s">
        <v>55</v>
      </c>
      <c r="S1556" s="201">
        <f t="shared" si="198"/>
        <v>5.3061166180758068E-2</v>
      </c>
    </row>
    <row r="1557" spans="1:19">
      <c r="A1557" s="196">
        <v>42227</v>
      </c>
      <c r="B1557" s="122">
        <v>18.02</v>
      </c>
      <c r="C1557" s="122">
        <v>18.02</v>
      </c>
      <c r="D1557" s="122">
        <v>17.040001</v>
      </c>
      <c r="E1557" s="122">
        <v>17.209999</v>
      </c>
      <c r="F1557" s="122">
        <v>14.619965000000001</v>
      </c>
      <c r="G1557" s="197">
        <v>124000</v>
      </c>
      <c r="H1557" s="198">
        <f>IF(AND(E1556&gt;=H1556,E1557&gt;=E1556),E1556*(1+'Trading Model'!$E$13),IF(AND(E1557&lt;E1556,E1556&gt;=H1556),E1557*(1+'Trading Model'!$E$13),H1556))</f>
        <v>27.698998950000004</v>
      </c>
      <c r="I1557" s="198">
        <f>IF(K1557&gt;0,E1557*(1-'Trading Model'!E1567),IF(E1557&lt;I1556,I1556*(1-'Trading Model'!$E$14),I1556))</f>
        <v>8.9840153609188427</v>
      </c>
      <c r="J1557" s="198">
        <f t="shared" si="199"/>
        <v>0</v>
      </c>
      <c r="K1557" s="198">
        <f t="shared" si="194"/>
        <v>0</v>
      </c>
      <c r="L1557" s="198">
        <f>COUNTIF(J1557:K1557,"&lt;&gt;0")*-'Trading Model'!$E$15</f>
        <v>0</v>
      </c>
      <c r="M1557" s="198">
        <f t="shared" si="192"/>
        <v>0</v>
      </c>
      <c r="N1557" s="75">
        <f t="shared" si="195"/>
        <v>45</v>
      </c>
      <c r="O1557" s="202">
        <f t="shared" si="196"/>
        <v>0</v>
      </c>
      <c r="P1557" s="199">
        <f t="shared" si="193"/>
        <v>0</v>
      </c>
      <c r="Q1557" s="203">
        <f t="shared" si="197"/>
        <v>23.100000000001465</v>
      </c>
      <c r="R1557" s="201">
        <f>E1557/B1553-1</f>
        <v>4.4930178805718146E-2</v>
      </c>
      <c r="S1557" s="201">
        <f t="shared" si="198"/>
        <v>-4.7065340369066511E-2</v>
      </c>
    </row>
    <row r="1558" spans="1:19">
      <c r="A1558" s="196">
        <v>42228</v>
      </c>
      <c r="B1558" s="122">
        <v>17.149999999999999</v>
      </c>
      <c r="C1558" s="122">
        <v>17.149999999999999</v>
      </c>
      <c r="D1558" s="122">
        <v>16.5</v>
      </c>
      <c r="E1558" s="122">
        <v>16.66</v>
      </c>
      <c r="F1558" s="122">
        <v>14.152737999999999</v>
      </c>
      <c r="G1558" s="197">
        <v>103800</v>
      </c>
      <c r="H1558" s="198">
        <f>IF(AND(E1557&gt;=H1557,E1558&gt;=E1557),E1557*(1+'Trading Model'!$E$13),IF(AND(E1558&lt;E1557,E1557&gt;=H1557),E1558*(1+'Trading Model'!$E$13),H1557))</f>
        <v>27.698998950000004</v>
      </c>
      <c r="I1558" s="198">
        <f>IF(K1558&gt;0,E1558*(1-'Trading Model'!E1568),IF(E1558&lt;I1557,I1557*(1-'Trading Model'!$E$14),I1557))</f>
        <v>8.9840153609188427</v>
      </c>
      <c r="J1558" s="198">
        <f t="shared" si="199"/>
        <v>0</v>
      </c>
      <c r="K1558" s="198">
        <f t="shared" si="194"/>
        <v>0</v>
      </c>
      <c r="L1558" s="198">
        <f>COUNTIF(J1558:K1558,"&lt;&gt;0")*-'Trading Model'!$E$15</f>
        <v>0</v>
      </c>
      <c r="M1558" s="198">
        <f t="shared" si="192"/>
        <v>0</v>
      </c>
      <c r="N1558" s="75">
        <f t="shared" si="195"/>
        <v>45</v>
      </c>
      <c r="O1558" s="202">
        <f t="shared" si="196"/>
        <v>0</v>
      </c>
      <c r="P1558" s="199">
        <f t="shared" si="193"/>
        <v>0</v>
      </c>
      <c r="Q1558" s="203">
        <f t="shared" si="197"/>
        <v>23.000000000001464</v>
      </c>
      <c r="R1558" s="160" t="s">
        <v>55</v>
      </c>
      <c r="S1558" s="201">
        <f t="shared" si="198"/>
        <v>-3.1958107609419417E-2</v>
      </c>
    </row>
    <row r="1559" spans="1:19">
      <c r="A1559" s="196">
        <v>42229</v>
      </c>
      <c r="B1559" s="122">
        <v>16.66</v>
      </c>
      <c r="C1559" s="122">
        <v>17.079999999999998</v>
      </c>
      <c r="D1559" s="122">
        <v>16.329999999999998</v>
      </c>
      <c r="E1559" s="122">
        <v>16.850000000000001</v>
      </c>
      <c r="F1559" s="122">
        <v>14.314142</v>
      </c>
      <c r="G1559" s="197">
        <v>105300</v>
      </c>
      <c r="H1559" s="198">
        <f>IF(AND(E1558&gt;=H1558,E1559&gt;=E1558),E1558*(1+'Trading Model'!$E$13),IF(AND(E1559&lt;E1558,E1558&gt;=H1558),E1559*(1+'Trading Model'!$E$13),H1558))</f>
        <v>27.698998950000004</v>
      </c>
      <c r="I1559" s="198">
        <f>IF(K1559&gt;0,E1559*(1-'Trading Model'!E1569),IF(E1559&lt;I1558,I1558*(1-'Trading Model'!$E$14),I1558))</f>
        <v>8.9840153609188427</v>
      </c>
      <c r="J1559" s="198">
        <f t="shared" si="199"/>
        <v>0</v>
      </c>
      <c r="K1559" s="198">
        <f t="shared" si="194"/>
        <v>0</v>
      </c>
      <c r="L1559" s="198">
        <f>COUNTIF(J1559:K1559,"&lt;&gt;0")*-'Trading Model'!$E$15</f>
        <v>0</v>
      </c>
      <c r="M1559" s="198">
        <f t="shared" si="192"/>
        <v>0</v>
      </c>
      <c r="N1559" s="75">
        <f t="shared" si="195"/>
        <v>45</v>
      </c>
      <c r="O1559" s="202">
        <f t="shared" si="196"/>
        <v>0</v>
      </c>
      <c r="P1559" s="199">
        <f t="shared" si="193"/>
        <v>0</v>
      </c>
      <c r="Q1559" s="203">
        <f t="shared" si="197"/>
        <v>23.000000000001464</v>
      </c>
      <c r="R1559" s="203" t="s">
        <v>55</v>
      </c>
      <c r="S1559" s="201">
        <f t="shared" si="198"/>
        <v>1.1404561824730042E-2</v>
      </c>
    </row>
    <row r="1560" spans="1:19">
      <c r="A1560" s="196">
        <v>42230</v>
      </c>
      <c r="B1560" s="122">
        <v>17</v>
      </c>
      <c r="C1560" s="122">
        <v>17.040001</v>
      </c>
      <c r="D1560" s="122">
        <v>16.489999999999998</v>
      </c>
      <c r="E1560" s="122">
        <v>16.59</v>
      </c>
      <c r="F1560" s="122">
        <v>14.093273</v>
      </c>
      <c r="G1560" s="197">
        <v>37600</v>
      </c>
      <c r="H1560" s="198">
        <f>IF(AND(E1559&gt;=H1559,E1560&gt;=E1559),E1559*(1+'Trading Model'!$E$13),IF(AND(E1560&lt;E1559,E1559&gt;=H1559),E1560*(1+'Trading Model'!$E$13),H1559))</f>
        <v>27.698998950000004</v>
      </c>
      <c r="I1560" s="198">
        <f>IF(K1560&gt;0,E1560*(1-'Trading Model'!E1570),IF(E1560&lt;I1559,I1559*(1-'Trading Model'!$E$14),I1559))</f>
        <v>8.9840153609188427</v>
      </c>
      <c r="J1560" s="198">
        <f t="shared" si="199"/>
        <v>0</v>
      </c>
      <c r="K1560" s="198">
        <f t="shared" si="194"/>
        <v>0</v>
      </c>
      <c r="L1560" s="198">
        <f>COUNTIF(J1560:K1560,"&lt;&gt;0")*-'Trading Model'!$E$15</f>
        <v>0</v>
      </c>
      <c r="M1560" s="198">
        <f t="shared" si="192"/>
        <v>0</v>
      </c>
      <c r="N1560" s="75">
        <f t="shared" si="195"/>
        <v>45</v>
      </c>
      <c r="O1560" s="202">
        <f t="shared" si="196"/>
        <v>0</v>
      </c>
      <c r="P1560" s="199">
        <f t="shared" si="193"/>
        <v>0</v>
      </c>
      <c r="Q1560" s="203">
        <f t="shared" si="197"/>
        <v>22.900000000001462</v>
      </c>
      <c r="R1560" s="203" t="s">
        <v>55</v>
      </c>
      <c r="S1560" s="201">
        <f t="shared" si="198"/>
        <v>-1.5430267062314651E-2</v>
      </c>
    </row>
    <row r="1561" spans="1:19">
      <c r="A1561" s="196">
        <v>42233</v>
      </c>
      <c r="B1561" s="122">
        <v>16.549999</v>
      </c>
      <c r="C1561" s="122">
        <v>16.780000999999999</v>
      </c>
      <c r="D1561" s="122">
        <v>16.190000999999999</v>
      </c>
      <c r="E1561" s="122">
        <v>16.469999000000001</v>
      </c>
      <c r="F1561" s="122">
        <v>13.991331000000001</v>
      </c>
      <c r="G1561" s="197">
        <v>86100</v>
      </c>
      <c r="H1561" s="198">
        <f>IF(AND(E1560&gt;=H1560,E1561&gt;=E1560),E1560*(1+'Trading Model'!$E$13),IF(AND(E1561&lt;E1560,E1560&gt;=H1560),E1561*(1+'Trading Model'!$E$13),H1560))</f>
        <v>27.698998950000004</v>
      </c>
      <c r="I1561" s="198">
        <f>IF(K1561&gt;0,E1561*(1-'Trading Model'!E1571),IF(E1561&lt;I1560,I1560*(1-'Trading Model'!$E$14),I1560))</f>
        <v>8.9840153609188427</v>
      </c>
      <c r="J1561" s="198">
        <f t="shared" si="199"/>
        <v>0</v>
      </c>
      <c r="K1561" s="198">
        <f t="shared" si="194"/>
        <v>0</v>
      </c>
      <c r="L1561" s="198">
        <f>COUNTIF(J1561:K1561,"&lt;&gt;0")*-'Trading Model'!$E$15</f>
        <v>0</v>
      </c>
      <c r="M1561" s="198">
        <f t="shared" si="192"/>
        <v>0</v>
      </c>
      <c r="N1561" s="75">
        <f t="shared" si="195"/>
        <v>45</v>
      </c>
      <c r="O1561" s="202">
        <f t="shared" si="196"/>
        <v>0</v>
      </c>
      <c r="P1561" s="199">
        <f t="shared" si="193"/>
        <v>0</v>
      </c>
      <c r="Q1561" s="203">
        <f t="shared" si="197"/>
        <v>22.800000000001461</v>
      </c>
      <c r="R1561" s="203" t="s">
        <v>55</v>
      </c>
      <c r="S1561" s="201">
        <f t="shared" si="198"/>
        <v>-7.2333333333332028E-3</v>
      </c>
    </row>
    <row r="1562" spans="1:19">
      <c r="A1562" s="196">
        <v>42234</v>
      </c>
      <c r="B1562" s="122">
        <v>16.389999</v>
      </c>
      <c r="C1562" s="122">
        <v>16.799999</v>
      </c>
      <c r="D1562" s="122">
        <v>16.200001</v>
      </c>
      <c r="E1562" s="122">
        <v>16.239999999999998</v>
      </c>
      <c r="F1562" s="122">
        <v>13.795947</v>
      </c>
      <c r="G1562" s="197">
        <v>387900</v>
      </c>
      <c r="H1562" s="198">
        <f>IF(AND(E1561&gt;=H1561,E1562&gt;=E1561),E1561*(1+'Trading Model'!$E$13),IF(AND(E1562&lt;E1561,E1561&gt;=H1561),E1562*(1+'Trading Model'!$E$13),H1561))</f>
        <v>27.698998950000004</v>
      </c>
      <c r="I1562" s="198">
        <f>IF(K1562&gt;0,E1562*(1-'Trading Model'!E1572),IF(E1562&lt;I1561,I1561*(1-'Trading Model'!$E$14),I1561))</f>
        <v>8.9840153609188427</v>
      </c>
      <c r="J1562" s="198">
        <f t="shared" si="199"/>
        <v>0</v>
      </c>
      <c r="K1562" s="198">
        <f t="shared" si="194"/>
        <v>0</v>
      </c>
      <c r="L1562" s="198">
        <f>COUNTIF(J1562:K1562,"&lt;&gt;0")*-'Trading Model'!$E$15</f>
        <v>0</v>
      </c>
      <c r="M1562" s="198">
        <f t="shared" si="192"/>
        <v>0</v>
      </c>
      <c r="N1562" s="75">
        <f t="shared" si="195"/>
        <v>45</v>
      </c>
      <c r="O1562" s="202">
        <f t="shared" si="196"/>
        <v>0</v>
      </c>
      <c r="P1562" s="199">
        <f t="shared" si="193"/>
        <v>0</v>
      </c>
      <c r="Q1562" s="203">
        <f t="shared" si="197"/>
        <v>22.700000000001459</v>
      </c>
      <c r="R1562" s="201">
        <f>E1562/B1558-1</f>
        <v>-5.3061224489795888E-2</v>
      </c>
      <c r="S1562" s="201">
        <f t="shared" si="198"/>
        <v>-1.3964724588022337E-2</v>
      </c>
    </row>
    <row r="1563" spans="1:19">
      <c r="A1563" s="196">
        <v>42235</v>
      </c>
      <c r="B1563" s="122">
        <v>16.149999999999999</v>
      </c>
      <c r="C1563" s="122">
        <v>16.290001</v>
      </c>
      <c r="D1563" s="122">
        <v>16</v>
      </c>
      <c r="E1563" s="122">
        <v>16.16</v>
      </c>
      <c r="F1563" s="122">
        <v>13.727985</v>
      </c>
      <c r="G1563" s="197">
        <v>85300</v>
      </c>
      <c r="H1563" s="198">
        <f>IF(AND(E1562&gt;=H1562,E1563&gt;=E1562),E1562*(1+'Trading Model'!$E$13),IF(AND(E1563&lt;E1562,E1562&gt;=H1562),E1563*(1+'Trading Model'!$E$13),H1562))</f>
        <v>27.698998950000004</v>
      </c>
      <c r="I1563" s="198">
        <f>IF(K1563&gt;0,E1563*(1-'Trading Model'!E1573),IF(E1563&lt;I1562,I1562*(1-'Trading Model'!$E$14),I1562))</f>
        <v>8.9840153609188427</v>
      </c>
      <c r="J1563" s="198">
        <f t="shared" si="199"/>
        <v>0</v>
      </c>
      <c r="K1563" s="198">
        <f t="shared" si="194"/>
        <v>0</v>
      </c>
      <c r="L1563" s="198">
        <f>COUNTIF(J1563:K1563,"&lt;&gt;0")*-'Trading Model'!$E$15</f>
        <v>0</v>
      </c>
      <c r="M1563" s="198">
        <f t="shared" si="192"/>
        <v>0</v>
      </c>
      <c r="N1563" s="75">
        <f t="shared" si="195"/>
        <v>45</v>
      </c>
      <c r="O1563" s="202">
        <f t="shared" si="196"/>
        <v>0</v>
      </c>
      <c r="P1563" s="199">
        <f t="shared" si="193"/>
        <v>0</v>
      </c>
      <c r="Q1563" s="203">
        <f t="shared" si="197"/>
        <v>22.600000000001458</v>
      </c>
      <c r="R1563" s="160" t="s">
        <v>55</v>
      </c>
      <c r="S1563" s="201">
        <f t="shared" si="198"/>
        <v>-4.9261083743841194E-3</v>
      </c>
    </row>
    <row r="1564" spans="1:19">
      <c r="A1564" s="196">
        <v>42236</v>
      </c>
      <c r="B1564" s="122">
        <v>16.010000000000002</v>
      </c>
      <c r="C1564" s="122">
        <v>16.290001</v>
      </c>
      <c r="D1564" s="122">
        <v>15.87</v>
      </c>
      <c r="E1564" s="122">
        <v>15.96</v>
      </c>
      <c r="F1564" s="122">
        <v>13.558083999999999</v>
      </c>
      <c r="G1564" s="197">
        <v>83100</v>
      </c>
      <c r="H1564" s="198">
        <f>IF(AND(E1563&gt;=H1563,E1564&gt;=E1563),E1563*(1+'Trading Model'!$E$13),IF(AND(E1564&lt;E1563,E1563&gt;=H1563),E1564*(1+'Trading Model'!$E$13),H1563))</f>
        <v>27.698998950000004</v>
      </c>
      <c r="I1564" s="198">
        <f>IF(K1564&gt;0,E1564*(1-'Trading Model'!E1574),IF(E1564&lt;I1563,I1563*(1-'Trading Model'!$E$14),I1563))</f>
        <v>8.9840153609188427</v>
      </c>
      <c r="J1564" s="198">
        <f t="shared" si="199"/>
        <v>0</v>
      </c>
      <c r="K1564" s="198">
        <f t="shared" si="194"/>
        <v>0</v>
      </c>
      <c r="L1564" s="198">
        <f>COUNTIF(J1564:K1564,"&lt;&gt;0")*-'Trading Model'!$E$15</f>
        <v>0</v>
      </c>
      <c r="M1564" s="198">
        <f t="shared" si="192"/>
        <v>0</v>
      </c>
      <c r="N1564" s="75">
        <f t="shared" si="195"/>
        <v>45</v>
      </c>
      <c r="O1564" s="202">
        <f t="shared" si="196"/>
        <v>0</v>
      </c>
      <c r="P1564" s="199">
        <f t="shared" si="193"/>
        <v>0</v>
      </c>
      <c r="Q1564" s="203">
        <f t="shared" si="197"/>
        <v>22.500000000001457</v>
      </c>
      <c r="R1564" s="203" t="s">
        <v>55</v>
      </c>
      <c r="S1564" s="201">
        <f t="shared" si="198"/>
        <v>-1.2376237623762387E-2</v>
      </c>
    </row>
    <row r="1565" spans="1:19">
      <c r="A1565" s="196">
        <v>42237</v>
      </c>
      <c r="B1565" s="122">
        <v>15.94</v>
      </c>
      <c r="C1565" s="122">
        <v>16.100000000000001</v>
      </c>
      <c r="D1565" s="122">
        <v>15.06</v>
      </c>
      <c r="E1565" s="122">
        <v>15.81</v>
      </c>
      <c r="F1565" s="122">
        <v>13.43066</v>
      </c>
      <c r="G1565" s="197">
        <v>247500</v>
      </c>
      <c r="H1565" s="198">
        <f>IF(AND(E1564&gt;=H1564,E1565&gt;=E1564),E1564*(1+'Trading Model'!$E$13),IF(AND(E1565&lt;E1564,E1564&gt;=H1564),E1565*(1+'Trading Model'!$E$13),H1564))</f>
        <v>27.698998950000004</v>
      </c>
      <c r="I1565" s="198">
        <f>IF(K1565&gt;0,E1565*(1-'Trading Model'!E1575),IF(E1565&lt;I1564,I1564*(1-'Trading Model'!$E$14),I1564))</f>
        <v>8.9840153609188427</v>
      </c>
      <c r="J1565" s="198">
        <f t="shared" si="199"/>
        <v>0</v>
      </c>
      <c r="K1565" s="198">
        <f t="shared" si="194"/>
        <v>0</v>
      </c>
      <c r="L1565" s="198">
        <f>COUNTIF(J1565:K1565,"&lt;&gt;0")*-'Trading Model'!$E$15</f>
        <v>0</v>
      </c>
      <c r="M1565" s="198">
        <f t="shared" si="192"/>
        <v>0</v>
      </c>
      <c r="N1565" s="75">
        <f t="shared" si="195"/>
        <v>45</v>
      </c>
      <c r="O1565" s="202">
        <f t="shared" si="196"/>
        <v>0</v>
      </c>
      <c r="P1565" s="199">
        <f t="shared" si="193"/>
        <v>0</v>
      </c>
      <c r="Q1565" s="203">
        <f t="shared" si="197"/>
        <v>22.400000000001455</v>
      </c>
      <c r="R1565" s="203" t="s">
        <v>55</v>
      </c>
      <c r="S1565" s="201">
        <f t="shared" si="198"/>
        <v>-9.3984962406015171E-3</v>
      </c>
    </row>
    <row r="1566" spans="1:19">
      <c r="A1566" s="196">
        <v>42240</v>
      </c>
      <c r="B1566" s="122">
        <v>14.94</v>
      </c>
      <c r="C1566" s="122">
        <v>14.99</v>
      </c>
      <c r="D1566" s="122">
        <v>14.28</v>
      </c>
      <c r="E1566" s="122">
        <v>14.99</v>
      </c>
      <c r="F1566" s="122">
        <v>12.734067</v>
      </c>
      <c r="G1566" s="197">
        <v>148000</v>
      </c>
      <c r="H1566" s="198">
        <f>IF(AND(E1565&gt;=H1565,E1566&gt;=E1565),E1565*(1+'Trading Model'!$E$13),IF(AND(E1566&lt;E1565,E1565&gt;=H1565),E1566*(1+'Trading Model'!$E$13),H1565))</f>
        <v>27.698998950000004</v>
      </c>
      <c r="I1566" s="198">
        <f>IF(K1566&gt;0,E1566*(1-'Trading Model'!E1576),IF(E1566&lt;I1565,I1565*(1-'Trading Model'!$E$14),I1565))</f>
        <v>8.9840153609188427</v>
      </c>
      <c r="J1566" s="198">
        <f t="shared" si="199"/>
        <v>0</v>
      </c>
      <c r="K1566" s="198">
        <f t="shared" si="194"/>
        <v>0</v>
      </c>
      <c r="L1566" s="198">
        <f>COUNTIF(J1566:K1566,"&lt;&gt;0")*-'Trading Model'!$E$15</f>
        <v>0</v>
      </c>
      <c r="M1566" s="198">
        <f t="shared" si="192"/>
        <v>0</v>
      </c>
      <c r="N1566" s="75">
        <f t="shared" si="195"/>
        <v>45</v>
      </c>
      <c r="O1566" s="202">
        <f t="shared" si="196"/>
        <v>0</v>
      </c>
      <c r="P1566" s="199">
        <f t="shared" si="193"/>
        <v>0</v>
      </c>
      <c r="Q1566" s="203">
        <f t="shared" si="197"/>
        <v>22.300000000001454</v>
      </c>
      <c r="R1566" s="203" t="s">
        <v>55</v>
      </c>
      <c r="S1566" s="201">
        <f t="shared" si="198"/>
        <v>-5.1865907653383947E-2</v>
      </c>
    </row>
    <row r="1567" spans="1:19">
      <c r="A1567" s="196">
        <v>42241</v>
      </c>
      <c r="B1567" s="122">
        <v>15.39</v>
      </c>
      <c r="C1567" s="122">
        <v>15.57</v>
      </c>
      <c r="D1567" s="122">
        <v>14.34</v>
      </c>
      <c r="E1567" s="122">
        <v>14.34</v>
      </c>
      <c r="F1567" s="122">
        <v>12.181889999999999</v>
      </c>
      <c r="G1567" s="197">
        <v>116300</v>
      </c>
      <c r="H1567" s="198">
        <f>IF(AND(E1566&gt;=H1566,E1567&gt;=E1566),E1566*(1+'Trading Model'!$E$13),IF(AND(E1567&lt;E1566,E1566&gt;=H1566),E1567*(1+'Trading Model'!$E$13),H1566))</f>
        <v>27.698998950000004</v>
      </c>
      <c r="I1567" s="198">
        <f>IF(K1567&gt;0,E1567*(1-'Trading Model'!E1577),IF(E1567&lt;I1566,I1566*(1-'Trading Model'!$E$14),I1566))</f>
        <v>8.9840153609188427</v>
      </c>
      <c r="J1567" s="198">
        <f t="shared" si="199"/>
        <v>0</v>
      </c>
      <c r="K1567" s="198">
        <f t="shared" si="194"/>
        <v>0</v>
      </c>
      <c r="L1567" s="198">
        <f>COUNTIF(J1567:K1567,"&lt;&gt;0")*-'Trading Model'!$E$15</f>
        <v>0</v>
      </c>
      <c r="M1567" s="198">
        <f t="shared" si="192"/>
        <v>0</v>
      </c>
      <c r="N1567" s="75">
        <f t="shared" si="195"/>
        <v>45</v>
      </c>
      <c r="O1567" s="202">
        <f t="shared" si="196"/>
        <v>0</v>
      </c>
      <c r="P1567" s="199">
        <f t="shared" si="193"/>
        <v>0</v>
      </c>
      <c r="Q1567" s="203">
        <f t="shared" si="197"/>
        <v>22.200000000001452</v>
      </c>
      <c r="R1567" s="201">
        <f>E1567/B1563-1</f>
        <v>-0.11207430340557267</v>
      </c>
      <c r="S1567" s="201">
        <f t="shared" si="198"/>
        <v>-4.3362241494329545E-2</v>
      </c>
    </row>
    <row r="1568" spans="1:19">
      <c r="A1568" s="196">
        <v>42242</v>
      </c>
      <c r="B1568" s="122">
        <v>14.67</v>
      </c>
      <c r="C1568" s="122">
        <v>16.16</v>
      </c>
      <c r="D1568" s="122">
        <v>14.66</v>
      </c>
      <c r="E1568" s="122">
        <v>15.61</v>
      </c>
      <c r="F1568" s="122">
        <v>13.260759</v>
      </c>
      <c r="G1568" s="197">
        <v>105700</v>
      </c>
      <c r="H1568" s="198">
        <f>IF(AND(E1567&gt;=H1567,E1568&gt;=E1567),E1567*(1+'Trading Model'!$E$13),IF(AND(E1568&lt;E1567,E1567&gt;=H1567),E1568*(1+'Trading Model'!$E$13),H1567))</f>
        <v>27.698998950000004</v>
      </c>
      <c r="I1568" s="198">
        <f>IF(K1568&gt;0,E1568*(1-'Trading Model'!E1578),IF(E1568&lt;I1567,I1567*(1-'Trading Model'!$E$14),I1567))</f>
        <v>8.9840153609188427</v>
      </c>
      <c r="J1568" s="198">
        <f t="shared" si="199"/>
        <v>0</v>
      </c>
      <c r="K1568" s="198">
        <f t="shared" si="194"/>
        <v>0</v>
      </c>
      <c r="L1568" s="198">
        <f>COUNTIF(J1568:K1568,"&lt;&gt;0")*-'Trading Model'!$E$15</f>
        <v>0</v>
      </c>
      <c r="M1568" s="198">
        <f t="shared" si="192"/>
        <v>0</v>
      </c>
      <c r="N1568" s="75">
        <f t="shared" si="195"/>
        <v>45</v>
      </c>
      <c r="O1568" s="202">
        <f t="shared" si="196"/>
        <v>0</v>
      </c>
      <c r="P1568" s="199">
        <f t="shared" si="193"/>
        <v>0</v>
      </c>
      <c r="Q1568" s="203">
        <f t="shared" si="197"/>
        <v>22.200000000001452</v>
      </c>
      <c r="R1568" s="160" t="s">
        <v>55</v>
      </c>
      <c r="S1568" s="201">
        <f t="shared" si="198"/>
        <v>8.8563458856345756E-2</v>
      </c>
    </row>
    <row r="1569" spans="1:19">
      <c r="A1569" s="196">
        <v>42243</v>
      </c>
      <c r="B1569" s="122">
        <v>15.91</v>
      </c>
      <c r="C1569" s="122">
        <v>16.299999</v>
      </c>
      <c r="D1569" s="122">
        <v>15.6</v>
      </c>
      <c r="E1569" s="122">
        <v>15.97</v>
      </c>
      <c r="F1569" s="122">
        <v>13.56658</v>
      </c>
      <c r="G1569" s="197">
        <v>110000</v>
      </c>
      <c r="H1569" s="198">
        <f>IF(AND(E1568&gt;=H1568,E1569&gt;=E1568),E1568*(1+'Trading Model'!$E$13),IF(AND(E1569&lt;E1568,E1568&gt;=H1568),E1569*(1+'Trading Model'!$E$13),H1568))</f>
        <v>27.698998950000004</v>
      </c>
      <c r="I1569" s="198">
        <f>IF(K1569&gt;0,E1569*(1-'Trading Model'!E1579),IF(E1569&lt;I1568,I1568*(1-'Trading Model'!$E$14),I1568))</f>
        <v>8.9840153609188427</v>
      </c>
      <c r="J1569" s="198">
        <f t="shared" si="199"/>
        <v>0</v>
      </c>
      <c r="K1569" s="198">
        <f t="shared" si="194"/>
        <v>0</v>
      </c>
      <c r="L1569" s="198">
        <f>COUNTIF(J1569:K1569,"&lt;&gt;0")*-'Trading Model'!$E$15</f>
        <v>0</v>
      </c>
      <c r="M1569" s="198">
        <f t="shared" si="192"/>
        <v>0</v>
      </c>
      <c r="N1569" s="75">
        <f t="shared" si="195"/>
        <v>45</v>
      </c>
      <c r="O1569" s="202">
        <f t="shared" si="196"/>
        <v>0</v>
      </c>
      <c r="P1569" s="199">
        <f t="shared" si="193"/>
        <v>0</v>
      </c>
      <c r="Q1569" s="203">
        <f t="shared" si="197"/>
        <v>22.200000000001452</v>
      </c>
      <c r="R1569" s="203" t="s">
        <v>55</v>
      </c>
      <c r="S1569" s="201">
        <f t="shared" si="198"/>
        <v>2.3062139654068003E-2</v>
      </c>
    </row>
    <row r="1570" spans="1:19">
      <c r="A1570" s="196">
        <v>42244</v>
      </c>
      <c r="B1570" s="122">
        <v>16.049999</v>
      </c>
      <c r="C1570" s="122">
        <v>16.110001</v>
      </c>
      <c r="D1570" s="122">
        <v>15.68</v>
      </c>
      <c r="E1570" s="122">
        <v>15.85</v>
      </c>
      <c r="F1570" s="122">
        <v>13.464639</v>
      </c>
      <c r="G1570" s="197">
        <v>77900</v>
      </c>
      <c r="H1570" s="198">
        <f>IF(AND(E1569&gt;=H1569,E1570&gt;=E1569),E1569*(1+'Trading Model'!$E$13),IF(AND(E1570&lt;E1569,E1569&gt;=H1569),E1570*(1+'Trading Model'!$E$13),H1569))</f>
        <v>27.698998950000004</v>
      </c>
      <c r="I1570" s="198">
        <f>IF(K1570&gt;0,E1570*(1-'Trading Model'!E1580),IF(E1570&lt;I1569,I1569*(1-'Trading Model'!$E$14),I1569))</f>
        <v>8.9840153609188427</v>
      </c>
      <c r="J1570" s="198">
        <f t="shared" si="199"/>
        <v>0</v>
      </c>
      <c r="K1570" s="198">
        <f t="shared" si="194"/>
        <v>0</v>
      </c>
      <c r="L1570" s="198">
        <f>COUNTIF(J1570:K1570,"&lt;&gt;0")*-'Trading Model'!$E$15</f>
        <v>0</v>
      </c>
      <c r="M1570" s="198">
        <f t="shared" si="192"/>
        <v>0</v>
      </c>
      <c r="N1570" s="75">
        <f t="shared" si="195"/>
        <v>45</v>
      </c>
      <c r="O1570" s="202">
        <f t="shared" si="196"/>
        <v>0</v>
      </c>
      <c r="P1570" s="199">
        <f t="shared" si="193"/>
        <v>0</v>
      </c>
      <c r="Q1570" s="203">
        <f t="shared" si="197"/>
        <v>22.100000000001451</v>
      </c>
      <c r="R1570" s="203" t="s">
        <v>55</v>
      </c>
      <c r="S1570" s="201">
        <f t="shared" si="198"/>
        <v>-7.5140889167188973E-3</v>
      </c>
    </row>
    <row r="1571" spans="1:19">
      <c r="A1571" s="196">
        <v>42247</v>
      </c>
      <c r="B1571" s="122">
        <v>15.69</v>
      </c>
      <c r="C1571" s="122">
        <v>16.059999000000001</v>
      </c>
      <c r="D1571" s="122">
        <v>15.12</v>
      </c>
      <c r="E1571" s="122">
        <v>16.059999000000001</v>
      </c>
      <c r="F1571" s="122">
        <v>13.643034999999999</v>
      </c>
      <c r="G1571" s="197">
        <v>155400</v>
      </c>
      <c r="H1571" s="198">
        <f>IF(AND(E1570&gt;=H1570,E1571&gt;=E1570),E1570*(1+'Trading Model'!$E$13),IF(AND(E1571&lt;E1570,E1570&gt;=H1570),E1571*(1+'Trading Model'!$E$13),H1570))</f>
        <v>27.698998950000004</v>
      </c>
      <c r="I1571" s="198">
        <f>IF(K1571&gt;0,E1571*(1-'Trading Model'!E1581),IF(E1571&lt;I1570,I1570*(1-'Trading Model'!$E$14),I1570))</f>
        <v>8.9840153609188427</v>
      </c>
      <c r="J1571" s="198">
        <f t="shared" si="199"/>
        <v>0</v>
      </c>
      <c r="K1571" s="198">
        <f t="shared" si="194"/>
        <v>0</v>
      </c>
      <c r="L1571" s="198">
        <f>COUNTIF(J1571:K1571,"&lt;&gt;0")*-'Trading Model'!$E$15</f>
        <v>0</v>
      </c>
      <c r="M1571" s="198">
        <f t="shared" si="192"/>
        <v>0</v>
      </c>
      <c r="N1571" s="75">
        <f t="shared" si="195"/>
        <v>45</v>
      </c>
      <c r="O1571" s="202">
        <f t="shared" si="196"/>
        <v>0</v>
      </c>
      <c r="P1571" s="199">
        <f t="shared" si="193"/>
        <v>0</v>
      </c>
      <c r="Q1571" s="203">
        <f t="shared" si="197"/>
        <v>22.100000000001451</v>
      </c>
      <c r="R1571" s="203" t="s">
        <v>55</v>
      </c>
      <c r="S1571" s="201">
        <f t="shared" si="198"/>
        <v>1.3249148264984356E-2</v>
      </c>
    </row>
    <row r="1572" spans="1:19">
      <c r="A1572" s="196">
        <v>42248</v>
      </c>
      <c r="B1572" s="122">
        <v>15.81</v>
      </c>
      <c r="C1572" s="122">
        <v>15.95</v>
      </c>
      <c r="D1572" s="122">
        <v>15.45</v>
      </c>
      <c r="E1572" s="122">
        <v>15.65</v>
      </c>
      <c r="F1572" s="122">
        <v>13.294739</v>
      </c>
      <c r="G1572" s="197">
        <v>120300</v>
      </c>
      <c r="H1572" s="198">
        <f>IF(AND(E1571&gt;=H1571,E1572&gt;=E1571),E1571*(1+'Trading Model'!$E$13),IF(AND(E1572&lt;E1571,E1571&gt;=H1571),E1572*(1+'Trading Model'!$E$13),H1571))</f>
        <v>27.698998950000004</v>
      </c>
      <c r="I1572" s="198">
        <f>IF(K1572&gt;0,E1572*(1-'Trading Model'!E1582),IF(E1572&lt;I1571,I1571*(1-'Trading Model'!$E$14),I1571))</f>
        <v>8.9840153609188427</v>
      </c>
      <c r="J1572" s="198">
        <f t="shared" si="199"/>
        <v>0</v>
      </c>
      <c r="K1572" s="198">
        <f t="shared" si="194"/>
        <v>0</v>
      </c>
      <c r="L1572" s="198">
        <f>COUNTIF(J1572:K1572,"&lt;&gt;0")*-'Trading Model'!$E$15</f>
        <v>0</v>
      </c>
      <c r="M1572" s="198">
        <f t="shared" si="192"/>
        <v>0</v>
      </c>
      <c r="N1572" s="75">
        <f t="shared" si="195"/>
        <v>45</v>
      </c>
      <c r="O1572" s="202">
        <f t="shared" si="196"/>
        <v>0</v>
      </c>
      <c r="P1572" s="199">
        <f t="shared" si="193"/>
        <v>0</v>
      </c>
      <c r="Q1572" s="203">
        <f t="shared" si="197"/>
        <v>22.00000000000145</v>
      </c>
      <c r="R1572" s="201">
        <f>E1572/B1568-1</f>
        <v>6.6802999318336775E-2</v>
      </c>
      <c r="S1572" s="201">
        <f t="shared" si="198"/>
        <v>-2.552920457840635E-2</v>
      </c>
    </row>
    <row r="1573" spans="1:19">
      <c r="A1573" s="196">
        <v>42249</v>
      </c>
      <c r="B1573" s="122">
        <v>15.85</v>
      </c>
      <c r="C1573" s="122">
        <v>15.85</v>
      </c>
      <c r="D1573" s="122">
        <v>15.41</v>
      </c>
      <c r="E1573" s="122">
        <v>15.78</v>
      </c>
      <c r="F1573" s="122">
        <v>13.405174000000001</v>
      </c>
      <c r="G1573" s="197">
        <v>59200</v>
      </c>
      <c r="H1573" s="198">
        <f>IF(AND(E1572&gt;=H1572,E1573&gt;=E1572),E1572*(1+'Trading Model'!$E$13),IF(AND(E1573&lt;E1572,E1572&gt;=H1572),E1573*(1+'Trading Model'!$E$13),H1572))</f>
        <v>27.698998950000004</v>
      </c>
      <c r="I1573" s="198">
        <f>IF(K1573&gt;0,E1573*(1-'Trading Model'!E1583),IF(E1573&lt;I1572,I1572*(1-'Trading Model'!$E$14),I1572))</f>
        <v>8.9840153609188427</v>
      </c>
      <c r="J1573" s="198">
        <f t="shared" si="199"/>
        <v>0</v>
      </c>
      <c r="K1573" s="198">
        <f t="shared" si="194"/>
        <v>0</v>
      </c>
      <c r="L1573" s="198">
        <f>COUNTIF(J1573:K1573,"&lt;&gt;0")*-'Trading Model'!$E$15</f>
        <v>0</v>
      </c>
      <c r="M1573" s="198">
        <f t="shared" si="192"/>
        <v>0</v>
      </c>
      <c r="N1573" s="75">
        <f t="shared" si="195"/>
        <v>45</v>
      </c>
      <c r="O1573" s="202">
        <f t="shared" si="196"/>
        <v>0</v>
      </c>
      <c r="P1573" s="199">
        <f t="shared" si="193"/>
        <v>0</v>
      </c>
      <c r="Q1573" s="203">
        <f t="shared" si="197"/>
        <v>22.00000000000145</v>
      </c>
      <c r="R1573" s="160" t="s">
        <v>55</v>
      </c>
      <c r="S1573" s="201">
        <f t="shared" si="198"/>
        <v>8.3067092651756269E-3</v>
      </c>
    </row>
    <row r="1574" spans="1:19">
      <c r="A1574" s="196">
        <v>42250</v>
      </c>
      <c r="B1574" s="122">
        <v>15.85</v>
      </c>
      <c r="C1574" s="122">
        <v>16.610001</v>
      </c>
      <c r="D1574" s="122">
        <v>15.69</v>
      </c>
      <c r="E1574" s="122">
        <v>16.049999</v>
      </c>
      <c r="F1574" s="122">
        <v>13.634539999999999</v>
      </c>
      <c r="G1574" s="197">
        <v>67700</v>
      </c>
      <c r="H1574" s="198">
        <f>IF(AND(E1573&gt;=H1573,E1574&gt;=E1573),E1573*(1+'Trading Model'!$E$13),IF(AND(E1574&lt;E1573,E1573&gt;=H1573),E1574*(1+'Trading Model'!$E$13),H1573))</f>
        <v>27.698998950000004</v>
      </c>
      <c r="I1574" s="198">
        <f>IF(K1574&gt;0,E1574*(1-'Trading Model'!E1584),IF(E1574&lt;I1573,I1573*(1-'Trading Model'!$E$14),I1573))</f>
        <v>8.9840153609188427</v>
      </c>
      <c r="J1574" s="198">
        <f t="shared" si="199"/>
        <v>0</v>
      </c>
      <c r="K1574" s="198">
        <f t="shared" si="194"/>
        <v>0</v>
      </c>
      <c r="L1574" s="198">
        <f>COUNTIF(J1574:K1574,"&lt;&gt;0")*-'Trading Model'!$E$15</f>
        <v>0</v>
      </c>
      <c r="M1574" s="198">
        <f t="shared" si="192"/>
        <v>0</v>
      </c>
      <c r="N1574" s="75">
        <f t="shared" si="195"/>
        <v>45</v>
      </c>
      <c r="O1574" s="202">
        <f t="shared" si="196"/>
        <v>0</v>
      </c>
      <c r="P1574" s="199">
        <f t="shared" si="193"/>
        <v>0</v>
      </c>
      <c r="Q1574" s="203">
        <f t="shared" si="197"/>
        <v>22.00000000000145</v>
      </c>
      <c r="R1574" s="203" t="s">
        <v>55</v>
      </c>
      <c r="S1574" s="201">
        <f t="shared" si="198"/>
        <v>1.7110202788339635E-2</v>
      </c>
    </row>
    <row r="1575" spans="1:19">
      <c r="A1575" s="196">
        <v>42251</v>
      </c>
      <c r="B1575" s="122">
        <v>15.93</v>
      </c>
      <c r="C1575" s="122">
        <v>16.18</v>
      </c>
      <c r="D1575" s="122">
        <v>15.8</v>
      </c>
      <c r="E1575" s="122">
        <v>15.91</v>
      </c>
      <c r="F1575" s="122">
        <v>13.515610000000001</v>
      </c>
      <c r="G1575" s="197">
        <v>78200</v>
      </c>
      <c r="H1575" s="198">
        <f>IF(AND(E1574&gt;=H1574,E1575&gt;=E1574),E1574*(1+'Trading Model'!$E$13),IF(AND(E1575&lt;E1574,E1574&gt;=H1574),E1575*(1+'Trading Model'!$E$13),H1574))</f>
        <v>27.698998950000004</v>
      </c>
      <c r="I1575" s="198">
        <f>IF(K1575&gt;0,E1575*(1-'Trading Model'!E1585),IF(E1575&lt;I1574,I1574*(1-'Trading Model'!$E$14),I1574))</f>
        <v>8.9840153609188427</v>
      </c>
      <c r="J1575" s="198">
        <f t="shared" si="199"/>
        <v>0</v>
      </c>
      <c r="K1575" s="198">
        <f t="shared" si="194"/>
        <v>0</v>
      </c>
      <c r="L1575" s="198">
        <f>COUNTIF(J1575:K1575,"&lt;&gt;0")*-'Trading Model'!$E$15</f>
        <v>0</v>
      </c>
      <c r="M1575" s="198">
        <f t="shared" si="192"/>
        <v>0</v>
      </c>
      <c r="N1575" s="75">
        <f t="shared" si="195"/>
        <v>45</v>
      </c>
      <c r="O1575" s="202">
        <f t="shared" si="196"/>
        <v>0</v>
      </c>
      <c r="P1575" s="199">
        <f t="shared" si="193"/>
        <v>0</v>
      </c>
      <c r="Q1575" s="203">
        <f t="shared" si="197"/>
        <v>21.900000000001448</v>
      </c>
      <c r="R1575" s="203" t="s">
        <v>55</v>
      </c>
      <c r="S1575" s="201">
        <f t="shared" si="198"/>
        <v>-8.7226796711949994E-3</v>
      </c>
    </row>
    <row r="1576" spans="1:19">
      <c r="A1576" s="196">
        <v>42255</v>
      </c>
      <c r="B1576" s="122">
        <v>16.239999999999998</v>
      </c>
      <c r="C1576" s="122">
        <v>16.32</v>
      </c>
      <c r="D1576" s="122">
        <v>15.91</v>
      </c>
      <c r="E1576" s="122">
        <v>15.94</v>
      </c>
      <c r="F1576" s="122">
        <v>13.541095</v>
      </c>
      <c r="G1576" s="197">
        <v>99700</v>
      </c>
      <c r="H1576" s="198">
        <f>IF(AND(E1575&gt;=H1575,E1576&gt;=E1575),E1575*(1+'Trading Model'!$E$13),IF(AND(E1576&lt;E1575,E1575&gt;=H1575),E1576*(1+'Trading Model'!$E$13),H1575))</f>
        <v>27.698998950000004</v>
      </c>
      <c r="I1576" s="198">
        <f>IF(K1576&gt;0,E1576*(1-'Trading Model'!E1586),IF(E1576&lt;I1575,I1575*(1-'Trading Model'!$E$14),I1575))</f>
        <v>8.9840153609188427</v>
      </c>
      <c r="J1576" s="198">
        <f t="shared" si="199"/>
        <v>0</v>
      </c>
      <c r="K1576" s="198">
        <f t="shared" si="194"/>
        <v>0</v>
      </c>
      <c r="L1576" s="198">
        <f>COUNTIF(J1576:K1576,"&lt;&gt;0")*-'Trading Model'!$E$15</f>
        <v>0</v>
      </c>
      <c r="M1576" s="198">
        <f t="shared" si="192"/>
        <v>0</v>
      </c>
      <c r="N1576" s="75">
        <f t="shared" si="195"/>
        <v>45</v>
      </c>
      <c r="O1576" s="202">
        <f t="shared" si="196"/>
        <v>0</v>
      </c>
      <c r="P1576" s="199">
        <f t="shared" si="193"/>
        <v>0</v>
      </c>
      <c r="Q1576" s="203">
        <f t="shared" si="197"/>
        <v>21.900000000001448</v>
      </c>
      <c r="R1576" s="203" t="s">
        <v>55</v>
      </c>
      <c r="S1576" s="201">
        <f t="shared" si="198"/>
        <v>1.8856065367693908E-3</v>
      </c>
    </row>
    <row r="1577" spans="1:19">
      <c r="A1577" s="196">
        <v>42256</v>
      </c>
      <c r="B1577" s="122">
        <v>16.129999000000002</v>
      </c>
      <c r="C1577" s="122">
        <v>16.370000999999998</v>
      </c>
      <c r="D1577" s="122">
        <v>15.86</v>
      </c>
      <c r="E1577" s="122">
        <v>15.89</v>
      </c>
      <c r="F1577" s="122">
        <v>13.498620000000001</v>
      </c>
      <c r="G1577" s="197">
        <v>151200</v>
      </c>
      <c r="H1577" s="198">
        <f>IF(AND(E1576&gt;=H1576,E1577&gt;=E1576),E1576*(1+'Trading Model'!$E$13),IF(AND(E1577&lt;E1576,E1576&gt;=H1576),E1577*(1+'Trading Model'!$E$13),H1576))</f>
        <v>27.698998950000004</v>
      </c>
      <c r="I1577" s="198">
        <f>IF(K1577&gt;0,E1577*(1-'Trading Model'!E1587),IF(E1577&lt;I1576,I1576*(1-'Trading Model'!$E$14),I1576))</f>
        <v>8.9840153609188427</v>
      </c>
      <c r="J1577" s="198">
        <f t="shared" si="199"/>
        <v>0</v>
      </c>
      <c r="K1577" s="198">
        <f t="shared" si="194"/>
        <v>0</v>
      </c>
      <c r="L1577" s="198">
        <f>COUNTIF(J1577:K1577,"&lt;&gt;0")*-'Trading Model'!$E$15</f>
        <v>0</v>
      </c>
      <c r="M1577" s="198">
        <f t="shared" si="192"/>
        <v>0</v>
      </c>
      <c r="N1577" s="75">
        <f t="shared" si="195"/>
        <v>45</v>
      </c>
      <c r="O1577" s="202">
        <f t="shared" si="196"/>
        <v>0</v>
      </c>
      <c r="P1577" s="199">
        <f t="shared" si="193"/>
        <v>0</v>
      </c>
      <c r="Q1577" s="203">
        <f t="shared" si="197"/>
        <v>21.800000000001447</v>
      </c>
      <c r="R1577" s="201">
        <f>E1577/B1573-1</f>
        <v>2.5236593059938528E-3</v>
      </c>
      <c r="S1577" s="201">
        <f t="shared" si="198"/>
        <v>-3.1367628607276155E-3</v>
      </c>
    </row>
    <row r="1578" spans="1:19">
      <c r="A1578" s="196">
        <v>42257</v>
      </c>
      <c r="B1578" s="122">
        <v>15.75</v>
      </c>
      <c r="C1578" s="122">
        <v>16.190000999999999</v>
      </c>
      <c r="D1578" s="122">
        <v>15.7</v>
      </c>
      <c r="E1578" s="122">
        <v>16.049999</v>
      </c>
      <c r="F1578" s="122">
        <v>13.634539999999999</v>
      </c>
      <c r="G1578" s="197">
        <v>168600</v>
      </c>
      <c r="H1578" s="198">
        <f>IF(AND(E1577&gt;=H1577,E1578&gt;=E1577),E1577*(1+'Trading Model'!$E$13),IF(AND(E1578&lt;E1577,E1577&gt;=H1577),E1578*(1+'Trading Model'!$E$13),H1577))</f>
        <v>27.698998950000004</v>
      </c>
      <c r="I1578" s="198">
        <f>IF(K1578&gt;0,E1578*(1-'Trading Model'!E1588),IF(E1578&lt;I1577,I1577*(1-'Trading Model'!$E$14),I1577))</f>
        <v>8.9840153609188427</v>
      </c>
      <c r="J1578" s="198">
        <f t="shared" si="199"/>
        <v>0</v>
      </c>
      <c r="K1578" s="198">
        <f t="shared" si="194"/>
        <v>0</v>
      </c>
      <c r="L1578" s="198">
        <f>COUNTIF(J1578:K1578,"&lt;&gt;0")*-'Trading Model'!$E$15</f>
        <v>0</v>
      </c>
      <c r="M1578" s="198">
        <f t="shared" si="192"/>
        <v>0</v>
      </c>
      <c r="N1578" s="75">
        <f t="shared" si="195"/>
        <v>45</v>
      </c>
      <c r="O1578" s="202">
        <f t="shared" si="196"/>
        <v>0</v>
      </c>
      <c r="P1578" s="199">
        <f t="shared" si="193"/>
        <v>0</v>
      </c>
      <c r="Q1578" s="203">
        <f t="shared" si="197"/>
        <v>21.800000000001447</v>
      </c>
      <c r="R1578" s="160" t="s">
        <v>55</v>
      </c>
      <c r="S1578" s="201">
        <f t="shared" si="198"/>
        <v>1.0069162995594683E-2</v>
      </c>
    </row>
    <row r="1579" spans="1:19">
      <c r="A1579" s="196">
        <v>42258</v>
      </c>
      <c r="B1579" s="122">
        <v>16.049999</v>
      </c>
      <c r="C1579" s="122">
        <v>16.790001</v>
      </c>
      <c r="D1579" s="122">
        <v>16.010000000000002</v>
      </c>
      <c r="E1579" s="122">
        <v>16.5</v>
      </c>
      <c r="F1579" s="122">
        <v>14.016817</v>
      </c>
      <c r="G1579" s="197">
        <v>159300</v>
      </c>
      <c r="H1579" s="198">
        <f>IF(AND(E1578&gt;=H1578,E1579&gt;=E1578),E1578*(1+'Trading Model'!$E$13),IF(AND(E1579&lt;E1578,E1578&gt;=H1578),E1579*(1+'Trading Model'!$E$13),H1578))</f>
        <v>27.698998950000004</v>
      </c>
      <c r="I1579" s="198">
        <f>IF(K1579&gt;0,E1579*(1-'Trading Model'!E1589),IF(E1579&lt;I1578,I1578*(1-'Trading Model'!$E$14),I1578))</f>
        <v>8.9840153609188427</v>
      </c>
      <c r="J1579" s="198">
        <f t="shared" si="199"/>
        <v>0</v>
      </c>
      <c r="K1579" s="198">
        <f t="shared" si="194"/>
        <v>0</v>
      </c>
      <c r="L1579" s="198">
        <f>COUNTIF(J1579:K1579,"&lt;&gt;0")*-'Trading Model'!$E$15</f>
        <v>0</v>
      </c>
      <c r="M1579" s="198">
        <f t="shared" si="192"/>
        <v>0</v>
      </c>
      <c r="N1579" s="75">
        <f t="shared" si="195"/>
        <v>45</v>
      </c>
      <c r="O1579" s="202">
        <f t="shared" si="196"/>
        <v>0</v>
      </c>
      <c r="P1579" s="199">
        <f t="shared" si="193"/>
        <v>0</v>
      </c>
      <c r="Q1579" s="203">
        <f t="shared" si="197"/>
        <v>21.800000000001447</v>
      </c>
      <c r="R1579" s="203" t="s">
        <v>55</v>
      </c>
      <c r="S1579" s="201">
        <f t="shared" si="198"/>
        <v>2.8037447229747547E-2</v>
      </c>
    </row>
    <row r="1580" spans="1:19">
      <c r="A1580" s="196">
        <v>42261</v>
      </c>
      <c r="B1580" s="122">
        <v>16.530000999999999</v>
      </c>
      <c r="C1580" s="122">
        <v>16.530000999999999</v>
      </c>
      <c r="D1580" s="122">
        <v>16.059999000000001</v>
      </c>
      <c r="E1580" s="122">
        <v>16.09</v>
      </c>
      <c r="F1580" s="122">
        <v>13.668521</v>
      </c>
      <c r="G1580" s="197">
        <v>44700</v>
      </c>
      <c r="H1580" s="198">
        <f>IF(AND(E1579&gt;=H1579,E1580&gt;=E1579),E1579*(1+'Trading Model'!$E$13),IF(AND(E1580&lt;E1579,E1579&gt;=H1579),E1580*(1+'Trading Model'!$E$13),H1579))</f>
        <v>27.698998950000004</v>
      </c>
      <c r="I1580" s="198">
        <f>IF(K1580&gt;0,E1580*(1-'Trading Model'!E1590),IF(E1580&lt;I1579,I1579*(1-'Trading Model'!$E$14),I1579))</f>
        <v>8.9840153609188427</v>
      </c>
      <c r="J1580" s="198">
        <f t="shared" si="199"/>
        <v>0</v>
      </c>
      <c r="K1580" s="198">
        <f t="shared" si="194"/>
        <v>0</v>
      </c>
      <c r="L1580" s="198">
        <f>COUNTIF(J1580:K1580,"&lt;&gt;0")*-'Trading Model'!$E$15</f>
        <v>0</v>
      </c>
      <c r="M1580" s="198">
        <f t="shared" si="192"/>
        <v>0</v>
      </c>
      <c r="N1580" s="75">
        <f t="shared" si="195"/>
        <v>45</v>
      </c>
      <c r="O1580" s="202">
        <f t="shared" si="196"/>
        <v>0</v>
      </c>
      <c r="P1580" s="199">
        <f t="shared" si="193"/>
        <v>0</v>
      </c>
      <c r="Q1580" s="203">
        <f t="shared" si="197"/>
        <v>21.700000000001445</v>
      </c>
      <c r="R1580" s="203" t="s">
        <v>55</v>
      </c>
      <c r="S1580" s="201">
        <f t="shared" si="198"/>
        <v>-2.4848484848484897E-2</v>
      </c>
    </row>
    <row r="1581" spans="1:19">
      <c r="A1581" s="196">
        <v>42262</v>
      </c>
      <c r="B1581" s="122">
        <v>16.059999000000001</v>
      </c>
      <c r="C1581" s="122">
        <v>16.18</v>
      </c>
      <c r="D1581" s="122">
        <v>15.8</v>
      </c>
      <c r="E1581" s="122">
        <v>15.82</v>
      </c>
      <c r="F1581" s="122">
        <v>13.439154</v>
      </c>
      <c r="G1581" s="197">
        <v>79800</v>
      </c>
      <c r="H1581" s="198">
        <f>IF(AND(E1580&gt;=H1580,E1581&gt;=E1580),E1580*(1+'Trading Model'!$E$13),IF(AND(E1581&lt;E1580,E1580&gt;=H1580),E1581*(1+'Trading Model'!$E$13),H1580))</f>
        <v>27.698998950000004</v>
      </c>
      <c r="I1581" s="198">
        <f>IF(K1581&gt;0,E1581*(1-'Trading Model'!E1591),IF(E1581&lt;I1580,I1580*(1-'Trading Model'!$E$14),I1580))</f>
        <v>8.9840153609188427</v>
      </c>
      <c r="J1581" s="198">
        <f t="shared" si="199"/>
        <v>0</v>
      </c>
      <c r="K1581" s="198">
        <f t="shared" si="194"/>
        <v>0</v>
      </c>
      <c r="L1581" s="198">
        <f>COUNTIF(J1581:K1581,"&lt;&gt;0")*-'Trading Model'!$E$15</f>
        <v>0</v>
      </c>
      <c r="M1581" s="198">
        <f t="shared" si="192"/>
        <v>0</v>
      </c>
      <c r="N1581" s="75">
        <f t="shared" si="195"/>
        <v>45</v>
      </c>
      <c r="O1581" s="202">
        <f t="shared" si="196"/>
        <v>0</v>
      </c>
      <c r="P1581" s="199">
        <f t="shared" si="193"/>
        <v>0</v>
      </c>
      <c r="Q1581" s="203">
        <f t="shared" si="197"/>
        <v>21.600000000001444</v>
      </c>
      <c r="R1581" s="203" t="s">
        <v>55</v>
      </c>
      <c r="S1581" s="201">
        <f t="shared" si="198"/>
        <v>-1.6780609073958952E-2</v>
      </c>
    </row>
    <row r="1582" spans="1:19">
      <c r="A1582" s="196">
        <v>42263</v>
      </c>
      <c r="B1582" s="122">
        <v>15.74</v>
      </c>
      <c r="C1582" s="122">
        <v>16.079999999999998</v>
      </c>
      <c r="D1582" s="122">
        <v>15.64</v>
      </c>
      <c r="E1582" s="122">
        <v>15.91</v>
      </c>
      <c r="F1582" s="122">
        <v>13.515610000000001</v>
      </c>
      <c r="G1582" s="197">
        <v>159800</v>
      </c>
      <c r="H1582" s="198">
        <f>IF(AND(E1581&gt;=H1581,E1582&gt;=E1581),E1581*(1+'Trading Model'!$E$13),IF(AND(E1582&lt;E1581,E1581&gt;=H1581),E1582*(1+'Trading Model'!$E$13),H1581))</f>
        <v>27.698998950000004</v>
      </c>
      <c r="I1582" s="198">
        <f>IF(K1582&gt;0,E1582*(1-'Trading Model'!E1592),IF(E1582&lt;I1581,I1581*(1-'Trading Model'!$E$14),I1581))</f>
        <v>8.9840153609188427</v>
      </c>
      <c r="J1582" s="198">
        <f t="shared" si="199"/>
        <v>0</v>
      </c>
      <c r="K1582" s="198">
        <f t="shared" si="194"/>
        <v>0</v>
      </c>
      <c r="L1582" s="198">
        <f>COUNTIF(J1582:K1582,"&lt;&gt;0")*-'Trading Model'!$E$15</f>
        <v>0</v>
      </c>
      <c r="M1582" s="198">
        <f t="shared" si="192"/>
        <v>0</v>
      </c>
      <c r="N1582" s="75">
        <f t="shared" si="195"/>
        <v>45</v>
      </c>
      <c r="O1582" s="202">
        <f t="shared" si="196"/>
        <v>0</v>
      </c>
      <c r="P1582" s="199">
        <f t="shared" si="193"/>
        <v>0</v>
      </c>
      <c r="Q1582" s="203">
        <f t="shared" si="197"/>
        <v>21.600000000001444</v>
      </c>
      <c r="R1582" s="201">
        <f>E1582/B1578-1</f>
        <v>1.0158730158730256E-2</v>
      </c>
      <c r="S1582" s="201">
        <f t="shared" si="198"/>
        <v>5.6890012642225596E-3</v>
      </c>
    </row>
    <row r="1583" spans="1:19">
      <c r="A1583" s="196">
        <v>42264</v>
      </c>
      <c r="B1583" s="122">
        <v>15.76</v>
      </c>
      <c r="C1583" s="122">
        <v>16.139999</v>
      </c>
      <c r="D1583" s="122">
        <v>15.73</v>
      </c>
      <c r="E1583" s="122">
        <v>15.99</v>
      </c>
      <c r="F1583" s="122">
        <v>13.58357</v>
      </c>
      <c r="G1583" s="197">
        <v>245200</v>
      </c>
      <c r="H1583" s="198">
        <f>IF(AND(E1582&gt;=H1582,E1583&gt;=E1582),E1582*(1+'Trading Model'!$E$13),IF(AND(E1583&lt;E1582,E1582&gt;=H1582),E1583*(1+'Trading Model'!$E$13),H1582))</f>
        <v>27.698998950000004</v>
      </c>
      <c r="I1583" s="198">
        <f>IF(K1583&gt;0,E1583*(1-'Trading Model'!E1593),IF(E1583&lt;I1582,I1582*(1-'Trading Model'!$E$14),I1582))</f>
        <v>8.9840153609188427</v>
      </c>
      <c r="J1583" s="198">
        <f t="shared" si="199"/>
        <v>0</v>
      </c>
      <c r="K1583" s="198">
        <f t="shared" si="194"/>
        <v>0</v>
      </c>
      <c r="L1583" s="198">
        <f>COUNTIF(J1583:K1583,"&lt;&gt;0")*-'Trading Model'!$E$15</f>
        <v>0</v>
      </c>
      <c r="M1583" s="198">
        <f t="shared" si="192"/>
        <v>0</v>
      </c>
      <c r="N1583" s="75">
        <f t="shared" si="195"/>
        <v>45</v>
      </c>
      <c r="O1583" s="202">
        <f t="shared" si="196"/>
        <v>0</v>
      </c>
      <c r="P1583" s="199">
        <f t="shared" si="193"/>
        <v>0</v>
      </c>
      <c r="Q1583" s="203">
        <f t="shared" si="197"/>
        <v>21.600000000001444</v>
      </c>
      <c r="R1583" s="160" t="s">
        <v>55</v>
      </c>
      <c r="S1583" s="201">
        <f t="shared" si="198"/>
        <v>5.0282840980515608E-3</v>
      </c>
    </row>
    <row r="1584" spans="1:19">
      <c r="A1584" s="196">
        <v>42265</v>
      </c>
      <c r="B1584" s="122">
        <v>15.78</v>
      </c>
      <c r="C1584" s="122">
        <v>16</v>
      </c>
      <c r="D1584" s="122">
        <v>15.48</v>
      </c>
      <c r="E1584" s="122">
        <v>15.54</v>
      </c>
      <c r="F1584" s="122">
        <v>13.201293</v>
      </c>
      <c r="G1584" s="197">
        <v>245300</v>
      </c>
      <c r="H1584" s="198">
        <f>IF(AND(E1583&gt;=H1583,E1584&gt;=E1583),E1583*(1+'Trading Model'!$E$13),IF(AND(E1584&lt;E1583,E1583&gt;=H1583),E1584*(1+'Trading Model'!$E$13),H1583))</f>
        <v>27.698998950000004</v>
      </c>
      <c r="I1584" s="198">
        <f>IF(K1584&gt;0,E1584*(1-'Trading Model'!E1594),IF(E1584&lt;I1583,I1583*(1-'Trading Model'!$E$14),I1583))</f>
        <v>8.9840153609188427</v>
      </c>
      <c r="J1584" s="198">
        <f t="shared" si="199"/>
        <v>0</v>
      </c>
      <c r="K1584" s="198">
        <f t="shared" si="194"/>
        <v>0</v>
      </c>
      <c r="L1584" s="198">
        <f>COUNTIF(J1584:K1584,"&lt;&gt;0")*-'Trading Model'!$E$15</f>
        <v>0</v>
      </c>
      <c r="M1584" s="198">
        <f t="shared" si="192"/>
        <v>0</v>
      </c>
      <c r="N1584" s="75">
        <f t="shared" si="195"/>
        <v>45</v>
      </c>
      <c r="O1584" s="202">
        <f t="shared" si="196"/>
        <v>0</v>
      </c>
      <c r="P1584" s="199">
        <f t="shared" si="193"/>
        <v>0</v>
      </c>
      <c r="Q1584" s="203">
        <f t="shared" si="197"/>
        <v>21.500000000001442</v>
      </c>
      <c r="R1584" s="203" t="s">
        <v>55</v>
      </c>
      <c r="S1584" s="201">
        <f t="shared" si="198"/>
        <v>-2.8142589118198891E-2</v>
      </c>
    </row>
    <row r="1585" spans="1:19">
      <c r="A1585" s="196">
        <v>42268</v>
      </c>
      <c r="B1585" s="122">
        <v>15.9</v>
      </c>
      <c r="C1585" s="122">
        <v>16.139999</v>
      </c>
      <c r="D1585" s="122">
        <v>15.03</v>
      </c>
      <c r="E1585" s="122">
        <v>15.31</v>
      </c>
      <c r="F1585" s="122">
        <v>13.005907000000001</v>
      </c>
      <c r="G1585" s="197">
        <v>158400</v>
      </c>
      <c r="H1585" s="198">
        <f>IF(AND(E1584&gt;=H1584,E1585&gt;=E1584),E1584*(1+'Trading Model'!$E$13),IF(AND(E1585&lt;E1584,E1584&gt;=H1584),E1585*(1+'Trading Model'!$E$13),H1584))</f>
        <v>27.698998950000004</v>
      </c>
      <c r="I1585" s="198">
        <f>IF(K1585&gt;0,E1585*(1-'Trading Model'!E1595),IF(E1585&lt;I1584,I1584*(1-'Trading Model'!$E$14),I1584))</f>
        <v>8.9840153609188427</v>
      </c>
      <c r="J1585" s="198">
        <f t="shared" si="199"/>
        <v>0</v>
      </c>
      <c r="K1585" s="198">
        <f t="shared" si="194"/>
        <v>0</v>
      </c>
      <c r="L1585" s="198">
        <f>COUNTIF(J1585:K1585,"&lt;&gt;0")*-'Trading Model'!$E$15</f>
        <v>0</v>
      </c>
      <c r="M1585" s="198">
        <f t="shared" si="192"/>
        <v>0</v>
      </c>
      <c r="N1585" s="75">
        <f t="shared" si="195"/>
        <v>45</v>
      </c>
      <c r="O1585" s="202">
        <f t="shared" si="196"/>
        <v>0</v>
      </c>
      <c r="P1585" s="199">
        <f t="shared" si="193"/>
        <v>0</v>
      </c>
      <c r="Q1585" s="203">
        <f t="shared" si="197"/>
        <v>21.400000000001441</v>
      </c>
      <c r="R1585" s="203" t="s">
        <v>55</v>
      </c>
      <c r="S1585" s="201">
        <f t="shared" si="198"/>
        <v>-1.4800514800514697E-2</v>
      </c>
    </row>
    <row r="1586" spans="1:19">
      <c r="A1586" s="196">
        <v>42269</v>
      </c>
      <c r="B1586" s="122">
        <v>15.12</v>
      </c>
      <c r="C1586" s="122">
        <v>15.36</v>
      </c>
      <c r="D1586" s="122">
        <v>14.65</v>
      </c>
      <c r="E1586" s="122">
        <v>14.98</v>
      </c>
      <c r="F1586" s="122">
        <v>12.725571</v>
      </c>
      <c r="G1586" s="197">
        <v>88800</v>
      </c>
      <c r="H1586" s="198">
        <f>IF(AND(E1585&gt;=H1585,E1586&gt;=E1585),E1585*(1+'Trading Model'!$E$13),IF(AND(E1586&lt;E1585,E1585&gt;=H1585),E1586*(1+'Trading Model'!$E$13),H1585))</f>
        <v>27.698998950000004</v>
      </c>
      <c r="I1586" s="198">
        <f>IF(K1586&gt;0,E1586*(1-'Trading Model'!E1596),IF(E1586&lt;I1585,I1585*(1-'Trading Model'!$E$14),I1585))</f>
        <v>8.9840153609188427</v>
      </c>
      <c r="J1586" s="198">
        <f t="shared" si="199"/>
        <v>0</v>
      </c>
      <c r="K1586" s="198">
        <f t="shared" si="194"/>
        <v>0</v>
      </c>
      <c r="L1586" s="198">
        <f>COUNTIF(J1586:K1586,"&lt;&gt;0")*-'Trading Model'!$E$15</f>
        <v>0</v>
      </c>
      <c r="M1586" s="198">
        <f t="shared" si="192"/>
        <v>0</v>
      </c>
      <c r="N1586" s="75">
        <f t="shared" si="195"/>
        <v>45</v>
      </c>
      <c r="O1586" s="202">
        <f t="shared" si="196"/>
        <v>0</v>
      </c>
      <c r="P1586" s="199">
        <f t="shared" si="193"/>
        <v>0</v>
      </c>
      <c r="Q1586" s="203">
        <f t="shared" si="197"/>
        <v>21.30000000000144</v>
      </c>
      <c r="R1586" s="203" t="s">
        <v>55</v>
      </c>
      <c r="S1586" s="201">
        <f t="shared" si="198"/>
        <v>-2.1554539516655757E-2</v>
      </c>
    </row>
    <row r="1587" spans="1:19">
      <c r="A1587" s="196">
        <v>42270</v>
      </c>
      <c r="B1587" s="122">
        <v>14.96</v>
      </c>
      <c r="C1587" s="122">
        <v>15.28</v>
      </c>
      <c r="D1587" s="122">
        <v>14.81</v>
      </c>
      <c r="E1587" s="122">
        <v>15.07</v>
      </c>
      <c r="F1587" s="122">
        <v>12.802027000000001</v>
      </c>
      <c r="G1587" s="197">
        <v>85000</v>
      </c>
      <c r="H1587" s="198">
        <f>IF(AND(E1586&gt;=H1586,E1587&gt;=E1586),E1586*(1+'Trading Model'!$E$13),IF(AND(E1587&lt;E1586,E1586&gt;=H1586),E1587*(1+'Trading Model'!$E$13),H1586))</f>
        <v>27.698998950000004</v>
      </c>
      <c r="I1587" s="198">
        <f>IF(K1587&gt;0,E1587*(1-'Trading Model'!E1597),IF(E1587&lt;I1586,I1586*(1-'Trading Model'!$E$14),I1586))</f>
        <v>8.9840153609188427</v>
      </c>
      <c r="J1587" s="198">
        <f t="shared" si="199"/>
        <v>0</v>
      </c>
      <c r="K1587" s="198">
        <f t="shared" si="194"/>
        <v>0</v>
      </c>
      <c r="L1587" s="198">
        <f>COUNTIF(J1587:K1587,"&lt;&gt;0")*-'Trading Model'!$E$15</f>
        <v>0</v>
      </c>
      <c r="M1587" s="198">
        <f t="shared" si="192"/>
        <v>0</v>
      </c>
      <c r="N1587" s="75">
        <f t="shared" si="195"/>
        <v>45</v>
      </c>
      <c r="O1587" s="202">
        <f t="shared" si="196"/>
        <v>0</v>
      </c>
      <c r="P1587" s="199">
        <f t="shared" si="193"/>
        <v>0</v>
      </c>
      <c r="Q1587" s="203">
        <f t="shared" si="197"/>
        <v>21.30000000000144</v>
      </c>
      <c r="R1587" s="201">
        <f>E1587/B1583-1</f>
        <v>-4.3781725888324852E-2</v>
      </c>
      <c r="S1587" s="201">
        <f t="shared" si="198"/>
        <v>6.0080106809079492E-3</v>
      </c>
    </row>
    <row r="1588" spans="1:19">
      <c r="A1588" s="196">
        <v>42271</v>
      </c>
      <c r="B1588" s="122">
        <v>14.82</v>
      </c>
      <c r="C1588" s="122">
        <v>15.05</v>
      </c>
      <c r="D1588" s="122">
        <v>14.67</v>
      </c>
      <c r="E1588" s="122">
        <v>14.93</v>
      </c>
      <c r="F1588" s="122">
        <v>12.683096000000001</v>
      </c>
      <c r="G1588" s="197">
        <v>77500</v>
      </c>
      <c r="H1588" s="198">
        <f>IF(AND(E1587&gt;=H1587,E1588&gt;=E1587),E1587*(1+'Trading Model'!$E$13),IF(AND(E1588&lt;E1587,E1587&gt;=H1587),E1588*(1+'Trading Model'!$E$13),H1587))</f>
        <v>27.698998950000004</v>
      </c>
      <c r="I1588" s="198">
        <f>IF(K1588&gt;0,E1588*(1-'Trading Model'!E1598),IF(E1588&lt;I1587,I1587*(1-'Trading Model'!$E$14),I1587))</f>
        <v>8.9840153609188427</v>
      </c>
      <c r="J1588" s="198">
        <f t="shared" si="199"/>
        <v>0</v>
      </c>
      <c r="K1588" s="198">
        <f t="shared" si="194"/>
        <v>0</v>
      </c>
      <c r="L1588" s="198">
        <f>COUNTIF(J1588:K1588,"&lt;&gt;0")*-'Trading Model'!$E$15</f>
        <v>0</v>
      </c>
      <c r="M1588" s="198">
        <f t="shared" si="192"/>
        <v>0</v>
      </c>
      <c r="N1588" s="75">
        <f t="shared" si="195"/>
        <v>45</v>
      </c>
      <c r="O1588" s="202">
        <f t="shared" si="196"/>
        <v>0</v>
      </c>
      <c r="P1588" s="199">
        <f t="shared" si="193"/>
        <v>0</v>
      </c>
      <c r="Q1588" s="203">
        <f t="shared" si="197"/>
        <v>21.200000000001438</v>
      </c>
      <c r="R1588" s="160" t="s">
        <v>55</v>
      </c>
      <c r="S1588" s="201">
        <f t="shared" si="198"/>
        <v>-9.28998009289983E-3</v>
      </c>
    </row>
    <row r="1589" spans="1:19">
      <c r="A1589" s="196">
        <v>42272</v>
      </c>
      <c r="B1589" s="122">
        <v>15.11</v>
      </c>
      <c r="C1589" s="122">
        <v>15.29</v>
      </c>
      <c r="D1589" s="122">
        <v>14.67</v>
      </c>
      <c r="E1589" s="122">
        <v>14.93</v>
      </c>
      <c r="F1589" s="122">
        <v>12.683096000000001</v>
      </c>
      <c r="G1589" s="197">
        <v>133400</v>
      </c>
      <c r="H1589" s="198">
        <f>IF(AND(E1588&gt;=H1588,E1589&gt;=E1588),E1588*(1+'Trading Model'!$E$13),IF(AND(E1589&lt;E1588,E1588&gt;=H1588),E1589*(1+'Trading Model'!$E$13),H1588))</f>
        <v>27.698998950000004</v>
      </c>
      <c r="I1589" s="198">
        <f>IF(K1589&gt;0,E1589*(1-'Trading Model'!E1599),IF(E1589&lt;I1588,I1588*(1-'Trading Model'!$E$14),I1588))</f>
        <v>8.9840153609188427</v>
      </c>
      <c r="J1589" s="198">
        <f t="shared" si="199"/>
        <v>0</v>
      </c>
      <c r="K1589" s="198">
        <f t="shared" si="194"/>
        <v>0</v>
      </c>
      <c r="L1589" s="198">
        <f>COUNTIF(J1589:K1589,"&lt;&gt;0")*-'Trading Model'!$E$15</f>
        <v>0</v>
      </c>
      <c r="M1589" s="198">
        <f t="shared" si="192"/>
        <v>0</v>
      </c>
      <c r="N1589" s="75">
        <f t="shared" si="195"/>
        <v>45</v>
      </c>
      <c r="O1589" s="202">
        <f t="shared" si="196"/>
        <v>0</v>
      </c>
      <c r="P1589" s="199">
        <f t="shared" si="193"/>
        <v>0</v>
      </c>
      <c r="Q1589" s="203">
        <f t="shared" si="197"/>
        <v>21.200000000001438</v>
      </c>
      <c r="R1589" s="203" t="s">
        <v>55</v>
      </c>
      <c r="S1589" s="201">
        <f t="shared" si="198"/>
        <v>0</v>
      </c>
    </row>
    <row r="1590" spans="1:19">
      <c r="A1590" s="196">
        <v>42275</v>
      </c>
      <c r="B1590" s="122">
        <v>14.55</v>
      </c>
      <c r="C1590" s="122">
        <v>14.57</v>
      </c>
      <c r="D1590" s="122">
        <v>13.36</v>
      </c>
      <c r="E1590" s="122">
        <v>13.85</v>
      </c>
      <c r="F1590" s="122">
        <v>11.765632</v>
      </c>
      <c r="G1590" s="197">
        <v>239400</v>
      </c>
      <c r="H1590" s="198">
        <f>IF(AND(E1589&gt;=H1589,E1590&gt;=E1589),E1589*(1+'Trading Model'!$E$13),IF(AND(E1590&lt;E1589,E1589&gt;=H1589),E1590*(1+'Trading Model'!$E$13),H1589))</f>
        <v>27.698998950000004</v>
      </c>
      <c r="I1590" s="198">
        <f>IF(K1590&gt;0,E1590*(1-'Trading Model'!E1600),IF(E1590&lt;I1589,I1589*(1-'Trading Model'!$E$14),I1589))</f>
        <v>8.9840153609188427</v>
      </c>
      <c r="J1590" s="198">
        <f t="shared" si="199"/>
        <v>0</v>
      </c>
      <c r="K1590" s="198">
        <f t="shared" si="194"/>
        <v>0</v>
      </c>
      <c r="L1590" s="198">
        <f>COUNTIF(J1590:K1590,"&lt;&gt;0")*-'Trading Model'!$E$15</f>
        <v>0</v>
      </c>
      <c r="M1590" s="198">
        <f t="shared" si="192"/>
        <v>0</v>
      </c>
      <c r="N1590" s="75">
        <f t="shared" si="195"/>
        <v>45</v>
      </c>
      <c r="O1590" s="202">
        <f t="shared" si="196"/>
        <v>0</v>
      </c>
      <c r="P1590" s="199">
        <f t="shared" si="193"/>
        <v>0</v>
      </c>
      <c r="Q1590" s="203">
        <f t="shared" si="197"/>
        <v>21.100000000001437</v>
      </c>
      <c r="R1590" s="203" t="s">
        <v>55</v>
      </c>
      <c r="S1590" s="201">
        <f t="shared" si="198"/>
        <v>-7.2337575351640981E-2</v>
      </c>
    </row>
    <row r="1591" spans="1:19">
      <c r="A1591" s="196">
        <v>42276</v>
      </c>
      <c r="B1591" s="122">
        <v>13.95</v>
      </c>
      <c r="C1591" s="122">
        <v>14.9</v>
      </c>
      <c r="D1591" s="122">
        <v>13.86</v>
      </c>
      <c r="E1591" s="122">
        <v>14.52</v>
      </c>
      <c r="F1591" s="122">
        <v>12.334799</v>
      </c>
      <c r="G1591" s="197">
        <v>106800</v>
      </c>
      <c r="H1591" s="198">
        <f>IF(AND(E1590&gt;=H1590,E1591&gt;=E1590),E1590*(1+'Trading Model'!$E$13),IF(AND(E1591&lt;E1590,E1590&gt;=H1590),E1591*(1+'Trading Model'!$E$13),H1590))</f>
        <v>27.698998950000004</v>
      </c>
      <c r="I1591" s="198">
        <f>IF(K1591&gt;0,E1591*(1-'Trading Model'!E1601),IF(E1591&lt;I1590,I1590*(1-'Trading Model'!$E$14),I1590))</f>
        <v>8.9840153609188427</v>
      </c>
      <c r="J1591" s="198">
        <f t="shared" si="199"/>
        <v>0</v>
      </c>
      <c r="K1591" s="198">
        <f t="shared" si="194"/>
        <v>0</v>
      </c>
      <c r="L1591" s="198">
        <f>COUNTIF(J1591:K1591,"&lt;&gt;0")*-'Trading Model'!$E$15</f>
        <v>0</v>
      </c>
      <c r="M1591" s="198">
        <f t="shared" si="192"/>
        <v>0</v>
      </c>
      <c r="N1591" s="75">
        <f t="shared" si="195"/>
        <v>45</v>
      </c>
      <c r="O1591" s="202">
        <f t="shared" si="196"/>
        <v>0</v>
      </c>
      <c r="P1591" s="199">
        <f t="shared" si="193"/>
        <v>0</v>
      </c>
      <c r="Q1591" s="203">
        <f t="shared" si="197"/>
        <v>21.100000000001437</v>
      </c>
      <c r="R1591" s="203" t="s">
        <v>55</v>
      </c>
      <c r="S1591" s="201">
        <f t="shared" si="198"/>
        <v>4.8375451263537927E-2</v>
      </c>
    </row>
    <row r="1592" spans="1:19">
      <c r="A1592" s="196">
        <v>42277</v>
      </c>
      <c r="B1592" s="122">
        <v>14.76</v>
      </c>
      <c r="C1592" s="122">
        <v>14.99</v>
      </c>
      <c r="D1592" s="122">
        <v>14.41</v>
      </c>
      <c r="E1592" s="122">
        <v>14.56</v>
      </c>
      <c r="F1592" s="122">
        <v>12.368779999999999</v>
      </c>
      <c r="G1592" s="197">
        <v>116900</v>
      </c>
      <c r="H1592" s="198">
        <f>IF(AND(E1591&gt;=H1591,E1592&gt;=E1591),E1591*(1+'Trading Model'!$E$13),IF(AND(E1592&lt;E1591,E1591&gt;=H1591),E1592*(1+'Trading Model'!$E$13),H1591))</f>
        <v>27.698998950000004</v>
      </c>
      <c r="I1592" s="198">
        <f>IF(K1592&gt;0,E1592*(1-'Trading Model'!E1602),IF(E1592&lt;I1591,I1591*(1-'Trading Model'!$E$14),I1591))</f>
        <v>8.9840153609188427</v>
      </c>
      <c r="J1592" s="198">
        <f t="shared" si="199"/>
        <v>0</v>
      </c>
      <c r="K1592" s="198">
        <f t="shared" si="194"/>
        <v>0</v>
      </c>
      <c r="L1592" s="198">
        <f>COUNTIF(J1592:K1592,"&lt;&gt;0")*-'Trading Model'!$E$15</f>
        <v>0</v>
      </c>
      <c r="M1592" s="198">
        <f t="shared" si="192"/>
        <v>0</v>
      </c>
      <c r="N1592" s="75">
        <f t="shared" si="195"/>
        <v>45</v>
      </c>
      <c r="O1592" s="202">
        <f t="shared" si="196"/>
        <v>0</v>
      </c>
      <c r="P1592" s="199">
        <f t="shared" si="193"/>
        <v>0</v>
      </c>
      <c r="Q1592" s="203">
        <f t="shared" si="197"/>
        <v>21.100000000001437</v>
      </c>
      <c r="R1592" s="201">
        <f>E1592/B1588-1</f>
        <v>-1.7543859649122751E-2</v>
      </c>
      <c r="S1592" s="201">
        <f t="shared" si="198"/>
        <v>2.7548209366392573E-3</v>
      </c>
    </row>
    <row r="1593" spans="1:19">
      <c r="A1593" s="196">
        <v>42278</v>
      </c>
      <c r="B1593" s="122">
        <v>14.52</v>
      </c>
      <c r="C1593" s="122">
        <v>14.65</v>
      </c>
      <c r="D1593" s="122">
        <v>14.06</v>
      </c>
      <c r="E1593" s="122">
        <v>14.33</v>
      </c>
      <c r="F1593" s="122">
        <v>12.173393000000001</v>
      </c>
      <c r="G1593" s="197">
        <v>90000</v>
      </c>
      <c r="H1593" s="198">
        <f>IF(AND(E1592&gt;=H1592,E1593&gt;=E1592),E1592*(1+'Trading Model'!$E$13),IF(AND(E1593&lt;E1592,E1592&gt;=H1592),E1593*(1+'Trading Model'!$E$13),H1592))</f>
        <v>27.698998950000004</v>
      </c>
      <c r="I1593" s="198">
        <f>IF(K1593&gt;0,E1593*(1-'Trading Model'!E1603),IF(E1593&lt;I1592,I1592*(1-'Trading Model'!$E$14),I1592))</f>
        <v>8.9840153609188427</v>
      </c>
      <c r="J1593" s="198">
        <f t="shared" si="199"/>
        <v>0</v>
      </c>
      <c r="K1593" s="198">
        <f t="shared" si="194"/>
        <v>0</v>
      </c>
      <c r="L1593" s="198">
        <f>COUNTIF(J1593:K1593,"&lt;&gt;0")*-'Trading Model'!$E$15</f>
        <v>0</v>
      </c>
      <c r="M1593" s="198">
        <f t="shared" si="192"/>
        <v>0</v>
      </c>
      <c r="N1593" s="75">
        <f t="shared" si="195"/>
        <v>45</v>
      </c>
      <c r="O1593" s="202">
        <f t="shared" si="196"/>
        <v>0</v>
      </c>
      <c r="P1593" s="199">
        <f t="shared" si="193"/>
        <v>0</v>
      </c>
      <c r="Q1593" s="203">
        <f t="shared" si="197"/>
        <v>21.000000000001435</v>
      </c>
      <c r="R1593" s="160" t="s">
        <v>55</v>
      </c>
      <c r="S1593" s="201">
        <f t="shared" si="198"/>
        <v>-1.5796703296703352E-2</v>
      </c>
    </row>
    <row r="1594" spans="1:19">
      <c r="A1594" s="196">
        <v>42279</v>
      </c>
      <c r="B1594" s="122">
        <v>14.02</v>
      </c>
      <c r="C1594" s="122">
        <v>14.2</v>
      </c>
      <c r="D1594" s="122">
        <v>13.55</v>
      </c>
      <c r="E1594" s="122">
        <v>13.9</v>
      </c>
      <c r="F1594" s="122">
        <v>11.808106</v>
      </c>
      <c r="G1594" s="197">
        <v>244500</v>
      </c>
      <c r="H1594" s="198">
        <f>IF(AND(E1593&gt;=H1593,E1594&gt;=E1593),E1593*(1+'Trading Model'!$E$13),IF(AND(E1594&lt;E1593,E1593&gt;=H1593),E1594*(1+'Trading Model'!$E$13),H1593))</f>
        <v>27.698998950000004</v>
      </c>
      <c r="I1594" s="198">
        <f>IF(K1594&gt;0,E1594*(1-'Trading Model'!E1604),IF(E1594&lt;I1593,I1593*(1-'Trading Model'!$E$14),I1593))</f>
        <v>8.9840153609188427</v>
      </c>
      <c r="J1594" s="198">
        <f t="shared" si="199"/>
        <v>0</v>
      </c>
      <c r="K1594" s="198">
        <f t="shared" si="194"/>
        <v>0</v>
      </c>
      <c r="L1594" s="198">
        <f>COUNTIF(J1594:K1594,"&lt;&gt;0")*-'Trading Model'!$E$15</f>
        <v>0</v>
      </c>
      <c r="M1594" s="198">
        <f t="shared" si="192"/>
        <v>0</v>
      </c>
      <c r="N1594" s="75">
        <f t="shared" si="195"/>
        <v>45</v>
      </c>
      <c r="O1594" s="202">
        <f t="shared" si="196"/>
        <v>0</v>
      </c>
      <c r="P1594" s="199">
        <f t="shared" si="193"/>
        <v>0</v>
      </c>
      <c r="Q1594" s="203">
        <f t="shared" si="197"/>
        <v>20.900000000001434</v>
      </c>
      <c r="R1594" s="203" t="s">
        <v>55</v>
      </c>
      <c r="S1594" s="201">
        <f t="shared" si="198"/>
        <v>-3.000697836706212E-2</v>
      </c>
    </row>
    <row r="1595" spans="1:19">
      <c r="A1595" s="196">
        <v>42282</v>
      </c>
      <c r="B1595" s="122">
        <v>14.04</v>
      </c>
      <c r="C1595" s="122">
        <v>14.58</v>
      </c>
      <c r="D1595" s="122">
        <v>14.04</v>
      </c>
      <c r="E1595" s="122">
        <v>14.58</v>
      </c>
      <c r="F1595" s="122">
        <v>12.385769</v>
      </c>
      <c r="G1595" s="197">
        <v>86800</v>
      </c>
      <c r="H1595" s="198">
        <f>IF(AND(E1594&gt;=H1594,E1595&gt;=E1594),E1594*(1+'Trading Model'!$E$13),IF(AND(E1595&lt;E1594,E1594&gt;=H1594),E1595*(1+'Trading Model'!$E$13),H1594))</f>
        <v>27.698998950000004</v>
      </c>
      <c r="I1595" s="198">
        <f>IF(K1595&gt;0,E1595*(1-'Trading Model'!E1605),IF(E1595&lt;I1594,I1594*(1-'Trading Model'!$E$14),I1594))</f>
        <v>8.9840153609188427</v>
      </c>
      <c r="J1595" s="198">
        <f t="shared" si="199"/>
        <v>0</v>
      </c>
      <c r="K1595" s="198">
        <f t="shared" si="194"/>
        <v>0</v>
      </c>
      <c r="L1595" s="198">
        <f>COUNTIF(J1595:K1595,"&lt;&gt;0")*-'Trading Model'!$E$15</f>
        <v>0</v>
      </c>
      <c r="M1595" s="198">
        <f t="shared" si="192"/>
        <v>0</v>
      </c>
      <c r="N1595" s="75">
        <f t="shared" si="195"/>
        <v>45</v>
      </c>
      <c r="O1595" s="202">
        <f t="shared" si="196"/>
        <v>0</v>
      </c>
      <c r="P1595" s="199">
        <f t="shared" si="193"/>
        <v>0</v>
      </c>
      <c r="Q1595" s="203">
        <f t="shared" si="197"/>
        <v>20.900000000001434</v>
      </c>
      <c r="R1595" s="203" t="s">
        <v>55</v>
      </c>
      <c r="S1595" s="201">
        <f t="shared" si="198"/>
        <v>4.8920863309352525E-2</v>
      </c>
    </row>
    <row r="1596" spans="1:19">
      <c r="A1596" s="196">
        <v>42283</v>
      </c>
      <c r="B1596" s="122">
        <v>14.61</v>
      </c>
      <c r="C1596" s="122">
        <v>14.65</v>
      </c>
      <c r="D1596" s="122">
        <v>14.35</v>
      </c>
      <c r="E1596" s="122">
        <v>14.48</v>
      </c>
      <c r="F1596" s="122">
        <v>12.300819000000001</v>
      </c>
      <c r="G1596" s="197">
        <v>157100</v>
      </c>
      <c r="H1596" s="198">
        <f>IF(AND(E1595&gt;=H1595,E1596&gt;=E1595),E1595*(1+'Trading Model'!$E$13),IF(AND(E1596&lt;E1595,E1595&gt;=H1595),E1596*(1+'Trading Model'!$E$13),H1595))</f>
        <v>27.698998950000004</v>
      </c>
      <c r="I1596" s="198">
        <f>IF(K1596&gt;0,E1596*(1-'Trading Model'!E1606),IF(E1596&lt;I1595,I1595*(1-'Trading Model'!$E$14),I1595))</f>
        <v>8.9840153609188427</v>
      </c>
      <c r="J1596" s="198">
        <f t="shared" si="199"/>
        <v>0</v>
      </c>
      <c r="K1596" s="198">
        <f t="shared" si="194"/>
        <v>0</v>
      </c>
      <c r="L1596" s="198">
        <f>COUNTIF(J1596:K1596,"&lt;&gt;0")*-'Trading Model'!$E$15</f>
        <v>0</v>
      </c>
      <c r="M1596" s="198">
        <f t="shared" si="192"/>
        <v>0</v>
      </c>
      <c r="N1596" s="75">
        <f t="shared" si="195"/>
        <v>45</v>
      </c>
      <c r="O1596" s="202">
        <f t="shared" si="196"/>
        <v>0</v>
      </c>
      <c r="P1596" s="199">
        <f t="shared" si="193"/>
        <v>0</v>
      </c>
      <c r="Q1596" s="203">
        <f t="shared" si="197"/>
        <v>20.800000000001432</v>
      </c>
      <c r="R1596" s="203" t="s">
        <v>55</v>
      </c>
      <c r="S1596" s="201">
        <f t="shared" si="198"/>
        <v>-6.8587105624142719E-3</v>
      </c>
    </row>
    <row r="1597" spans="1:19">
      <c r="A1597" s="196">
        <v>42284</v>
      </c>
      <c r="B1597" s="122">
        <v>14.67</v>
      </c>
      <c r="C1597" s="122">
        <v>14.76</v>
      </c>
      <c r="D1597" s="122">
        <v>14.07</v>
      </c>
      <c r="E1597" s="122">
        <v>14.4</v>
      </c>
      <c r="F1597" s="122">
        <v>12.232858999999999</v>
      </c>
      <c r="G1597" s="197">
        <v>348000</v>
      </c>
      <c r="H1597" s="198">
        <f>IF(AND(E1596&gt;=H1596,E1597&gt;=E1596),E1596*(1+'Trading Model'!$E$13),IF(AND(E1597&lt;E1596,E1596&gt;=H1596),E1597*(1+'Trading Model'!$E$13),H1596))</f>
        <v>27.698998950000004</v>
      </c>
      <c r="I1597" s="198">
        <f>IF(K1597&gt;0,E1597*(1-'Trading Model'!E1607),IF(E1597&lt;I1596,I1596*(1-'Trading Model'!$E$14),I1596))</f>
        <v>8.9840153609188427</v>
      </c>
      <c r="J1597" s="198">
        <f t="shared" si="199"/>
        <v>0</v>
      </c>
      <c r="K1597" s="198">
        <f t="shared" si="194"/>
        <v>0</v>
      </c>
      <c r="L1597" s="198">
        <f>COUNTIF(J1597:K1597,"&lt;&gt;0")*-'Trading Model'!$E$15</f>
        <v>0</v>
      </c>
      <c r="M1597" s="198">
        <f t="shared" si="192"/>
        <v>0</v>
      </c>
      <c r="N1597" s="75">
        <f t="shared" si="195"/>
        <v>45</v>
      </c>
      <c r="O1597" s="202">
        <f t="shared" si="196"/>
        <v>0</v>
      </c>
      <c r="P1597" s="199">
        <f t="shared" si="193"/>
        <v>0</v>
      </c>
      <c r="Q1597" s="203">
        <f t="shared" si="197"/>
        <v>20.700000000001431</v>
      </c>
      <c r="R1597" s="201">
        <f>E1597/B1593-1</f>
        <v>-8.2644628099173278E-3</v>
      </c>
      <c r="S1597" s="201">
        <f t="shared" si="198"/>
        <v>-5.5248618784530246E-3</v>
      </c>
    </row>
    <row r="1598" spans="1:19">
      <c r="A1598" s="196">
        <v>42285</v>
      </c>
      <c r="B1598" s="122">
        <v>14.63</v>
      </c>
      <c r="C1598" s="122">
        <v>14.82</v>
      </c>
      <c r="D1598" s="122">
        <v>14.17</v>
      </c>
      <c r="E1598" s="122">
        <v>14.56</v>
      </c>
      <c r="F1598" s="122">
        <v>12.368779999999999</v>
      </c>
      <c r="G1598" s="197">
        <v>186400</v>
      </c>
      <c r="H1598" s="198">
        <f>IF(AND(E1597&gt;=H1597,E1598&gt;=E1597),E1597*(1+'Trading Model'!$E$13),IF(AND(E1598&lt;E1597,E1597&gt;=H1597),E1598*(1+'Trading Model'!$E$13),H1597))</f>
        <v>27.698998950000004</v>
      </c>
      <c r="I1598" s="198">
        <f>IF(K1598&gt;0,E1598*(1-'Trading Model'!E1608),IF(E1598&lt;I1597,I1597*(1-'Trading Model'!$E$14),I1597))</f>
        <v>8.9840153609188427</v>
      </c>
      <c r="J1598" s="198">
        <f t="shared" si="199"/>
        <v>0</v>
      </c>
      <c r="K1598" s="198">
        <f t="shared" si="194"/>
        <v>0</v>
      </c>
      <c r="L1598" s="198">
        <f>COUNTIF(J1598:K1598,"&lt;&gt;0")*-'Trading Model'!$E$15</f>
        <v>0</v>
      </c>
      <c r="M1598" s="198">
        <f t="shared" si="192"/>
        <v>0</v>
      </c>
      <c r="N1598" s="75">
        <f t="shared" si="195"/>
        <v>45</v>
      </c>
      <c r="O1598" s="202">
        <f t="shared" si="196"/>
        <v>0</v>
      </c>
      <c r="P1598" s="199">
        <f t="shared" si="193"/>
        <v>0</v>
      </c>
      <c r="Q1598" s="203">
        <f t="shared" si="197"/>
        <v>20.700000000001431</v>
      </c>
      <c r="R1598" s="160" t="s">
        <v>55</v>
      </c>
      <c r="S1598" s="201">
        <f t="shared" si="198"/>
        <v>1.1111111111111072E-2</v>
      </c>
    </row>
    <row r="1599" spans="1:19">
      <c r="A1599" s="196">
        <v>42286</v>
      </c>
      <c r="B1599" s="122">
        <v>14.6</v>
      </c>
      <c r="C1599" s="122">
        <v>15.11</v>
      </c>
      <c r="D1599" s="122">
        <v>14.6</v>
      </c>
      <c r="E1599" s="122">
        <v>14.81</v>
      </c>
      <c r="F1599" s="122">
        <v>12.581156999999999</v>
      </c>
      <c r="G1599" s="197">
        <v>139000</v>
      </c>
      <c r="H1599" s="198">
        <f>IF(AND(E1598&gt;=H1598,E1599&gt;=E1598),E1598*(1+'Trading Model'!$E$13),IF(AND(E1599&lt;E1598,E1598&gt;=H1598),E1599*(1+'Trading Model'!$E$13),H1598))</f>
        <v>27.698998950000004</v>
      </c>
      <c r="I1599" s="198">
        <f>IF(K1599&gt;0,E1599*(1-'Trading Model'!E1609),IF(E1599&lt;I1598,I1598*(1-'Trading Model'!$E$14),I1598))</f>
        <v>8.9840153609188427</v>
      </c>
      <c r="J1599" s="198">
        <f t="shared" si="199"/>
        <v>0</v>
      </c>
      <c r="K1599" s="198">
        <f t="shared" si="194"/>
        <v>0</v>
      </c>
      <c r="L1599" s="198">
        <f>COUNTIF(J1599:K1599,"&lt;&gt;0")*-'Trading Model'!$E$15</f>
        <v>0</v>
      </c>
      <c r="M1599" s="198">
        <f t="shared" si="192"/>
        <v>0</v>
      </c>
      <c r="N1599" s="75">
        <f t="shared" si="195"/>
        <v>45</v>
      </c>
      <c r="O1599" s="202">
        <f t="shared" si="196"/>
        <v>0</v>
      </c>
      <c r="P1599" s="199">
        <f t="shared" si="193"/>
        <v>0</v>
      </c>
      <c r="Q1599" s="203">
        <f t="shared" si="197"/>
        <v>20.700000000001431</v>
      </c>
      <c r="R1599" s="203" t="s">
        <v>55</v>
      </c>
      <c r="S1599" s="201">
        <f t="shared" si="198"/>
        <v>1.7170329670329609E-2</v>
      </c>
    </row>
    <row r="1600" spans="1:19">
      <c r="A1600" s="196">
        <v>42289</v>
      </c>
      <c r="B1600" s="122">
        <v>14.85</v>
      </c>
      <c r="C1600" s="122">
        <v>15.16</v>
      </c>
      <c r="D1600" s="122">
        <v>14.77</v>
      </c>
      <c r="E1600" s="122">
        <v>14.98</v>
      </c>
      <c r="F1600" s="122">
        <v>12.725571</v>
      </c>
      <c r="G1600" s="197">
        <v>154600</v>
      </c>
      <c r="H1600" s="198">
        <f>IF(AND(E1599&gt;=H1599,E1600&gt;=E1599),E1599*(1+'Trading Model'!$E$13),IF(AND(E1600&lt;E1599,E1599&gt;=H1599),E1600*(1+'Trading Model'!$E$13),H1599))</f>
        <v>27.698998950000004</v>
      </c>
      <c r="I1600" s="198">
        <f>IF(K1600&gt;0,E1600*(1-'Trading Model'!E1610),IF(E1600&lt;I1599,I1599*(1-'Trading Model'!$E$14),I1599))</f>
        <v>8.9840153609188427</v>
      </c>
      <c r="J1600" s="198">
        <f t="shared" si="199"/>
        <v>0</v>
      </c>
      <c r="K1600" s="198">
        <f t="shared" si="194"/>
        <v>0</v>
      </c>
      <c r="L1600" s="198">
        <f>COUNTIF(J1600:K1600,"&lt;&gt;0")*-'Trading Model'!$E$15</f>
        <v>0</v>
      </c>
      <c r="M1600" s="198">
        <f t="shared" si="192"/>
        <v>0</v>
      </c>
      <c r="N1600" s="75">
        <f t="shared" si="195"/>
        <v>45</v>
      </c>
      <c r="O1600" s="202">
        <f t="shared" si="196"/>
        <v>0</v>
      </c>
      <c r="P1600" s="199">
        <f t="shared" si="193"/>
        <v>0</v>
      </c>
      <c r="Q1600" s="203">
        <f t="shared" si="197"/>
        <v>20.700000000001431</v>
      </c>
      <c r="R1600" s="203" t="s">
        <v>55</v>
      </c>
      <c r="S1600" s="201">
        <f t="shared" si="198"/>
        <v>1.1478730587440866E-2</v>
      </c>
    </row>
    <row r="1601" spans="1:19">
      <c r="A1601" s="196">
        <v>42290</v>
      </c>
      <c r="B1601" s="122">
        <v>14.88</v>
      </c>
      <c r="C1601" s="122">
        <v>15.1</v>
      </c>
      <c r="D1601" s="122">
        <v>14.54</v>
      </c>
      <c r="E1601" s="122">
        <v>14.66</v>
      </c>
      <c r="F1601" s="122">
        <v>12.45373</v>
      </c>
      <c r="G1601" s="197">
        <v>80700</v>
      </c>
      <c r="H1601" s="198">
        <f>IF(AND(E1600&gt;=H1600,E1601&gt;=E1600),E1600*(1+'Trading Model'!$E$13),IF(AND(E1601&lt;E1600,E1600&gt;=H1600),E1601*(1+'Trading Model'!$E$13),H1600))</f>
        <v>27.698998950000004</v>
      </c>
      <c r="I1601" s="198">
        <f>IF(K1601&gt;0,E1601*(1-'Trading Model'!E1611),IF(E1601&lt;I1600,I1600*(1-'Trading Model'!$E$14),I1600))</f>
        <v>8.9840153609188427</v>
      </c>
      <c r="J1601" s="198">
        <f t="shared" si="199"/>
        <v>0</v>
      </c>
      <c r="K1601" s="198">
        <f t="shared" si="194"/>
        <v>0</v>
      </c>
      <c r="L1601" s="198">
        <f>COUNTIF(J1601:K1601,"&lt;&gt;0")*-'Trading Model'!$E$15</f>
        <v>0</v>
      </c>
      <c r="M1601" s="198">
        <f t="shared" si="192"/>
        <v>0</v>
      </c>
      <c r="N1601" s="75">
        <f t="shared" si="195"/>
        <v>45</v>
      </c>
      <c r="O1601" s="202">
        <f t="shared" si="196"/>
        <v>0</v>
      </c>
      <c r="P1601" s="199">
        <f t="shared" si="193"/>
        <v>0</v>
      </c>
      <c r="Q1601" s="203">
        <f t="shared" si="197"/>
        <v>20.60000000000143</v>
      </c>
      <c r="R1601" s="203" t="s">
        <v>55</v>
      </c>
      <c r="S1601" s="201">
        <f t="shared" si="198"/>
        <v>-2.1361815754339153E-2</v>
      </c>
    </row>
    <row r="1602" spans="1:19">
      <c r="A1602" s="196">
        <v>42291</v>
      </c>
      <c r="B1602" s="122">
        <v>14.6</v>
      </c>
      <c r="C1602" s="122">
        <v>15.22</v>
      </c>
      <c r="D1602" s="122">
        <v>14.48</v>
      </c>
      <c r="E1602" s="122">
        <v>14.87</v>
      </c>
      <c r="F1602" s="122">
        <v>12.632126</v>
      </c>
      <c r="G1602" s="197">
        <v>140400</v>
      </c>
      <c r="H1602" s="198">
        <f>IF(AND(E1601&gt;=H1601,E1602&gt;=E1601),E1601*(1+'Trading Model'!$E$13),IF(AND(E1602&lt;E1601,E1601&gt;=H1601),E1602*(1+'Trading Model'!$E$13),H1601))</f>
        <v>27.698998950000004</v>
      </c>
      <c r="I1602" s="198">
        <f>IF(K1602&gt;0,E1602*(1-'Trading Model'!E1612),IF(E1602&lt;I1601,I1601*(1-'Trading Model'!$E$14),I1601))</f>
        <v>8.9840153609188427</v>
      </c>
      <c r="J1602" s="198">
        <f t="shared" si="199"/>
        <v>0</v>
      </c>
      <c r="K1602" s="198">
        <f t="shared" si="194"/>
        <v>0</v>
      </c>
      <c r="L1602" s="198">
        <f>COUNTIF(J1602:K1602,"&lt;&gt;0")*-'Trading Model'!$E$15</f>
        <v>0</v>
      </c>
      <c r="M1602" s="198">
        <f t="shared" si="192"/>
        <v>0</v>
      </c>
      <c r="N1602" s="75">
        <f t="shared" si="195"/>
        <v>45</v>
      </c>
      <c r="O1602" s="202">
        <f t="shared" si="196"/>
        <v>0</v>
      </c>
      <c r="P1602" s="199">
        <f t="shared" si="193"/>
        <v>0</v>
      </c>
      <c r="Q1602" s="203">
        <f t="shared" si="197"/>
        <v>20.60000000000143</v>
      </c>
      <c r="R1602" s="201">
        <f>E1602/B1598-1</f>
        <v>1.6404647983595311E-2</v>
      </c>
      <c r="S1602" s="201">
        <f t="shared" si="198"/>
        <v>1.4324693042291781E-2</v>
      </c>
    </row>
    <row r="1603" spans="1:19">
      <c r="A1603" s="196">
        <v>42292</v>
      </c>
      <c r="B1603" s="122">
        <v>14.89</v>
      </c>
      <c r="C1603" s="122">
        <v>15.16</v>
      </c>
      <c r="D1603" s="122">
        <v>14.68</v>
      </c>
      <c r="E1603" s="122">
        <v>14.84</v>
      </c>
      <c r="F1603" s="122">
        <v>12.606641</v>
      </c>
      <c r="G1603" s="197">
        <v>103900</v>
      </c>
      <c r="H1603" s="198">
        <f>IF(AND(E1602&gt;=H1602,E1603&gt;=E1602),E1602*(1+'Trading Model'!$E$13),IF(AND(E1603&lt;E1602,E1602&gt;=H1602),E1603*(1+'Trading Model'!$E$13),H1602))</f>
        <v>27.698998950000004</v>
      </c>
      <c r="I1603" s="198">
        <f>IF(K1603&gt;0,E1603*(1-'Trading Model'!E1613),IF(E1603&lt;I1602,I1602*(1-'Trading Model'!$E$14),I1602))</f>
        <v>8.9840153609188427</v>
      </c>
      <c r="J1603" s="198">
        <f t="shared" si="199"/>
        <v>0</v>
      </c>
      <c r="K1603" s="198">
        <f t="shared" si="194"/>
        <v>0</v>
      </c>
      <c r="L1603" s="198">
        <f>COUNTIF(J1603:K1603,"&lt;&gt;0")*-'Trading Model'!$E$15</f>
        <v>0</v>
      </c>
      <c r="M1603" s="198">
        <f t="shared" ref="M1603:M1666" si="200">SUM(J1603:L1603)</f>
        <v>0</v>
      </c>
      <c r="N1603" s="75">
        <f t="shared" si="195"/>
        <v>45</v>
      </c>
      <c r="O1603" s="202">
        <f t="shared" si="196"/>
        <v>0</v>
      </c>
      <c r="P1603" s="199">
        <f t="shared" ref="P1603:P1666" si="201">IFERROR(VLOOKUP(A1603,Dividends,2,FALSE),$U$1)</f>
        <v>0</v>
      </c>
      <c r="Q1603" s="203">
        <f t="shared" si="197"/>
        <v>20.500000000001428</v>
      </c>
      <c r="R1603" s="160" t="s">
        <v>55</v>
      </c>
      <c r="S1603" s="201">
        <f t="shared" si="198"/>
        <v>-2.0174848688634395E-3</v>
      </c>
    </row>
    <row r="1604" spans="1:19">
      <c r="A1604" s="196">
        <v>42293</v>
      </c>
      <c r="B1604" s="122">
        <v>14.84</v>
      </c>
      <c r="C1604" s="122">
        <v>15.16</v>
      </c>
      <c r="D1604" s="122">
        <v>14.6</v>
      </c>
      <c r="E1604" s="122">
        <v>14.78</v>
      </c>
      <c r="F1604" s="122">
        <v>12.555669999999999</v>
      </c>
      <c r="G1604" s="197">
        <v>156000</v>
      </c>
      <c r="H1604" s="198">
        <f>IF(AND(E1603&gt;=H1603,E1604&gt;=E1603),E1603*(1+'Trading Model'!$E$13),IF(AND(E1604&lt;E1603,E1603&gt;=H1603),E1604*(1+'Trading Model'!$E$13),H1603))</f>
        <v>27.698998950000004</v>
      </c>
      <c r="I1604" s="198">
        <f>IF(K1604&gt;0,E1604*(1-'Trading Model'!E1614),IF(E1604&lt;I1603,I1603*(1-'Trading Model'!$E$14),I1603))</f>
        <v>8.9840153609188427</v>
      </c>
      <c r="J1604" s="198">
        <f t="shared" si="199"/>
        <v>0</v>
      </c>
      <c r="K1604" s="198">
        <f t="shared" ref="K1604:K1667" si="202">IF(E1604&gt;=H1604,E1604,0)</f>
        <v>0</v>
      </c>
      <c r="L1604" s="198">
        <f>COUNTIF(J1604:K1604,"&lt;&gt;0")*-'Trading Model'!$E$15</f>
        <v>0</v>
      </c>
      <c r="M1604" s="198">
        <f t="shared" si="200"/>
        <v>0</v>
      </c>
      <c r="N1604" s="75">
        <f t="shared" ref="N1604:N1667" si="203">IF(AND(J1604&lt;0,K1604&gt;0),N1603,(IF(J1604&lt;0,N1603+1,IF(K1604&gt;0,N1603+1,N1603))))</f>
        <v>45</v>
      </c>
      <c r="O1604" s="202">
        <f t="shared" ref="O1604:O1667" si="204">P1604</f>
        <v>0</v>
      </c>
      <c r="P1604" s="199">
        <f t="shared" si="201"/>
        <v>0</v>
      </c>
      <c r="Q1604" s="203">
        <f t="shared" ref="Q1604:Q1667" si="205">IF(E1604&lt;E1603,Q1603-0.1,Q1603)</f>
        <v>20.400000000001427</v>
      </c>
      <c r="R1604" s="203" t="s">
        <v>55</v>
      </c>
      <c r="S1604" s="201">
        <f t="shared" ref="S1604:S1667" si="206">E1604/E1603-1</f>
        <v>-4.0431266846361336E-3</v>
      </c>
    </row>
    <row r="1605" spans="1:19">
      <c r="A1605" s="196">
        <v>42296</v>
      </c>
      <c r="B1605" s="122">
        <v>14.69</v>
      </c>
      <c r="C1605" s="122">
        <v>14.91</v>
      </c>
      <c r="D1605" s="122">
        <v>14.36</v>
      </c>
      <c r="E1605" s="122">
        <v>14.5</v>
      </c>
      <c r="F1605" s="122">
        <v>12.317809</v>
      </c>
      <c r="G1605" s="197">
        <v>141500</v>
      </c>
      <c r="H1605" s="198">
        <f>IF(AND(E1604&gt;=H1604,E1605&gt;=E1604),E1604*(1+'Trading Model'!$E$13),IF(AND(E1605&lt;E1604,E1604&gt;=H1604),E1605*(1+'Trading Model'!$E$13),H1604))</f>
        <v>27.698998950000004</v>
      </c>
      <c r="I1605" s="198">
        <f>IF(K1605&gt;0,E1605*(1-'Trading Model'!E1615),IF(E1605&lt;I1604,I1604*(1-'Trading Model'!$E$14),I1604))</f>
        <v>8.9840153609188427</v>
      </c>
      <c r="J1605" s="198">
        <f t="shared" ref="J1605:J1668" si="207">IF(E1605&gt;=H1605,-E1605,IF(E1605&lt;=I1604,-E1605,0))</f>
        <v>0</v>
      </c>
      <c r="K1605" s="198">
        <f t="shared" si="202"/>
        <v>0</v>
      </c>
      <c r="L1605" s="198">
        <f>COUNTIF(J1605:K1605,"&lt;&gt;0")*-'Trading Model'!$E$15</f>
        <v>0</v>
      </c>
      <c r="M1605" s="198">
        <f t="shared" si="200"/>
        <v>0</v>
      </c>
      <c r="N1605" s="75">
        <f t="shared" si="203"/>
        <v>45</v>
      </c>
      <c r="O1605" s="202">
        <f t="shared" si="204"/>
        <v>0</v>
      </c>
      <c r="P1605" s="199">
        <f t="shared" si="201"/>
        <v>0</v>
      </c>
      <c r="Q1605" s="203">
        <f t="shared" si="205"/>
        <v>20.300000000001425</v>
      </c>
      <c r="R1605" s="203" t="s">
        <v>55</v>
      </c>
      <c r="S1605" s="201">
        <f t="shared" si="206"/>
        <v>-1.8944519621109546E-2</v>
      </c>
    </row>
    <row r="1606" spans="1:19">
      <c r="A1606" s="196">
        <v>42297</v>
      </c>
      <c r="B1606" s="122">
        <v>14.45</v>
      </c>
      <c r="C1606" s="122">
        <v>14.66</v>
      </c>
      <c r="D1606" s="122">
        <v>14.29</v>
      </c>
      <c r="E1606" s="122">
        <v>14.55</v>
      </c>
      <c r="F1606" s="122">
        <v>12.360283000000001</v>
      </c>
      <c r="G1606" s="197">
        <v>80800</v>
      </c>
      <c r="H1606" s="198">
        <f>IF(AND(E1605&gt;=H1605,E1606&gt;=E1605),E1605*(1+'Trading Model'!$E$13),IF(AND(E1606&lt;E1605,E1605&gt;=H1605),E1606*(1+'Trading Model'!$E$13),H1605))</f>
        <v>27.698998950000004</v>
      </c>
      <c r="I1606" s="198">
        <f>IF(K1606&gt;0,E1606*(1-'Trading Model'!E1616),IF(E1606&lt;I1605,I1605*(1-'Trading Model'!$E$14),I1605))</f>
        <v>8.9840153609188427</v>
      </c>
      <c r="J1606" s="198">
        <f t="shared" si="207"/>
        <v>0</v>
      </c>
      <c r="K1606" s="198">
        <f t="shared" si="202"/>
        <v>0</v>
      </c>
      <c r="L1606" s="198">
        <f>COUNTIF(J1606:K1606,"&lt;&gt;0")*-'Trading Model'!$E$15</f>
        <v>0</v>
      </c>
      <c r="M1606" s="198">
        <f t="shared" si="200"/>
        <v>0</v>
      </c>
      <c r="N1606" s="75">
        <f t="shared" si="203"/>
        <v>45</v>
      </c>
      <c r="O1606" s="202">
        <f t="shared" si="204"/>
        <v>0</v>
      </c>
      <c r="P1606" s="199">
        <f t="shared" si="201"/>
        <v>0</v>
      </c>
      <c r="Q1606" s="203">
        <f t="shared" si="205"/>
        <v>20.300000000001425</v>
      </c>
      <c r="R1606" s="203" t="s">
        <v>55</v>
      </c>
      <c r="S1606" s="201">
        <f t="shared" si="206"/>
        <v>3.4482758620690834E-3</v>
      </c>
    </row>
    <row r="1607" spans="1:19">
      <c r="A1607" s="196">
        <v>42298</v>
      </c>
      <c r="B1607" s="122">
        <v>14.54</v>
      </c>
      <c r="C1607" s="122">
        <v>14.61</v>
      </c>
      <c r="D1607" s="122">
        <v>14.16</v>
      </c>
      <c r="E1607" s="122">
        <v>14.23</v>
      </c>
      <c r="F1607" s="122">
        <v>12.088443</v>
      </c>
      <c r="G1607" s="197">
        <v>71000</v>
      </c>
      <c r="H1607" s="198">
        <f>IF(AND(E1606&gt;=H1606,E1607&gt;=E1606),E1606*(1+'Trading Model'!$E$13),IF(AND(E1607&lt;E1606,E1606&gt;=H1606),E1607*(1+'Trading Model'!$E$13),H1606))</f>
        <v>27.698998950000004</v>
      </c>
      <c r="I1607" s="198">
        <f>IF(K1607&gt;0,E1607*(1-'Trading Model'!E1617),IF(E1607&lt;I1606,I1606*(1-'Trading Model'!$E$14),I1606))</f>
        <v>8.9840153609188427</v>
      </c>
      <c r="J1607" s="198">
        <f t="shared" si="207"/>
        <v>0</v>
      </c>
      <c r="K1607" s="198">
        <f t="shared" si="202"/>
        <v>0</v>
      </c>
      <c r="L1607" s="198">
        <f>COUNTIF(J1607:K1607,"&lt;&gt;0")*-'Trading Model'!$E$15</f>
        <v>0</v>
      </c>
      <c r="M1607" s="198">
        <f t="shared" si="200"/>
        <v>0</v>
      </c>
      <c r="N1607" s="75">
        <f t="shared" si="203"/>
        <v>45</v>
      </c>
      <c r="O1607" s="202">
        <f t="shared" si="204"/>
        <v>0</v>
      </c>
      <c r="P1607" s="199">
        <f t="shared" si="201"/>
        <v>0</v>
      </c>
      <c r="Q1607" s="203">
        <f t="shared" si="205"/>
        <v>20.200000000001424</v>
      </c>
      <c r="R1607" s="201">
        <f>E1607/B1603-1</f>
        <v>-4.4325050369375396E-2</v>
      </c>
      <c r="S1607" s="201">
        <f t="shared" si="206"/>
        <v>-2.1993127147766356E-2</v>
      </c>
    </row>
    <row r="1608" spans="1:19">
      <c r="A1608" s="196">
        <v>42299</v>
      </c>
      <c r="B1608" s="122">
        <v>14.42</v>
      </c>
      <c r="C1608" s="122">
        <v>14.7</v>
      </c>
      <c r="D1608" s="122">
        <v>14.17</v>
      </c>
      <c r="E1608" s="122">
        <v>14.61</v>
      </c>
      <c r="F1608" s="122">
        <v>12.411254</v>
      </c>
      <c r="G1608" s="197">
        <v>124200</v>
      </c>
      <c r="H1608" s="198">
        <f>IF(AND(E1607&gt;=H1607,E1608&gt;=E1607),E1607*(1+'Trading Model'!$E$13),IF(AND(E1608&lt;E1607,E1607&gt;=H1607),E1608*(1+'Trading Model'!$E$13),H1607))</f>
        <v>27.698998950000004</v>
      </c>
      <c r="I1608" s="198">
        <f>IF(K1608&gt;0,E1608*(1-'Trading Model'!E1618),IF(E1608&lt;I1607,I1607*(1-'Trading Model'!$E$14),I1607))</f>
        <v>8.9840153609188427</v>
      </c>
      <c r="J1608" s="198">
        <f t="shared" si="207"/>
        <v>0</v>
      </c>
      <c r="K1608" s="198">
        <f t="shared" si="202"/>
        <v>0</v>
      </c>
      <c r="L1608" s="198">
        <f>COUNTIF(J1608:K1608,"&lt;&gt;0")*-'Trading Model'!$E$15</f>
        <v>0</v>
      </c>
      <c r="M1608" s="198">
        <f t="shared" si="200"/>
        <v>0</v>
      </c>
      <c r="N1608" s="75">
        <f t="shared" si="203"/>
        <v>45</v>
      </c>
      <c r="O1608" s="202">
        <f t="shared" si="204"/>
        <v>0</v>
      </c>
      <c r="P1608" s="199">
        <f t="shared" si="201"/>
        <v>0</v>
      </c>
      <c r="Q1608" s="203">
        <f t="shared" si="205"/>
        <v>20.200000000001424</v>
      </c>
      <c r="R1608" s="160" t="s">
        <v>55</v>
      </c>
      <c r="S1608" s="201">
        <f t="shared" si="206"/>
        <v>2.6704146170063225E-2</v>
      </c>
    </row>
    <row r="1609" spans="1:19">
      <c r="A1609" s="196">
        <v>42300</v>
      </c>
      <c r="B1609" s="122">
        <v>14.73</v>
      </c>
      <c r="C1609" s="122">
        <v>15.22</v>
      </c>
      <c r="D1609" s="122">
        <v>14.41</v>
      </c>
      <c r="E1609" s="122">
        <v>14.89</v>
      </c>
      <c r="F1609" s="122">
        <v>12.649115999999999</v>
      </c>
      <c r="G1609" s="197">
        <v>158100</v>
      </c>
      <c r="H1609" s="198">
        <f>IF(AND(E1608&gt;=H1608,E1609&gt;=E1608),E1608*(1+'Trading Model'!$E$13),IF(AND(E1609&lt;E1608,E1608&gt;=H1608),E1609*(1+'Trading Model'!$E$13),H1608))</f>
        <v>27.698998950000004</v>
      </c>
      <c r="I1609" s="198">
        <f>IF(K1609&gt;0,E1609*(1-'Trading Model'!E1619),IF(E1609&lt;I1608,I1608*(1-'Trading Model'!$E$14),I1608))</f>
        <v>8.9840153609188427</v>
      </c>
      <c r="J1609" s="198">
        <f t="shared" si="207"/>
        <v>0</v>
      </c>
      <c r="K1609" s="198">
        <f t="shared" si="202"/>
        <v>0</v>
      </c>
      <c r="L1609" s="198">
        <f>COUNTIF(J1609:K1609,"&lt;&gt;0")*-'Trading Model'!$E$15</f>
        <v>0</v>
      </c>
      <c r="M1609" s="198">
        <f t="shared" si="200"/>
        <v>0</v>
      </c>
      <c r="N1609" s="75">
        <f t="shared" si="203"/>
        <v>45</v>
      </c>
      <c r="O1609" s="202">
        <f t="shared" si="204"/>
        <v>0</v>
      </c>
      <c r="P1609" s="199">
        <f t="shared" si="201"/>
        <v>0</v>
      </c>
      <c r="Q1609" s="203">
        <f t="shared" si="205"/>
        <v>20.200000000001424</v>
      </c>
      <c r="R1609" s="203" t="s">
        <v>55</v>
      </c>
      <c r="S1609" s="201">
        <f t="shared" si="206"/>
        <v>1.9164955509924697E-2</v>
      </c>
    </row>
    <row r="1610" spans="1:19">
      <c r="A1610" s="196">
        <v>42303</v>
      </c>
      <c r="B1610" s="122">
        <v>16.549999</v>
      </c>
      <c r="C1610" s="122">
        <v>17.48</v>
      </c>
      <c r="D1610" s="122">
        <v>16.280000999999999</v>
      </c>
      <c r="E1610" s="122">
        <v>16.57</v>
      </c>
      <c r="F1610" s="122">
        <v>14.076283</v>
      </c>
      <c r="G1610" s="197">
        <v>560700</v>
      </c>
      <c r="H1610" s="198">
        <f>IF(AND(E1609&gt;=H1609,E1610&gt;=E1609),E1609*(1+'Trading Model'!$E$13),IF(AND(E1610&lt;E1609,E1609&gt;=H1609),E1610*(1+'Trading Model'!$E$13),H1609))</f>
        <v>27.698998950000004</v>
      </c>
      <c r="I1610" s="198">
        <f>IF(K1610&gt;0,E1610*(1-'Trading Model'!E1620),IF(E1610&lt;I1609,I1609*(1-'Trading Model'!$E$14),I1609))</f>
        <v>8.9840153609188427</v>
      </c>
      <c r="J1610" s="198">
        <f t="shared" si="207"/>
        <v>0</v>
      </c>
      <c r="K1610" s="198">
        <f t="shared" si="202"/>
        <v>0</v>
      </c>
      <c r="L1610" s="198">
        <f>COUNTIF(J1610:K1610,"&lt;&gt;0")*-'Trading Model'!$E$15</f>
        <v>0</v>
      </c>
      <c r="M1610" s="198">
        <f t="shared" si="200"/>
        <v>0</v>
      </c>
      <c r="N1610" s="75">
        <f t="shared" si="203"/>
        <v>45</v>
      </c>
      <c r="O1610" s="202">
        <f t="shared" si="204"/>
        <v>0</v>
      </c>
      <c r="P1610" s="199">
        <f t="shared" si="201"/>
        <v>0</v>
      </c>
      <c r="Q1610" s="203">
        <f t="shared" si="205"/>
        <v>20.200000000001424</v>
      </c>
      <c r="R1610" s="203" t="s">
        <v>55</v>
      </c>
      <c r="S1610" s="201">
        <f t="shared" si="206"/>
        <v>0.11282740094022836</v>
      </c>
    </row>
    <row r="1611" spans="1:19">
      <c r="A1611" s="196">
        <v>42304</v>
      </c>
      <c r="B1611" s="122">
        <v>16.549999</v>
      </c>
      <c r="C1611" s="122">
        <v>17.469999000000001</v>
      </c>
      <c r="D1611" s="122">
        <v>16.059999000000001</v>
      </c>
      <c r="E1611" s="122">
        <v>17.149999999999999</v>
      </c>
      <c r="F1611" s="122">
        <v>14.568994999999999</v>
      </c>
      <c r="G1611" s="197">
        <v>250100</v>
      </c>
      <c r="H1611" s="198">
        <f>IF(AND(E1610&gt;=H1610,E1611&gt;=E1610),E1610*(1+'Trading Model'!$E$13),IF(AND(E1611&lt;E1610,E1610&gt;=H1610),E1611*(1+'Trading Model'!$E$13),H1610))</f>
        <v>27.698998950000004</v>
      </c>
      <c r="I1611" s="198">
        <f>IF(K1611&gt;0,E1611*(1-'Trading Model'!E1621),IF(E1611&lt;I1610,I1610*(1-'Trading Model'!$E$14),I1610))</f>
        <v>8.9840153609188427</v>
      </c>
      <c r="J1611" s="198">
        <f t="shared" si="207"/>
        <v>0</v>
      </c>
      <c r="K1611" s="198">
        <f t="shared" si="202"/>
        <v>0</v>
      </c>
      <c r="L1611" s="198">
        <f>COUNTIF(J1611:K1611,"&lt;&gt;0")*-'Trading Model'!$E$15</f>
        <v>0</v>
      </c>
      <c r="M1611" s="198">
        <f t="shared" si="200"/>
        <v>0</v>
      </c>
      <c r="N1611" s="75">
        <f t="shared" si="203"/>
        <v>45</v>
      </c>
      <c r="O1611" s="202">
        <f t="shared" si="204"/>
        <v>0</v>
      </c>
      <c r="P1611" s="199">
        <f t="shared" si="201"/>
        <v>0</v>
      </c>
      <c r="Q1611" s="203">
        <f t="shared" si="205"/>
        <v>20.200000000001424</v>
      </c>
      <c r="R1611" s="203" t="s">
        <v>55</v>
      </c>
      <c r="S1611" s="201">
        <f t="shared" si="206"/>
        <v>3.5003017501508582E-2</v>
      </c>
    </row>
    <row r="1612" spans="1:19">
      <c r="A1612" s="196">
        <v>42305</v>
      </c>
      <c r="B1612" s="122">
        <v>17.200001</v>
      </c>
      <c r="C1612" s="122">
        <v>19.389999</v>
      </c>
      <c r="D1612" s="122">
        <v>17</v>
      </c>
      <c r="E1612" s="122">
        <v>18.829999999999998</v>
      </c>
      <c r="F1612" s="122">
        <v>15.996162</v>
      </c>
      <c r="G1612" s="197">
        <v>413500</v>
      </c>
      <c r="H1612" s="198">
        <f>IF(AND(E1611&gt;=H1611,E1612&gt;=E1611),E1611*(1+'Trading Model'!$E$13),IF(AND(E1612&lt;E1611,E1611&gt;=H1611),E1612*(1+'Trading Model'!$E$13),H1611))</f>
        <v>27.698998950000004</v>
      </c>
      <c r="I1612" s="198">
        <f>IF(K1612&gt;0,E1612*(1-'Trading Model'!E1622),IF(E1612&lt;I1611,I1611*(1-'Trading Model'!$E$14),I1611))</f>
        <v>8.9840153609188427</v>
      </c>
      <c r="J1612" s="198">
        <f t="shared" si="207"/>
        <v>0</v>
      </c>
      <c r="K1612" s="198">
        <f t="shared" si="202"/>
        <v>0</v>
      </c>
      <c r="L1612" s="198">
        <f>COUNTIF(J1612:K1612,"&lt;&gt;0")*-'Trading Model'!$E$15</f>
        <v>0</v>
      </c>
      <c r="M1612" s="198">
        <f t="shared" si="200"/>
        <v>0</v>
      </c>
      <c r="N1612" s="75">
        <f t="shared" si="203"/>
        <v>45</v>
      </c>
      <c r="O1612" s="202">
        <f t="shared" si="204"/>
        <v>0</v>
      </c>
      <c r="P1612" s="199">
        <f t="shared" si="201"/>
        <v>0</v>
      </c>
      <c r="Q1612" s="203">
        <f t="shared" si="205"/>
        <v>20.200000000001424</v>
      </c>
      <c r="R1612" s="201">
        <f>E1612/B1608-1</f>
        <v>0.30582524271844647</v>
      </c>
      <c r="S1612" s="201">
        <f t="shared" si="206"/>
        <v>9.7959183673469452E-2</v>
      </c>
    </row>
    <row r="1613" spans="1:19">
      <c r="A1613" s="196">
        <v>42306</v>
      </c>
      <c r="B1613" s="122">
        <v>18.98</v>
      </c>
      <c r="C1613" s="122">
        <v>20.280000999999999</v>
      </c>
      <c r="D1613" s="122">
        <v>18.899999999999999</v>
      </c>
      <c r="E1613" s="122">
        <v>19.200001</v>
      </c>
      <c r="F1613" s="122">
        <v>16.310479999999998</v>
      </c>
      <c r="G1613" s="197">
        <v>471200</v>
      </c>
      <c r="H1613" s="198">
        <f>IF(AND(E1612&gt;=H1612,E1613&gt;=E1612),E1612*(1+'Trading Model'!$E$13),IF(AND(E1613&lt;E1612,E1612&gt;=H1612),E1613*(1+'Trading Model'!$E$13),H1612))</f>
        <v>27.698998950000004</v>
      </c>
      <c r="I1613" s="198">
        <f>IF(K1613&gt;0,E1613*(1-'Trading Model'!E1623),IF(E1613&lt;I1612,I1612*(1-'Trading Model'!$E$14),I1612))</f>
        <v>8.9840153609188427</v>
      </c>
      <c r="J1613" s="198">
        <f t="shared" si="207"/>
        <v>0</v>
      </c>
      <c r="K1613" s="198">
        <f t="shared" si="202"/>
        <v>0</v>
      </c>
      <c r="L1613" s="198">
        <f>COUNTIF(J1613:K1613,"&lt;&gt;0")*-'Trading Model'!$E$15</f>
        <v>0</v>
      </c>
      <c r="M1613" s="198">
        <f t="shared" si="200"/>
        <v>0</v>
      </c>
      <c r="N1613" s="75">
        <f t="shared" si="203"/>
        <v>45</v>
      </c>
      <c r="O1613" s="202">
        <f t="shared" si="204"/>
        <v>0</v>
      </c>
      <c r="P1613" s="199">
        <f t="shared" si="201"/>
        <v>0</v>
      </c>
      <c r="Q1613" s="203">
        <f t="shared" si="205"/>
        <v>20.200000000001424</v>
      </c>
      <c r="R1613" s="160" t="s">
        <v>55</v>
      </c>
      <c r="S1613" s="201">
        <f t="shared" si="206"/>
        <v>1.9649548592671318E-2</v>
      </c>
    </row>
    <row r="1614" spans="1:19">
      <c r="A1614" s="196">
        <v>42307</v>
      </c>
      <c r="B1614" s="122">
        <v>19.170000000000002</v>
      </c>
      <c r="C1614" s="122">
        <v>19.870000999999998</v>
      </c>
      <c r="D1614" s="122">
        <v>19.09</v>
      </c>
      <c r="E1614" s="122">
        <v>19.510000000000002</v>
      </c>
      <c r="F1614" s="122">
        <v>16.573823999999998</v>
      </c>
      <c r="G1614" s="197">
        <v>284000</v>
      </c>
      <c r="H1614" s="198">
        <f>IF(AND(E1613&gt;=H1613,E1614&gt;=E1613),E1613*(1+'Trading Model'!$E$13),IF(AND(E1614&lt;E1613,E1613&gt;=H1613),E1614*(1+'Trading Model'!$E$13),H1613))</f>
        <v>27.698998950000004</v>
      </c>
      <c r="I1614" s="198">
        <f>IF(K1614&gt;0,E1614*(1-'Trading Model'!E1624),IF(E1614&lt;I1613,I1613*(1-'Trading Model'!$E$14),I1613))</f>
        <v>8.9840153609188427</v>
      </c>
      <c r="J1614" s="198">
        <f t="shared" si="207"/>
        <v>0</v>
      </c>
      <c r="K1614" s="198">
        <f t="shared" si="202"/>
        <v>0</v>
      </c>
      <c r="L1614" s="198">
        <f>COUNTIF(J1614:K1614,"&lt;&gt;0")*-'Trading Model'!$E$15</f>
        <v>0</v>
      </c>
      <c r="M1614" s="198">
        <f t="shared" si="200"/>
        <v>0</v>
      </c>
      <c r="N1614" s="75">
        <f t="shared" si="203"/>
        <v>45</v>
      </c>
      <c r="O1614" s="202">
        <f t="shared" si="204"/>
        <v>0</v>
      </c>
      <c r="P1614" s="199">
        <f t="shared" si="201"/>
        <v>0</v>
      </c>
      <c r="Q1614" s="203">
        <f t="shared" si="205"/>
        <v>20.200000000001424</v>
      </c>
      <c r="R1614" s="203" t="s">
        <v>55</v>
      </c>
      <c r="S1614" s="201">
        <f t="shared" si="206"/>
        <v>1.6145780409074106E-2</v>
      </c>
    </row>
    <row r="1615" spans="1:19">
      <c r="A1615" s="196">
        <v>42310</v>
      </c>
      <c r="B1615" s="122">
        <v>19.399999999999999</v>
      </c>
      <c r="C1615" s="122">
        <v>20</v>
      </c>
      <c r="D1615" s="122">
        <v>19.329999999999998</v>
      </c>
      <c r="E1615" s="122">
        <v>19.889999</v>
      </c>
      <c r="F1615" s="122">
        <v>16.896633000000001</v>
      </c>
      <c r="G1615" s="197">
        <v>182900</v>
      </c>
      <c r="H1615" s="198">
        <f>IF(AND(E1614&gt;=H1614,E1615&gt;=E1614),E1614*(1+'Trading Model'!$E$13),IF(AND(E1615&lt;E1614,E1614&gt;=H1614),E1615*(1+'Trading Model'!$E$13),H1614))</f>
        <v>27.698998950000004</v>
      </c>
      <c r="I1615" s="198">
        <f>IF(K1615&gt;0,E1615*(1-'Trading Model'!E1625),IF(E1615&lt;I1614,I1614*(1-'Trading Model'!$E$14),I1614))</f>
        <v>8.9840153609188427</v>
      </c>
      <c r="J1615" s="198">
        <f t="shared" si="207"/>
        <v>0</v>
      </c>
      <c r="K1615" s="198">
        <f t="shared" si="202"/>
        <v>0</v>
      </c>
      <c r="L1615" s="198">
        <f>COUNTIF(J1615:K1615,"&lt;&gt;0")*-'Trading Model'!$E$15</f>
        <v>0</v>
      </c>
      <c r="M1615" s="198">
        <f t="shared" si="200"/>
        <v>0</v>
      </c>
      <c r="N1615" s="75">
        <f t="shared" si="203"/>
        <v>45</v>
      </c>
      <c r="O1615" s="202">
        <f t="shared" si="204"/>
        <v>0</v>
      </c>
      <c r="P1615" s="199">
        <f t="shared" si="201"/>
        <v>0</v>
      </c>
      <c r="Q1615" s="203">
        <f t="shared" si="205"/>
        <v>20.200000000001424</v>
      </c>
      <c r="R1615" s="203" t="s">
        <v>55</v>
      </c>
      <c r="S1615" s="201">
        <f t="shared" si="206"/>
        <v>1.9477139928241849E-2</v>
      </c>
    </row>
    <row r="1616" spans="1:19">
      <c r="A1616" s="196">
        <v>42311</v>
      </c>
      <c r="B1616" s="122">
        <v>19.799999</v>
      </c>
      <c r="C1616" s="122">
        <v>20.09</v>
      </c>
      <c r="D1616" s="122">
        <v>18.620000999999998</v>
      </c>
      <c r="E1616" s="122">
        <v>19.989999999999998</v>
      </c>
      <c r="F1616" s="122">
        <v>16.981584999999999</v>
      </c>
      <c r="G1616" s="197">
        <v>342600</v>
      </c>
      <c r="H1616" s="198">
        <f>IF(AND(E1615&gt;=H1615,E1616&gt;=E1615),E1615*(1+'Trading Model'!$E$13),IF(AND(E1616&lt;E1615,E1615&gt;=H1615),E1616*(1+'Trading Model'!$E$13),H1615))</f>
        <v>27.698998950000004</v>
      </c>
      <c r="I1616" s="198">
        <f>IF(K1616&gt;0,E1616*(1-'Trading Model'!E1626),IF(E1616&lt;I1615,I1615*(1-'Trading Model'!$E$14),I1615))</f>
        <v>8.9840153609188427</v>
      </c>
      <c r="J1616" s="198">
        <f t="shared" si="207"/>
        <v>0</v>
      </c>
      <c r="K1616" s="198">
        <f t="shared" si="202"/>
        <v>0</v>
      </c>
      <c r="L1616" s="198">
        <f>COUNTIF(J1616:K1616,"&lt;&gt;0")*-'Trading Model'!$E$15</f>
        <v>0</v>
      </c>
      <c r="M1616" s="198">
        <f t="shared" si="200"/>
        <v>0</v>
      </c>
      <c r="N1616" s="75">
        <f t="shared" si="203"/>
        <v>45</v>
      </c>
      <c r="O1616" s="202">
        <f t="shared" si="204"/>
        <v>0</v>
      </c>
      <c r="P1616" s="199">
        <f t="shared" si="201"/>
        <v>0</v>
      </c>
      <c r="Q1616" s="203">
        <f t="shared" si="205"/>
        <v>20.200000000001424</v>
      </c>
      <c r="R1616" s="203" t="s">
        <v>55</v>
      </c>
      <c r="S1616" s="201">
        <f t="shared" si="206"/>
        <v>5.0277026157719007E-3</v>
      </c>
    </row>
    <row r="1617" spans="1:19">
      <c r="A1617" s="196">
        <v>42312</v>
      </c>
      <c r="B1617" s="122">
        <v>20.010000000000002</v>
      </c>
      <c r="C1617" s="122">
        <v>20.010000000000002</v>
      </c>
      <c r="D1617" s="122">
        <v>18.360001</v>
      </c>
      <c r="E1617" s="122">
        <v>18.899999999999999</v>
      </c>
      <c r="F1617" s="122">
        <v>16.055630000000001</v>
      </c>
      <c r="G1617" s="197">
        <v>313700</v>
      </c>
      <c r="H1617" s="198">
        <f>IF(AND(E1616&gt;=H1616,E1617&gt;=E1616),E1616*(1+'Trading Model'!$E$13),IF(AND(E1617&lt;E1616,E1616&gt;=H1616),E1617*(1+'Trading Model'!$E$13),H1616))</f>
        <v>27.698998950000004</v>
      </c>
      <c r="I1617" s="198">
        <f>IF(K1617&gt;0,E1617*(1-'Trading Model'!E1627),IF(E1617&lt;I1616,I1616*(1-'Trading Model'!$E$14),I1616))</f>
        <v>8.9840153609188427</v>
      </c>
      <c r="J1617" s="198">
        <f t="shared" si="207"/>
        <v>0</v>
      </c>
      <c r="K1617" s="198">
        <f t="shared" si="202"/>
        <v>0</v>
      </c>
      <c r="L1617" s="198">
        <f>COUNTIF(J1617:K1617,"&lt;&gt;0")*-'Trading Model'!$E$15</f>
        <v>0</v>
      </c>
      <c r="M1617" s="198">
        <f t="shared" si="200"/>
        <v>0</v>
      </c>
      <c r="N1617" s="75">
        <f t="shared" si="203"/>
        <v>45</v>
      </c>
      <c r="O1617" s="202">
        <f t="shared" si="204"/>
        <v>0</v>
      </c>
      <c r="P1617" s="199">
        <f t="shared" si="201"/>
        <v>0</v>
      </c>
      <c r="Q1617" s="203">
        <f t="shared" si="205"/>
        <v>20.100000000001423</v>
      </c>
      <c r="R1617" s="201">
        <f>E1617/B1613-1</f>
        <v>-4.2149631190727677E-3</v>
      </c>
      <c r="S1617" s="201">
        <f t="shared" si="206"/>
        <v>-5.4527263631815925E-2</v>
      </c>
    </row>
    <row r="1618" spans="1:19">
      <c r="A1618" s="196">
        <v>42313</v>
      </c>
      <c r="B1618" s="122">
        <v>18.889999</v>
      </c>
      <c r="C1618" s="122">
        <v>19.18</v>
      </c>
      <c r="D1618" s="122">
        <v>18.469999000000001</v>
      </c>
      <c r="E1618" s="122">
        <v>18.739999999999998</v>
      </c>
      <c r="F1618" s="122">
        <v>15.919707000000001</v>
      </c>
      <c r="G1618" s="197">
        <v>102400</v>
      </c>
      <c r="H1618" s="198">
        <f>IF(AND(E1617&gt;=H1617,E1618&gt;=E1617),E1617*(1+'Trading Model'!$E$13),IF(AND(E1618&lt;E1617,E1617&gt;=H1617),E1618*(1+'Trading Model'!$E$13),H1617))</f>
        <v>27.698998950000004</v>
      </c>
      <c r="I1618" s="198">
        <f>IF(K1618&gt;0,E1618*(1-'Trading Model'!E1628),IF(E1618&lt;I1617,I1617*(1-'Trading Model'!$E$14),I1617))</f>
        <v>8.9840153609188427</v>
      </c>
      <c r="J1618" s="198">
        <f t="shared" si="207"/>
        <v>0</v>
      </c>
      <c r="K1618" s="198">
        <f t="shared" si="202"/>
        <v>0</v>
      </c>
      <c r="L1618" s="198">
        <f>COUNTIF(J1618:K1618,"&lt;&gt;0")*-'Trading Model'!$E$15</f>
        <v>0</v>
      </c>
      <c r="M1618" s="198">
        <f t="shared" si="200"/>
        <v>0</v>
      </c>
      <c r="N1618" s="75">
        <f t="shared" si="203"/>
        <v>45</v>
      </c>
      <c r="O1618" s="202">
        <f t="shared" si="204"/>
        <v>0</v>
      </c>
      <c r="P1618" s="199">
        <f t="shared" si="201"/>
        <v>0</v>
      </c>
      <c r="Q1618" s="203">
        <f t="shared" si="205"/>
        <v>20.000000000001421</v>
      </c>
      <c r="R1618" s="160" t="s">
        <v>55</v>
      </c>
      <c r="S1618" s="201">
        <f t="shared" si="206"/>
        <v>-8.4656084656085095E-3</v>
      </c>
    </row>
    <row r="1619" spans="1:19">
      <c r="A1619" s="196">
        <v>42314</v>
      </c>
      <c r="B1619" s="122">
        <v>18.52</v>
      </c>
      <c r="C1619" s="122">
        <v>18.850000000000001</v>
      </c>
      <c r="D1619" s="122">
        <v>18.23</v>
      </c>
      <c r="E1619" s="122">
        <v>18.57</v>
      </c>
      <c r="F1619" s="122">
        <v>15.77529</v>
      </c>
      <c r="G1619" s="197">
        <v>53700</v>
      </c>
      <c r="H1619" s="198">
        <f>IF(AND(E1618&gt;=H1618,E1619&gt;=E1618),E1618*(1+'Trading Model'!$E$13),IF(AND(E1619&lt;E1618,E1618&gt;=H1618),E1619*(1+'Trading Model'!$E$13),H1618))</f>
        <v>27.698998950000004</v>
      </c>
      <c r="I1619" s="198">
        <f>IF(K1619&gt;0,E1619*(1-'Trading Model'!E1629),IF(E1619&lt;I1618,I1618*(1-'Trading Model'!$E$14),I1618))</f>
        <v>8.9840153609188427</v>
      </c>
      <c r="J1619" s="198">
        <f t="shared" si="207"/>
        <v>0</v>
      </c>
      <c r="K1619" s="198">
        <f t="shared" si="202"/>
        <v>0</v>
      </c>
      <c r="L1619" s="198">
        <f>COUNTIF(J1619:K1619,"&lt;&gt;0")*-'Trading Model'!$E$15</f>
        <v>0</v>
      </c>
      <c r="M1619" s="198">
        <f t="shared" si="200"/>
        <v>0</v>
      </c>
      <c r="N1619" s="75">
        <f t="shared" si="203"/>
        <v>45</v>
      </c>
      <c r="O1619" s="202">
        <f t="shared" si="204"/>
        <v>0</v>
      </c>
      <c r="P1619" s="199">
        <f t="shared" si="201"/>
        <v>0</v>
      </c>
      <c r="Q1619" s="203">
        <f t="shared" si="205"/>
        <v>19.90000000000142</v>
      </c>
      <c r="R1619" s="203" t="s">
        <v>55</v>
      </c>
      <c r="S1619" s="201">
        <f t="shared" si="206"/>
        <v>-9.0715048025612477E-3</v>
      </c>
    </row>
    <row r="1620" spans="1:19">
      <c r="A1620" s="196">
        <v>42317</v>
      </c>
      <c r="B1620" s="122">
        <v>18.5</v>
      </c>
      <c r="C1620" s="122">
        <v>18.709999</v>
      </c>
      <c r="D1620" s="122">
        <v>18.23</v>
      </c>
      <c r="E1620" s="122">
        <v>18.350000000000001</v>
      </c>
      <c r="F1620" s="122">
        <v>15.588400999999999</v>
      </c>
      <c r="G1620" s="197">
        <v>109000</v>
      </c>
      <c r="H1620" s="198">
        <f>IF(AND(E1619&gt;=H1619,E1620&gt;=E1619),E1619*(1+'Trading Model'!$E$13),IF(AND(E1620&lt;E1619,E1619&gt;=H1619),E1620*(1+'Trading Model'!$E$13),H1619))</f>
        <v>27.698998950000004</v>
      </c>
      <c r="I1620" s="198">
        <f>IF(K1620&gt;0,E1620*(1-'Trading Model'!E1630),IF(E1620&lt;I1619,I1619*(1-'Trading Model'!$E$14),I1619))</f>
        <v>8.9840153609188427</v>
      </c>
      <c r="J1620" s="198">
        <f t="shared" si="207"/>
        <v>0</v>
      </c>
      <c r="K1620" s="198">
        <f t="shared" si="202"/>
        <v>0</v>
      </c>
      <c r="L1620" s="198">
        <f>COUNTIF(J1620:K1620,"&lt;&gt;0")*-'Trading Model'!$E$15</f>
        <v>0</v>
      </c>
      <c r="M1620" s="198">
        <f t="shared" si="200"/>
        <v>0</v>
      </c>
      <c r="N1620" s="75">
        <f t="shared" si="203"/>
        <v>45</v>
      </c>
      <c r="O1620" s="202">
        <f t="shared" si="204"/>
        <v>0</v>
      </c>
      <c r="P1620" s="199">
        <f t="shared" si="201"/>
        <v>0</v>
      </c>
      <c r="Q1620" s="203">
        <f t="shared" si="205"/>
        <v>19.800000000001418</v>
      </c>
      <c r="R1620" s="203" t="s">
        <v>55</v>
      </c>
      <c r="S1620" s="201">
        <f t="shared" si="206"/>
        <v>-1.1847065158858361E-2</v>
      </c>
    </row>
    <row r="1621" spans="1:19">
      <c r="A1621" s="196">
        <v>42318</v>
      </c>
      <c r="B1621" s="122">
        <v>18.209999</v>
      </c>
      <c r="C1621" s="122">
        <v>18.489999999999998</v>
      </c>
      <c r="D1621" s="122">
        <v>17.799999</v>
      </c>
      <c r="E1621" s="122">
        <v>18.370000999999998</v>
      </c>
      <c r="F1621" s="122">
        <v>15.605389000000001</v>
      </c>
      <c r="G1621" s="197">
        <v>166500</v>
      </c>
      <c r="H1621" s="198">
        <f>IF(AND(E1620&gt;=H1620,E1621&gt;=E1620),E1620*(1+'Trading Model'!$E$13),IF(AND(E1621&lt;E1620,E1620&gt;=H1620),E1621*(1+'Trading Model'!$E$13),H1620))</f>
        <v>27.698998950000004</v>
      </c>
      <c r="I1621" s="198">
        <f>IF(K1621&gt;0,E1621*(1-'Trading Model'!E1631),IF(E1621&lt;I1620,I1620*(1-'Trading Model'!$E$14),I1620))</f>
        <v>8.9840153609188427</v>
      </c>
      <c r="J1621" s="198">
        <f t="shared" si="207"/>
        <v>0</v>
      </c>
      <c r="K1621" s="198">
        <f t="shared" si="202"/>
        <v>0</v>
      </c>
      <c r="L1621" s="198">
        <f>COUNTIF(J1621:K1621,"&lt;&gt;0")*-'Trading Model'!$E$15</f>
        <v>0</v>
      </c>
      <c r="M1621" s="198">
        <f t="shared" si="200"/>
        <v>0</v>
      </c>
      <c r="N1621" s="75">
        <f t="shared" si="203"/>
        <v>45</v>
      </c>
      <c r="O1621" s="202">
        <f t="shared" si="204"/>
        <v>0</v>
      </c>
      <c r="P1621" s="199">
        <f t="shared" si="201"/>
        <v>0</v>
      </c>
      <c r="Q1621" s="203">
        <f t="shared" si="205"/>
        <v>19.800000000001418</v>
      </c>
      <c r="R1621" s="203" t="s">
        <v>55</v>
      </c>
      <c r="S1621" s="201">
        <f t="shared" si="206"/>
        <v>1.0899727520434777E-3</v>
      </c>
    </row>
    <row r="1622" spans="1:19">
      <c r="A1622" s="196">
        <v>42319</v>
      </c>
      <c r="B1622" s="122">
        <v>18.579999999999998</v>
      </c>
      <c r="C1622" s="122">
        <v>18.579999999999998</v>
      </c>
      <c r="D1622" s="122">
        <v>17.91</v>
      </c>
      <c r="E1622" s="122">
        <v>18.399999999999999</v>
      </c>
      <c r="F1622" s="122">
        <v>15.630875</v>
      </c>
      <c r="G1622" s="197">
        <v>239800</v>
      </c>
      <c r="H1622" s="198">
        <f>IF(AND(E1621&gt;=H1621,E1622&gt;=E1621),E1621*(1+'Trading Model'!$E$13),IF(AND(E1622&lt;E1621,E1621&gt;=H1621),E1622*(1+'Trading Model'!$E$13),H1621))</f>
        <v>27.698998950000004</v>
      </c>
      <c r="I1622" s="198">
        <f>IF(K1622&gt;0,E1622*(1-'Trading Model'!E1632),IF(E1622&lt;I1621,I1621*(1-'Trading Model'!$E$14),I1621))</f>
        <v>8.9840153609188427</v>
      </c>
      <c r="J1622" s="198">
        <f t="shared" si="207"/>
        <v>0</v>
      </c>
      <c r="K1622" s="198">
        <f t="shared" si="202"/>
        <v>0</v>
      </c>
      <c r="L1622" s="198">
        <f>COUNTIF(J1622:K1622,"&lt;&gt;0")*-'Trading Model'!$E$15</f>
        <v>0</v>
      </c>
      <c r="M1622" s="198">
        <f t="shared" si="200"/>
        <v>0</v>
      </c>
      <c r="N1622" s="75">
        <f t="shared" si="203"/>
        <v>45</v>
      </c>
      <c r="O1622" s="202">
        <f t="shared" si="204"/>
        <v>0</v>
      </c>
      <c r="P1622" s="199">
        <f t="shared" si="201"/>
        <v>0</v>
      </c>
      <c r="Q1622" s="203">
        <f t="shared" si="205"/>
        <v>19.800000000001418</v>
      </c>
      <c r="R1622" s="201">
        <f>E1622/B1618-1</f>
        <v>-2.5939599043917405E-2</v>
      </c>
      <c r="S1622" s="201">
        <f t="shared" si="206"/>
        <v>1.633042916002081E-3</v>
      </c>
    </row>
    <row r="1623" spans="1:19">
      <c r="A1623" s="196">
        <v>42320</v>
      </c>
      <c r="B1623" s="122">
        <v>18.07</v>
      </c>
      <c r="C1623" s="122">
        <v>18.719999000000001</v>
      </c>
      <c r="D1623" s="122">
        <v>17.93</v>
      </c>
      <c r="E1623" s="122">
        <v>18.379999000000002</v>
      </c>
      <c r="F1623" s="122">
        <v>15.613885</v>
      </c>
      <c r="G1623" s="197">
        <v>218900</v>
      </c>
      <c r="H1623" s="198">
        <f>IF(AND(E1622&gt;=H1622,E1623&gt;=E1622),E1622*(1+'Trading Model'!$E$13),IF(AND(E1623&lt;E1622,E1622&gt;=H1622),E1623*(1+'Trading Model'!$E$13),H1622))</f>
        <v>27.698998950000004</v>
      </c>
      <c r="I1623" s="198">
        <f>IF(K1623&gt;0,E1623*(1-'Trading Model'!E1633),IF(E1623&lt;I1622,I1622*(1-'Trading Model'!$E$14),I1622))</f>
        <v>8.9840153609188427</v>
      </c>
      <c r="J1623" s="198">
        <f t="shared" si="207"/>
        <v>0</v>
      </c>
      <c r="K1623" s="198">
        <f t="shared" si="202"/>
        <v>0</v>
      </c>
      <c r="L1623" s="198">
        <f>COUNTIF(J1623:K1623,"&lt;&gt;0")*-'Trading Model'!$E$15</f>
        <v>0</v>
      </c>
      <c r="M1623" s="198">
        <f t="shared" si="200"/>
        <v>0</v>
      </c>
      <c r="N1623" s="75">
        <f t="shared" si="203"/>
        <v>45</v>
      </c>
      <c r="O1623" s="202">
        <f t="shared" si="204"/>
        <v>0</v>
      </c>
      <c r="P1623" s="199">
        <f t="shared" si="201"/>
        <v>0</v>
      </c>
      <c r="Q1623" s="203">
        <f t="shared" si="205"/>
        <v>19.700000000001417</v>
      </c>
      <c r="R1623" s="160" t="s">
        <v>55</v>
      </c>
      <c r="S1623" s="201">
        <f t="shared" si="206"/>
        <v>-1.087010869565086E-3</v>
      </c>
    </row>
    <row r="1624" spans="1:19">
      <c r="A1624" s="196">
        <v>42321</v>
      </c>
      <c r="B1624" s="122">
        <v>18.239999999999998</v>
      </c>
      <c r="C1624" s="122">
        <v>18.57</v>
      </c>
      <c r="D1624" s="122">
        <v>17.920000000000002</v>
      </c>
      <c r="E1624" s="122">
        <v>17.98</v>
      </c>
      <c r="F1624" s="122">
        <v>15.274082999999999</v>
      </c>
      <c r="G1624" s="197">
        <v>155300</v>
      </c>
      <c r="H1624" s="198">
        <f>IF(AND(E1623&gt;=H1623,E1624&gt;=E1623),E1623*(1+'Trading Model'!$E$13),IF(AND(E1624&lt;E1623,E1623&gt;=H1623),E1624*(1+'Trading Model'!$E$13),H1623))</f>
        <v>27.698998950000004</v>
      </c>
      <c r="I1624" s="198">
        <f>IF(K1624&gt;0,E1624*(1-'Trading Model'!E1634),IF(E1624&lt;I1623,I1623*(1-'Trading Model'!$E$14),I1623))</f>
        <v>8.9840153609188427</v>
      </c>
      <c r="J1624" s="198">
        <f t="shared" si="207"/>
        <v>0</v>
      </c>
      <c r="K1624" s="198">
        <f t="shared" si="202"/>
        <v>0</v>
      </c>
      <c r="L1624" s="198">
        <f>COUNTIF(J1624:K1624,"&lt;&gt;0")*-'Trading Model'!$E$15</f>
        <v>0</v>
      </c>
      <c r="M1624" s="198">
        <f t="shared" si="200"/>
        <v>0</v>
      </c>
      <c r="N1624" s="75">
        <f t="shared" si="203"/>
        <v>45</v>
      </c>
      <c r="O1624" s="202">
        <f t="shared" si="204"/>
        <v>0</v>
      </c>
      <c r="P1624" s="199">
        <f t="shared" si="201"/>
        <v>0</v>
      </c>
      <c r="Q1624" s="203">
        <f t="shared" si="205"/>
        <v>19.600000000001415</v>
      </c>
      <c r="R1624" s="203" t="s">
        <v>55</v>
      </c>
      <c r="S1624" s="201">
        <f t="shared" si="206"/>
        <v>-2.1762732413641683E-2</v>
      </c>
    </row>
    <row r="1625" spans="1:19">
      <c r="A1625" s="196">
        <v>42324</v>
      </c>
      <c r="B1625" s="122">
        <v>17.920000000000002</v>
      </c>
      <c r="C1625" s="122">
        <v>18.639999</v>
      </c>
      <c r="D1625" s="122">
        <v>17.639999</v>
      </c>
      <c r="E1625" s="122">
        <v>18.5</v>
      </c>
      <c r="F1625" s="122">
        <v>15.715825000000001</v>
      </c>
      <c r="G1625" s="197">
        <v>201500</v>
      </c>
      <c r="H1625" s="198">
        <f>IF(AND(E1624&gt;=H1624,E1625&gt;=E1624),E1624*(1+'Trading Model'!$E$13),IF(AND(E1625&lt;E1624,E1624&gt;=H1624),E1625*(1+'Trading Model'!$E$13),H1624))</f>
        <v>27.698998950000004</v>
      </c>
      <c r="I1625" s="198">
        <f>IF(K1625&gt;0,E1625*(1-'Trading Model'!E1635),IF(E1625&lt;I1624,I1624*(1-'Trading Model'!$E$14),I1624))</f>
        <v>8.9840153609188427</v>
      </c>
      <c r="J1625" s="198">
        <f t="shared" si="207"/>
        <v>0</v>
      </c>
      <c r="K1625" s="198">
        <f t="shared" si="202"/>
        <v>0</v>
      </c>
      <c r="L1625" s="198">
        <f>COUNTIF(J1625:K1625,"&lt;&gt;0")*-'Trading Model'!$E$15</f>
        <v>0</v>
      </c>
      <c r="M1625" s="198">
        <f t="shared" si="200"/>
        <v>0</v>
      </c>
      <c r="N1625" s="75">
        <f t="shared" si="203"/>
        <v>45</v>
      </c>
      <c r="O1625" s="202">
        <f t="shared" si="204"/>
        <v>0</v>
      </c>
      <c r="P1625" s="199">
        <f t="shared" si="201"/>
        <v>0</v>
      </c>
      <c r="Q1625" s="203">
        <f t="shared" si="205"/>
        <v>19.600000000001415</v>
      </c>
      <c r="R1625" s="203" t="s">
        <v>55</v>
      </c>
      <c r="S1625" s="201">
        <f t="shared" si="206"/>
        <v>2.8921023359288034E-2</v>
      </c>
    </row>
    <row r="1626" spans="1:19">
      <c r="A1626" s="196">
        <v>42325</v>
      </c>
      <c r="B1626" s="122">
        <v>18.5</v>
      </c>
      <c r="C1626" s="122">
        <v>18.850000000000001</v>
      </c>
      <c r="D1626" s="122">
        <v>18.049999</v>
      </c>
      <c r="E1626" s="122">
        <v>18.200001</v>
      </c>
      <c r="F1626" s="122">
        <v>15.460976</v>
      </c>
      <c r="G1626" s="197">
        <v>278500</v>
      </c>
      <c r="H1626" s="198">
        <f>IF(AND(E1625&gt;=H1625,E1626&gt;=E1625),E1625*(1+'Trading Model'!$E$13),IF(AND(E1626&lt;E1625,E1625&gt;=H1625),E1626*(1+'Trading Model'!$E$13),H1625))</f>
        <v>27.698998950000004</v>
      </c>
      <c r="I1626" s="198">
        <f>IF(K1626&gt;0,E1626*(1-'Trading Model'!E1636),IF(E1626&lt;I1625,I1625*(1-'Trading Model'!$E$14),I1625))</f>
        <v>8.9840153609188427</v>
      </c>
      <c r="J1626" s="198">
        <f t="shared" si="207"/>
        <v>0</v>
      </c>
      <c r="K1626" s="198">
        <f t="shared" si="202"/>
        <v>0</v>
      </c>
      <c r="L1626" s="198">
        <f>COUNTIF(J1626:K1626,"&lt;&gt;0")*-'Trading Model'!$E$15</f>
        <v>0</v>
      </c>
      <c r="M1626" s="198">
        <f t="shared" si="200"/>
        <v>0</v>
      </c>
      <c r="N1626" s="75">
        <f t="shared" si="203"/>
        <v>45</v>
      </c>
      <c r="O1626" s="202">
        <f t="shared" si="204"/>
        <v>0</v>
      </c>
      <c r="P1626" s="199">
        <f t="shared" si="201"/>
        <v>0</v>
      </c>
      <c r="Q1626" s="203">
        <f t="shared" si="205"/>
        <v>19.500000000001414</v>
      </c>
      <c r="R1626" s="203" t="s">
        <v>55</v>
      </c>
      <c r="S1626" s="201">
        <f t="shared" si="206"/>
        <v>-1.6216162162162151E-2</v>
      </c>
    </row>
    <row r="1627" spans="1:19">
      <c r="A1627" s="196">
        <v>42326</v>
      </c>
      <c r="B1627" s="122">
        <v>18.290001</v>
      </c>
      <c r="C1627" s="122">
        <v>18.75</v>
      </c>
      <c r="D1627" s="122">
        <v>18.200001</v>
      </c>
      <c r="E1627" s="122">
        <v>18.559999000000001</v>
      </c>
      <c r="F1627" s="122">
        <v>15.766795</v>
      </c>
      <c r="G1627" s="197">
        <v>241900</v>
      </c>
      <c r="H1627" s="198">
        <f>IF(AND(E1626&gt;=H1626,E1627&gt;=E1626),E1626*(1+'Trading Model'!$E$13),IF(AND(E1627&lt;E1626,E1626&gt;=H1626),E1627*(1+'Trading Model'!$E$13),H1626))</f>
        <v>27.698998950000004</v>
      </c>
      <c r="I1627" s="198">
        <f>IF(K1627&gt;0,E1627*(1-'Trading Model'!E1637),IF(E1627&lt;I1626,I1626*(1-'Trading Model'!$E$14),I1626))</f>
        <v>8.9840153609188427</v>
      </c>
      <c r="J1627" s="198">
        <f t="shared" si="207"/>
        <v>0</v>
      </c>
      <c r="K1627" s="198">
        <f t="shared" si="202"/>
        <v>0</v>
      </c>
      <c r="L1627" s="198">
        <f>COUNTIF(J1627:K1627,"&lt;&gt;0")*-'Trading Model'!$E$15</f>
        <v>0</v>
      </c>
      <c r="M1627" s="198">
        <f t="shared" si="200"/>
        <v>0</v>
      </c>
      <c r="N1627" s="75">
        <f t="shared" si="203"/>
        <v>45</v>
      </c>
      <c r="O1627" s="202">
        <f t="shared" si="204"/>
        <v>0</v>
      </c>
      <c r="P1627" s="199">
        <f t="shared" si="201"/>
        <v>0</v>
      </c>
      <c r="Q1627" s="203">
        <f t="shared" si="205"/>
        <v>19.500000000001414</v>
      </c>
      <c r="R1627" s="201">
        <f>E1627/B1623-1</f>
        <v>2.7116712783619379E-2</v>
      </c>
      <c r="S1627" s="201">
        <f t="shared" si="206"/>
        <v>1.978010880329073E-2</v>
      </c>
    </row>
    <row r="1628" spans="1:19">
      <c r="A1628" s="196">
        <v>42327</v>
      </c>
      <c r="B1628" s="122">
        <v>18.52</v>
      </c>
      <c r="C1628" s="122">
        <v>18.66</v>
      </c>
      <c r="D1628" s="122">
        <v>18.260000000000002</v>
      </c>
      <c r="E1628" s="122">
        <v>18.52</v>
      </c>
      <c r="F1628" s="122">
        <v>15.732817000000001</v>
      </c>
      <c r="G1628" s="197">
        <v>203100</v>
      </c>
      <c r="H1628" s="198">
        <f>IF(AND(E1627&gt;=H1627,E1628&gt;=E1627),E1627*(1+'Trading Model'!$E$13),IF(AND(E1628&lt;E1627,E1627&gt;=H1627),E1628*(1+'Trading Model'!$E$13),H1627))</f>
        <v>27.698998950000004</v>
      </c>
      <c r="I1628" s="198">
        <f>IF(K1628&gt;0,E1628*(1-'Trading Model'!E1638),IF(E1628&lt;I1627,I1627*(1-'Trading Model'!$E$14),I1627))</f>
        <v>8.9840153609188427</v>
      </c>
      <c r="J1628" s="198">
        <f t="shared" si="207"/>
        <v>0</v>
      </c>
      <c r="K1628" s="198">
        <f t="shared" si="202"/>
        <v>0</v>
      </c>
      <c r="L1628" s="198">
        <f>COUNTIF(J1628:K1628,"&lt;&gt;0")*-'Trading Model'!$E$15</f>
        <v>0</v>
      </c>
      <c r="M1628" s="198">
        <f t="shared" si="200"/>
        <v>0</v>
      </c>
      <c r="N1628" s="75">
        <f t="shared" si="203"/>
        <v>45</v>
      </c>
      <c r="O1628" s="202">
        <f t="shared" si="204"/>
        <v>0</v>
      </c>
      <c r="P1628" s="199">
        <f t="shared" si="201"/>
        <v>0</v>
      </c>
      <c r="Q1628" s="203">
        <f t="shared" si="205"/>
        <v>19.400000000001413</v>
      </c>
      <c r="R1628" s="160" t="s">
        <v>55</v>
      </c>
      <c r="S1628" s="201">
        <f t="shared" si="206"/>
        <v>-2.1551186505991415E-3</v>
      </c>
    </row>
    <row r="1629" spans="1:19">
      <c r="A1629" s="196">
        <v>42328</v>
      </c>
      <c r="B1629" s="122">
        <v>18.66</v>
      </c>
      <c r="C1629" s="122">
        <v>19.639999</v>
      </c>
      <c r="D1629" s="122">
        <v>18.389999</v>
      </c>
      <c r="E1629" s="122">
        <v>18.93</v>
      </c>
      <c r="F1629" s="122">
        <v>16.081112000000001</v>
      </c>
      <c r="G1629" s="197">
        <v>469600</v>
      </c>
      <c r="H1629" s="198">
        <f>IF(AND(E1628&gt;=H1628,E1629&gt;=E1628),E1628*(1+'Trading Model'!$E$13),IF(AND(E1629&lt;E1628,E1628&gt;=H1628),E1629*(1+'Trading Model'!$E$13),H1628))</f>
        <v>27.698998950000004</v>
      </c>
      <c r="I1629" s="198">
        <f>IF(K1629&gt;0,E1629*(1-'Trading Model'!E1639),IF(E1629&lt;I1628,I1628*(1-'Trading Model'!$E$14),I1628))</f>
        <v>8.9840153609188427</v>
      </c>
      <c r="J1629" s="198">
        <f t="shared" si="207"/>
        <v>0</v>
      </c>
      <c r="K1629" s="198">
        <f t="shared" si="202"/>
        <v>0</v>
      </c>
      <c r="L1629" s="198">
        <f>COUNTIF(J1629:K1629,"&lt;&gt;0")*-'Trading Model'!$E$15</f>
        <v>0</v>
      </c>
      <c r="M1629" s="198">
        <f t="shared" si="200"/>
        <v>0</v>
      </c>
      <c r="N1629" s="75">
        <f t="shared" si="203"/>
        <v>45</v>
      </c>
      <c r="O1629" s="202">
        <f t="shared" si="204"/>
        <v>0</v>
      </c>
      <c r="P1629" s="199">
        <f t="shared" si="201"/>
        <v>0</v>
      </c>
      <c r="Q1629" s="203">
        <f t="shared" si="205"/>
        <v>19.400000000001413</v>
      </c>
      <c r="R1629" s="203" t="s">
        <v>55</v>
      </c>
      <c r="S1629" s="201">
        <f t="shared" si="206"/>
        <v>2.2138228941684712E-2</v>
      </c>
    </row>
    <row r="1630" spans="1:19">
      <c r="A1630" s="196">
        <v>42331</v>
      </c>
      <c r="B1630" s="122">
        <v>19.82</v>
      </c>
      <c r="C1630" s="122">
        <v>20</v>
      </c>
      <c r="D1630" s="122">
        <v>18</v>
      </c>
      <c r="E1630" s="122">
        <v>18.190000999999999</v>
      </c>
      <c r="F1630" s="122">
        <v>15.452479</v>
      </c>
      <c r="G1630" s="197">
        <v>294400</v>
      </c>
      <c r="H1630" s="198">
        <f>IF(AND(E1629&gt;=H1629,E1630&gt;=E1629),E1629*(1+'Trading Model'!$E$13),IF(AND(E1630&lt;E1629,E1629&gt;=H1629),E1630*(1+'Trading Model'!$E$13),H1629))</f>
        <v>27.698998950000004</v>
      </c>
      <c r="I1630" s="198">
        <f>IF(K1630&gt;0,E1630*(1-'Trading Model'!E1640),IF(E1630&lt;I1629,I1629*(1-'Trading Model'!$E$14),I1629))</f>
        <v>8.9840153609188427</v>
      </c>
      <c r="J1630" s="198">
        <f t="shared" si="207"/>
        <v>0</v>
      </c>
      <c r="K1630" s="198">
        <f t="shared" si="202"/>
        <v>0</v>
      </c>
      <c r="L1630" s="198">
        <f>COUNTIF(J1630:K1630,"&lt;&gt;0")*-'Trading Model'!$E$15</f>
        <v>0</v>
      </c>
      <c r="M1630" s="198">
        <f t="shared" si="200"/>
        <v>0</v>
      </c>
      <c r="N1630" s="75">
        <f t="shared" si="203"/>
        <v>45</v>
      </c>
      <c r="O1630" s="202">
        <f t="shared" si="204"/>
        <v>0</v>
      </c>
      <c r="P1630" s="199">
        <f t="shared" si="201"/>
        <v>0</v>
      </c>
      <c r="Q1630" s="203">
        <f t="shared" si="205"/>
        <v>19.300000000001411</v>
      </c>
      <c r="R1630" s="203" t="s">
        <v>55</v>
      </c>
      <c r="S1630" s="201">
        <f t="shared" si="206"/>
        <v>-3.9091336502905527E-2</v>
      </c>
    </row>
    <row r="1631" spans="1:19">
      <c r="A1631" s="196">
        <v>42332</v>
      </c>
      <c r="B1631" s="122">
        <v>17.989999999999998</v>
      </c>
      <c r="C1631" s="122">
        <v>18.510000000000002</v>
      </c>
      <c r="D1631" s="122">
        <v>17.75</v>
      </c>
      <c r="E1631" s="122">
        <v>17.879999000000002</v>
      </c>
      <c r="F1631" s="122">
        <v>15.189133999999999</v>
      </c>
      <c r="G1631" s="197">
        <v>355100</v>
      </c>
      <c r="H1631" s="198">
        <f>IF(AND(E1630&gt;=H1630,E1631&gt;=E1630),E1630*(1+'Trading Model'!$E$13),IF(AND(E1631&lt;E1630,E1630&gt;=H1630),E1631*(1+'Trading Model'!$E$13),H1630))</f>
        <v>27.698998950000004</v>
      </c>
      <c r="I1631" s="198">
        <f>IF(K1631&gt;0,E1631*(1-'Trading Model'!E1641),IF(E1631&lt;I1630,I1630*(1-'Trading Model'!$E$14),I1630))</f>
        <v>8.9840153609188427</v>
      </c>
      <c r="J1631" s="198">
        <f t="shared" si="207"/>
        <v>0</v>
      </c>
      <c r="K1631" s="198">
        <f t="shared" si="202"/>
        <v>0</v>
      </c>
      <c r="L1631" s="198">
        <f>COUNTIF(J1631:K1631,"&lt;&gt;0")*-'Trading Model'!$E$15</f>
        <v>0</v>
      </c>
      <c r="M1631" s="198">
        <f t="shared" si="200"/>
        <v>0</v>
      </c>
      <c r="N1631" s="75">
        <f t="shared" si="203"/>
        <v>45</v>
      </c>
      <c r="O1631" s="202">
        <f t="shared" si="204"/>
        <v>0</v>
      </c>
      <c r="P1631" s="199">
        <f t="shared" si="201"/>
        <v>0</v>
      </c>
      <c r="Q1631" s="203">
        <f t="shared" si="205"/>
        <v>19.20000000000141</v>
      </c>
      <c r="R1631" s="203" t="s">
        <v>55</v>
      </c>
      <c r="S1631" s="201">
        <f t="shared" si="206"/>
        <v>-1.7042439964681577E-2</v>
      </c>
    </row>
    <row r="1632" spans="1:19">
      <c r="A1632" s="196">
        <v>42333</v>
      </c>
      <c r="B1632" s="122">
        <v>17.73</v>
      </c>
      <c r="C1632" s="122">
        <v>17.860001</v>
      </c>
      <c r="D1632" s="122">
        <v>16.850000000000001</v>
      </c>
      <c r="E1632" s="122">
        <v>17.149999999999999</v>
      </c>
      <c r="F1632" s="122">
        <v>14.568994999999999</v>
      </c>
      <c r="G1632" s="197">
        <v>291100</v>
      </c>
      <c r="H1632" s="198">
        <f>IF(AND(E1631&gt;=H1631,E1632&gt;=E1631),E1631*(1+'Trading Model'!$E$13),IF(AND(E1632&lt;E1631,E1631&gt;=H1631),E1632*(1+'Trading Model'!$E$13),H1631))</f>
        <v>27.698998950000004</v>
      </c>
      <c r="I1632" s="198">
        <f>IF(K1632&gt;0,E1632*(1-'Trading Model'!E1642),IF(E1632&lt;I1631,I1631*(1-'Trading Model'!$E$14),I1631))</f>
        <v>8.9840153609188427</v>
      </c>
      <c r="J1632" s="198">
        <f t="shared" si="207"/>
        <v>0</v>
      </c>
      <c r="K1632" s="198">
        <f t="shared" si="202"/>
        <v>0</v>
      </c>
      <c r="L1632" s="198">
        <f>COUNTIF(J1632:K1632,"&lt;&gt;0")*-'Trading Model'!$E$15</f>
        <v>0</v>
      </c>
      <c r="M1632" s="198">
        <f t="shared" si="200"/>
        <v>0</v>
      </c>
      <c r="N1632" s="75">
        <f t="shared" si="203"/>
        <v>45</v>
      </c>
      <c r="O1632" s="202">
        <f t="shared" si="204"/>
        <v>0</v>
      </c>
      <c r="P1632" s="199">
        <f t="shared" si="201"/>
        <v>0</v>
      </c>
      <c r="Q1632" s="203">
        <f t="shared" si="205"/>
        <v>19.100000000001408</v>
      </c>
      <c r="R1632" s="201">
        <f>E1632/B1628-1</f>
        <v>-7.3974082073434144E-2</v>
      </c>
      <c r="S1632" s="201">
        <f t="shared" si="206"/>
        <v>-4.0827686847186184E-2</v>
      </c>
    </row>
    <row r="1633" spans="1:19">
      <c r="A1633" s="196">
        <v>42335</v>
      </c>
      <c r="B1633" s="122">
        <v>17.299999</v>
      </c>
      <c r="C1633" s="122">
        <v>17.57</v>
      </c>
      <c r="D1633" s="122">
        <v>17.23</v>
      </c>
      <c r="E1633" s="122">
        <v>17.5</v>
      </c>
      <c r="F1633" s="122">
        <v>14.866323</v>
      </c>
      <c r="G1633" s="197">
        <v>83100</v>
      </c>
      <c r="H1633" s="198">
        <f>IF(AND(E1632&gt;=H1632,E1633&gt;=E1632),E1632*(1+'Trading Model'!$E$13),IF(AND(E1633&lt;E1632,E1632&gt;=H1632),E1633*(1+'Trading Model'!$E$13),H1632))</f>
        <v>27.698998950000004</v>
      </c>
      <c r="I1633" s="198">
        <f>IF(K1633&gt;0,E1633*(1-'Trading Model'!E1643),IF(E1633&lt;I1632,I1632*(1-'Trading Model'!$E$14),I1632))</f>
        <v>8.9840153609188427</v>
      </c>
      <c r="J1633" s="198">
        <f t="shared" si="207"/>
        <v>0</v>
      </c>
      <c r="K1633" s="198">
        <f t="shared" si="202"/>
        <v>0</v>
      </c>
      <c r="L1633" s="198">
        <f>COUNTIF(J1633:K1633,"&lt;&gt;0")*-'Trading Model'!$E$15</f>
        <v>0</v>
      </c>
      <c r="M1633" s="198">
        <f t="shared" si="200"/>
        <v>0</v>
      </c>
      <c r="N1633" s="75">
        <f t="shared" si="203"/>
        <v>45</v>
      </c>
      <c r="O1633" s="202">
        <f t="shared" si="204"/>
        <v>0</v>
      </c>
      <c r="P1633" s="199">
        <f t="shared" si="201"/>
        <v>0</v>
      </c>
      <c r="Q1633" s="203">
        <f t="shared" si="205"/>
        <v>19.100000000001408</v>
      </c>
      <c r="R1633" s="160" t="s">
        <v>55</v>
      </c>
      <c r="S1633" s="201">
        <f t="shared" si="206"/>
        <v>2.0408163265306145E-2</v>
      </c>
    </row>
    <row r="1634" spans="1:19">
      <c r="A1634" s="196">
        <v>42338</v>
      </c>
      <c r="B1634" s="122">
        <v>17.350000000000001</v>
      </c>
      <c r="C1634" s="122">
        <v>17.450001</v>
      </c>
      <c r="D1634" s="122">
        <v>17.079999999999998</v>
      </c>
      <c r="E1634" s="122">
        <v>17.23</v>
      </c>
      <c r="F1634" s="122">
        <v>14.636953999999999</v>
      </c>
      <c r="G1634" s="197">
        <v>197100</v>
      </c>
      <c r="H1634" s="198">
        <f>IF(AND(E1633&gt;=H1633,E1634&gt;=E1633),E1633*(1+'Trading Model'!$E$13),IF(AND(E1634&lt;E1633,E1633&gt;=H1633),E1634*(1+'Trading Model'!$E$13),H1633))</f>
        <v>27.698998950000004</v>
      </c>
      <c r="I1634" s="198">
        <f>IF(K1634&gt;0,E1634*(1-'Trading Model'!E1644),IF(E1634&lt;I1633,I1633*(1-'Trading Model'!$E$14),I1633))</f>
        <v>8.9840153609188427</v>
      </c>
      <c r="J1634" s="198">
        <f t="shared" si="207"/>
        <v>0</v>
      </c>
      <c r="K1634" s="198">
        <f t="shared" si="202"/>
        <v>0</v>
      </c>
      <c r="L1634" s="198">
        <f>COUNTIF(J1634:K1634,"&lt;&gt;0")*-'Trading Model'!$E$15</f>
        <v>0</v>
      </c>
      <c r="M1634" s="198">
        <f t="shared" si="200"/>
        <v>0</v>
      </c>
      <c r="N1634" s="75">
        <f t="shared" si="203"/>
        <v>45</v>
      </c>
      <c r="O1634" s="202">
        <f t="shared" si="204"/>
        <v>0</v>
      </c>
      <c r="P1634" s="199">
        <f t="shared" si="201"/>
        <v>0</v>
      </c>
      <c r="Q1634" s="203">
        <f t="shared" si="205"/>
        <v>19.000000000001407</v>
      </c>
      <c r="R1634" s="203" t="s">
        <v>55</v>
      </c>
      <c r="S1634" s="201">
        <f t="shared" si="206"/>
        <v>-1.5428571428571458E-2</v>
      </c>
    </row>
    <row r="1635" spans="1:19">
      <c r="A1635" s="196">
        <v>42339</v>
      </c>
      <c r="B1635" s="122">
        <v>17.329999999999998</v>
      </c>
      <c r="C1635" s="122">
        <v>17.5</v>
      </c>
      <c r="D1635" s="122">
        <v>17.129999000000002</v>
      </c>
      <c r="E1635" s="122">
        <v>17.18</v>
      </c>
      <c r="F1635" s="122">
        <v>14.594481</v>
      </c>
      <c r="G1635" s="197">
        <v>215200</v>
      </c>
      <c r="H1635" s="198">
        <f>IF(AND(E1634&gt;=H1634,E1635&gt;=E1634),E1634*(1+'Trading Model'!$E$13),IF(AND(E1635&lt;E1634,E1634&gt;=H1634),E1635*(1+'Trading Model'!$E$13),H1634))</f>
        <v>27.698998950000004</v>
      </c>
      <c r="I1635" s="198">
        <f>IF(K1635&gt;0,E1635*(1-'Trading Model'!E1645),IF(E1635&lt;I1634,I1634*(1-'Trading Model'!$E$14),I1634))</f>
        <v>8.9840153609188427</v>
      </c>
      <c r="J1635" s="198">
        <f t="shared" si="207"/>
        <v>0</v>
      </c>
      <c r="K1635" s="198">
        <f t="shared" si="202"/>
        <v>0</v>
      </c>
      <c r="L1635" s="198">
        <f>COUNTIF(J1635:K1635,"&lt;&gt;0")*-'Trading Model'!$E$15</f>
        <v>0</v>
      </c>
      <c r="M1635" s="198">
        <f t="shared" si="200"/>
        <v>0</v>
      </c>
      <c r="N1635" s="75">
        <f t="shared" si="203"/>
        <v>45</v>
      </c>
      <c r="O1635" s="202">
        <f t="shared" si="204"/>
        <v>0</v>
      </c>
      <c r="P1635" s="199">
        <f t="shared" si="201"/>
        <v>0</v>
      </c>
      <c r="Q1635" s="203">
        <f t="shared" si="205"/>
        <v>18.900000000001405</v>
      </c>
      <c r="R1635" s="203" t="s">
        <v>55</v>
      </c>
      <c r="S1635" s="201">
        <f t="shared" si="206"/>
        <v>-2.9019152640743506E-3</v>
      </c>
    </row>
    <row r="1636" spans="1:19">
      <c r="A1636" s="196">
        <v>42340</v>
      </c>
      <c r="B1636" s="122">
        <v>17.299999</v>
      </c>
      <c r="C1636" s="122">
        <v>17.5</v>
      </c>
      <c r="D1636" s="122">
        <v>16.959999</v>
      </c>
      <c r="E1636" s="122">
        <v>16.969999000000001</v>
      </c>
      <c r="F1636" s="122">
        <v>14.416083</v>
      </c>
      <c r="G1636" s="197">
        <v>239200</v>
      </c>
      <c r="H1636" s="198">
        <f>IF(AND(E1635&gt;=H1635,E1636&gt;=E1635),E1635*(1+'Trading Model'!$E$13),IF(AND(E1636&lt;E1635,E1635&gt;=H1635),E1636*(1+'Trading Model'!$E$13),H1635))</f>
        <v>27.698998950000004</v>
      </c>
      <c r="I1636" s="198">
        <f>IF(K1636&gt;0,E1636*(1-'Trading Model'!E1646),IF(E1636&lt;I1635,I1635*(1-'Trading Model'!$E$14),I1635))</f>
        <v>8.9840153609188427</v>
      </c>
      <c r="J1636" s="198">
        <f t="shared" si="207"/>
        <v>0</v>
      </c>
      <c r="K1636" s="198">
        <f t="shared" si="202"/>
        <v>0</v>
      </c>
      <c r="L1636" s="198">
        <f>COUNTIF(J1636:K1636,"&lt;&gt;0")*-'Trading Model'!$E$15</f>
        <v>0</v>
      </c>
      <c r="M1636" s="198">
        <f t="shared" si="200"/>
        <v>0</v>
      </c>
      <c r="N1636" s="75">
        <f t="shared" si="203"/>
        <v>45</v>
      </c>
      <c r="O1636" s="202">
        <f t="shared" si="204"/>
        <v>0</v>
      </c>
      <c r="P1636" s="199">
        <f t="shared" si="201"/>
        <v>0</v>
      </c>
      <c r="Q1636" s="203">
        <f t="shared" si="205"/>
        <v>18.800000000001404</v>
      </c>
      <c r="R1636" s="203" t="s">
        <v>55</v>
      </c>
      <c r="S1636" s="201">
        <f t="shared" si="206"/>
        <v>-1.222357392316642E-2</v>
      </c>
    </row>
    <row r="1637" spans="1:19">
      <c r="A1637" s="196">
        <v>42341</v>
      </c>
      <c r="B1637" s="122">
        <v>17.02</v>
      </c>
      <c r="C1637" s="122">
        <v>17.200001</v>
      </c>
      <c r="D1637" s="122">
        <v>16.59</v>
      </c>
      <c r="E1637" s="122">
        <v>16.850000000000001</v>
      </c>
      <c r="F1637" s="122">
        <v>14.314142</v>
      </c>
      <c r="G1637" s="197">
        <v>189700</v>
      </c>
      <c r="H1637" s="198">
        <f>IF(AND(E1636&gt;=H1636,E1637&gt;=E1636),E1636*(1+'Trading Model'!$E$13),IF(AND(E1637&lt;E1636,E1636&gt;=H1636),E1637*(1+'Trading Model'!$E$13),H1636))</f>
        <v>27.698998950000004</v>
      </c>
      <c r="I1637" s="198">
        <f>IF(K1637&gt;0,E1637*(1-'Trading Model'!E1647),IF(E1637&lt;I1636,I1636*(1-'Trading Model'!$E$14),I1636))</f>
        <v>8.9840153609188427</v>
      </c>
      <c r="J1637" s="198">
        <f t="shared" si="207"/>
        <v>0</v>
      </c>
      <c r="K1637" s="198">
        <f t="shared" si="202"/>
        <v>0</v>
      </c>
      <c r="L1637" s="198">
        <f>COUNTIF(J1637:K1637,"&lt;&gt;0")*-'Trading Model'!$E$15</f>
        <v>0</v>
      </c>
      <c r="M1637" s="198">
        <f t="shared" si="200"/>
        <v>0</v>
      </c>
      <c r="N1637" s="75">
        <f t="shared" si="203"/>
        <v>45</v>
      </c>
      <c r="O1637" s="202">
        <f t="shared" si="204"/>
        <v>0</v>
      </c>
      <c r="P1637" s="199">
        <f t="shared" si="201"/>
        <v>0</v>
      </c>
      <c r="Q1637" s="203">
        <f t="shared" si="205"/>
        <v>18.700000000001403</v>
      </c>
      <c r="R1637" s="201">
        <f>E1637/B1633-1</f>
        <v>-2.6011504393728457E-2</v>
      </c>
      <c r="S1637" s="201">
        <f t="shared" si="206"/>
        <v>-7.0712437873449163E-3</v>
      </c>
    </row>
    <row r="1638" spans="1:19">
      <c r="A1638" s="196">
        <v>42342</v>
      </c>
      <c r="B1638" s="122">
        <v>16.73</v>
      </c>
      <c r="C1638" s="122">
        <v>16.959999</v>
      </c>
      <c r="D1638" s="122">
        <v>16.239999999999998</v>
      </c>
      <c r="E1638" s="122">
        <v>16.629999000000002</v>
      </c>
      <c r="F1638" s="122">
        <v>14.127252</v>
      </c>
      <c r="G1638" s="197">
        <v>128900</v>
      </c>
      <c r="H1638" s="198">
        <f>IF(AND(E1637&gt;=H1637,E1638&gt;=E1637),E1637*(1+'Trading Model'!$E$13),IF(AND(E1638&lt;E1637,E1637&gt;=H1637),E1638*(1+'Trading Model'!$E$13),H1637))</f>
        <v>27.698998950000004</v>
      </c>
      <c r="I1638" s="198">
        <f>IF(K1638&gt;0,E1638*(1-'Trading Model'!E1648),IF(E1638&lt;I1637,I1637*(1-'Trading Model'!$E$14),I1637))</f>
        <v>8.9840153609188427</v>
      </c>
      <c r="J1638" s="198">
        <f t="shared" si="207"/>
        <v>0</v>
      </c>
      <c r="K1638" s="198">
        <f t="shared" si="202"/>
        <v>0</v>
      </c>
      <c r="L1638" s="198">
        <f>COUNTIF(J1638:K1638,"&lt;&gt;0")*-'Trading Model'!$E$15</f>
        <v>0</v>
      </c>
      <c r="M1638" s="198">
        <f t="shared" si="200"/>
        <v>0</v>
      </c>
      <c r="N1638" s="75">
        <f t="shared" si="203"/>
        <v>45</v>
      </c>
      <c r="O1638" s="202">
        <f t="shared" si="204"/>
        <v>0</v>
      </c>
      <c r="P1638" s="199">
        <f t="shared" si="201"/>
        <v>0</v>
      </c>
      <c r="Q1638" s="203">
        <f t="shared" si="205"/>
        <v>18.600000000001401</v>
      </c>
      <c r="R1638" s="160" t="s">
        <v>55</v>
      </c>
      <c r="S1638" s="201">
        <f t="shared" si="206"/>
        <v>-1.3056439169139455E-2</v>
      </c>
    </row>
    <row r="1639" spans="1:19">
      <c r="A1639" s="196">
        <v>42345</v>
      </c>
      <c r="B1639" s="122">
        <v>16.709999</v>
      </c>
      <c r="C1639" s="122">
        <v>16.950001</v>
      </c>
      <c r="D1639" s="122">
        <v>16.040001</v>
      </c>
      <c r="E1639" s="122">
        <v>16.190000999999999</v>
      </c>
      <c r="F1639" s="122">
        <v>13.75347</v>
      </c>
      <c r="G1639" s="197">
        <v>156900</v>
      </c>
      <c r="H1639" s="198">
        <f>IF(AND(E1638&gt;=H1638,E1639&gt;=E1638),E1638*(1+'Trading Model'!$E$13),IF(AND(E1639&lt;E1638,E1638&gt;=H1638),E1639*(1+'Trading Model'!$E$13),H1638))</f>
        <v>27.698998950000004</v>
      </c>
      <c r="I1639" s="198">
        <f>IF(K1639&gt;0,E1639*(1-'Trading Model'!E1649),IF(E1639&lt;I1638,I1638*(1-'Trading Model'!$E$14),I1638))</f>
        <v>8.9840153609188427</v>
      </c>
      <c r="J1639" s="198">
        <f t="shared" si="207"/>
        <v>0</v>
      </c>
      <c r="K1639" s="198">
        <f t="shared" si="202"/>
        <v>0</v>
      </c>
      <c r="L1639" s="198">
        <f>COUNTIF(J1639:K1639,"&lt;&gt;0")*-'Trading Model'!$E$15</f>
        <v>0</v>
      </c>
      <c r="M1639" s="198">
        <f t="shared" si="200"/>
        <v>0</v>
      </c>
      <c r="N1639" s="75">
        <f t="shared" si="203"/>
        <v>45</v>
      </c>
      <c r="O1639" s="202">
        <f t="shared" si="204"/>
        <v>0</v>
      </c>
      <c r="P1639" s="199">
        <f t="shared" si="201"/>
        <v>0</v>
      </c>
      <c r="Q1639" s="203">
        <f t="shared" si="205"/>
        <v>18.5000000000014</v>
      </c>
      <c r="R1639" s="203" t="s">
        <v>55</v>
      </c>
      <c r="S1639" s="201">
        <f t="shared" si="206"/>
        <v>-2.6458089384130634E-2</v>
      </c>
    </row>
    <row r="1640" spans="1:19">
      <c r="A1640" s="196">
        <v>42346</v>
      </c>
      <c r="B1640" s="122">
        <v>15.98</v>
      </c>
      <c r="C1640" s="122">
        <v>16.34</v>
      </c>
      <c r="D1640" s="122">
        <v>15.9</v>
      </c>
      <c r="E1640" s="122">
        <v>16.16</v>
      </c>
      <c r="F1640" s="122">
        <v>13.727985</v>
      </c>
      <c r="G1640" s="197">
        <v>128500</v>
      </c>
      <c r="H1640" s="198">
        <f>IF(AND(E1639&gt;=H1639,E1640&gt;=E1639),E1639*(1+'Trading Model'!$E$13),IF(AND(E1640&lt;E1639,E1639&gt;=H1639),E1640*(1+'Trading Model'!$E$13),H1639))</f>
        <v>27.698998950000004</v>
      </c>
      <c r="I1640" s="198">
        <f>IF(K1640&gt;0,E1640*(1-'Trading Model'!E1650),IF(E1640&lt;I1639,I1639*(1-'Trading Model'!$E$14),I1639))</f>
        <v>8.9840153609188427</v>
      </c>
      <c r="J1640" s="198">
        <f t="shared" si="207"/>
        <v>0</v>
      </c>
      <c r="K1640" s="198">
        <f t="shared" si="202"/>
        <v>0</v>
      </c>
      <c r="L1640" s="198">
        <f>COUNTIF(J1640:K1640,"&lt;&gt;0")*-'Trading Model'!$E$15</f>
        <v>0</v>
      </c>
      <c r="M1640" s="198">
        <f t="shared" si="200"/>
        <v>0</v>
      </c>
      <c r="N1640" s="75">
        <f t="shared" si="203"/>
        <v>45</v>
      </c>
      <c r="O1640" s="202">
        <f t="shared" si="204"/>
        <v>0</v>
      </c>
      <c r="P1640" s="199">
        <f t="shared" si="201"/>
        <v>0</v>
      </c>
      <c r="Q1640" s="203">
        <f t="shared" si="205"/>
        <v>18.400000000001398</v>
      </c>
      <c r="R1640" s="203" t="s">
        <v>55</v>
      </c>
      <c r="S1640" s="201">
        <f t="shared" si="206"/>
        <v>-1.8530573284090135E-3</v>
      </c>
    </row>
    <row r="1641" spans="1:19">
      <c r="A1641" s="196">
        <v>42347</v>
      </c>
      <c r="B1641" s="122">
        <v>16.139999</v>
      </c>
      <c r="C1641" s="122">
        <v>16.57</v>
      </c>
      <c r="D1641" s="122">
        <v>15.85</v>
      </c>
      <c r="E1641" s="122">
        <v>16.329999999999998</v>
      </c>
      <c r="F1641" s="122">
        <v>13.872401</v>
      </c>
      <c r="G1641" s="197">
        <v>167300</v>
      </c>
      <c r="H1641" s="198">
        <f>IF(AND(E1640&gt;=H1640,E1641&gt;=E1640),E1640*(1+'Trading Model'!$E$13),IF(AND(E1641&lt;E1640,E1640&gt;=H1640),E1641*(1+'Trading Model'!$E$13),H1640))</f>
        <v>27.698998950000004</v>
      </c>
      <c r="I1641" s="198">
        <f>IF(K1641&gt;0,E1641*(1-'Trading Model'!E1651),IF(E1641&lt;I1640,I1640*(1-'Trading Model'!$E$14),I1640))</f>
        <v>8.9840153609188427</v>
      </c>
      <c r="J1641" s="198">
        <f t="shared" si="207"/>
        <v>0</v>
      </c>
      <c r="K1641" s="198">
        <f t="shared" si="202"/>
        <v>0</v>
      </c>
      <c r="L1641" s="198">
        <f>COUNTIF(J1641:K1641,"&lt;&gt;0")*-'Trading Model'!$E$15</f>
        <v>0</v>
      </c>
      <c r="M1641" s="198">
        <f t="shared" si="200"/>
        <v>0</v>
      </c>
      <c r="N1641" s="75">
        <f t="shared" si="203"/>
        <v>45</v>
      </c>
      <c r="O1641" s="202">
        <f t="shared" si="204"/>
        <v>0</v>
      </c>
      <c r="P1641" s="199">
        <f t="shared" si="201"/>
        <v>0</v>
      </c>
      <c r="Q1641" s="203">
        <f t="shared" si="205"/>
        <v>18.400000000001398</v>
      </c>
      <c r="R1641" s="203" t="s">
        <v>55</v>
      </c>
      <c r="S1641" s="201">
        <f t="shared" si="206"/>
        <v>1.0519801980197974E-2</v>
      </c>
    </row>
    <row r="1642" spans="1:19">
      <c r="A1642" s="196">
        <v>42348</v>
      </c>
      <c r="B1642" s="122">
        <v>16.200001</v>
      </c>
      <c r="C1642" s="122">
        <v>16.440000999999999</v>
      </c>
      <c r="D1642" s="122">
        <v>15.78</v>
      </c>
      <c r="E1642" s="122">
        <v>16.049999</v>
      </c>
      <c r="F1642" s="122">
        <v>13.634539999999999</v>
      </c>
      <c r="G1642" s="197">
        <v>270400</v>
      </c>
      <c r="H1642" s="198">
        <f>IF(AND(E1641&gt;=H1641,E1642&gt;=E1641),E1641*(1+'Trading Model'!$E$13),IF(AND(E1642&lt;E1641,E1641&gt;=H1641),E1642*(1+'Trading Model'!$E$13),H1641))</f>
        <v>27.698998950000004</v>
      </c>
      <c r="I1642" s="198">
        <f>IF(K1642&gt;0,E1642*(1-'Trading Model'!E1652),IF(E1642&lt;I1641,I1641*(1-'Trading Model'!$E$14),I1641))</f>
        <v>8.9840153609188427</v>
      </c>
      <c r="J1642" s="198">
        <f t="shared" si="207"/>
        <v>0</v>
      </c>
      <c r="K1642" s="198">
        <f t="shared" si="202"/>
        <v>0</v>
      </c>
      <c r="L1642" s="198">
        <f>COUNTIF(J1642:K1642,"&lt;&gt;0")*-'Trading Model'!$E$15</f>
        <v>0</v>
      </c>
      <c r="M1642" s="198">
        <f t="shared" si="200"/>
        <v>0</v>
      </c>
      <c r="N1642" s="75">
        <f t="shared" si="203"/>
        <v>45</v>
      </c>
      <c r="O1642" s="202">
        <f t="shared" si="204"/>
        <v>0</v>
      </c>
      <c r="P1642" s="199">
        <f t="shared" si="201"/>
        <v>0</v>
      </c>
      <c r="Q1642" s="203">
        <f t="shared" si="205"/>
        <v>18.300000000001397</v>
      </c>
      <c r="R1642" s="201">
        <f>E1642/B1638-1</f>
        <v>-4.0645606694560743E-2</v>
      </c>
      <c r="S1642" s="201">
        <f t="shared" si="206"/>
        <v>-1.7146417636252242E-2</v>
      </c>
    </row>
    <row r="1643" spans="1:19">
      <c r="A1643" s="196">
        <v>42349</v>
      </c>
      <c r="B1643" s="122">
        <v>15.75</v>
      </c>
      <c r="C1643" s="122">
        <v>15.81</v>
      </c>
      <c r="D1643" s="122">
        <v>15.15</v>
      </c>
      <c r="E1643" s="122">
        <v>15.65</v>
      </c>
      <c r="F1643" s="122">
        <v>13.294739</v>
      </c>
      <c r="G1643" s="197">
        <v>237000</v>
      </c>
      <c r="H1643" s="198">
        <f>IF(AND(E1642&gt;=H1642,E1643&gt;=E1642),E1642*(1+'Trading Model'!$E$13),IF(AND(E1643&lt;E1642,E1642&gt;=H1642),E1643*(1+'Trading Model'!$E$13),H1642))</f>
        <v>27.698998950000004</v>
      </c>
      <c r="I1643" s="198">
        <f>IF(K1643&gt;0,E1643*(1-'Trading Model'!E1653),IF(E1643&lt;I1642,I1642*(1-'Trading Model'!$E$14),I1642))</f>
        <v>8.9840153609188427</v>
      </c>
      <c r="J1643" s="198">
        <f t="shared" si="207"/>
        <v>0</v>
      </c>
      <c r="K1643" s="198">
        <f t="shared" si="202"/>
        <v>0</v>
      </c>
      <c r="L1643" s="198">
        <f>COUNTIF(J1643:K1643,"&lt;&gt;0")*-'Trading Model'!$E$15</f>
        <v>0</v>
      </c>
      <c r="M1643" s="198">
        <f t="shared" si="200"/>
        <v>0</v>
      </c>
      <c r="N1643" s="75">
        <f t="shared" si="203"/>
        <v>45</v>
      </c>
      <c r="O1643" s="202">
        <f t="shared" si="204"/>
        <v>0</v>
      </c>
      <c r="P1643" s="199">
        <f t="shared" si="201"/>
        <v>0</v>
      </c>
      <c r="Q1643" s="203">
        <f t="shared" si="205"/>
        <v>18.200000000001396</v>
      </c>
      <c r="R1643" s="160" t="s">
        <v>55</v>
      </c>
      <c r="S1643" s="201">
        <f t="shared" si="206"/>
        <v>-2.4922057627542515E-2</v>
      </c>
    </row>
    <row r="1644" spans="1:19">
      <c r="A1644" s="196">
        <v>42352</v>
      </c>
      <c r="B1644" s="122">
        <v>15.58</v>
      </c>
      <c r="C1644" s="122">
        <v>15.92</v>
      </c>
      <c r="D1644" s="122">
        <v>15.58</v>
      </c>
      <c r="E1644" s="122">
        <v>15.75</v>
      </c>
      <c r="F1644" s="122">
        <v>13.37969</v>
      </c>
      <c r="G1644" s="197">
        <v>158900</v>
      </c>
      <c r="H1644" s="198">
        <f>IF(AND(E1643&gt;=H1643,E1644&gt;=E1643),E1643*(1+'Trading Model'!$E$13),IF(AND(E1644&lt;E1643,E1643&gt;=H1643),E1644*(1+'Trading Model'!$E$13),H1643))</f>
        <v>27.698998950000004</v>
      </c>
      <c r="I1644" s="198">
        <f>IF(K1644&gt;0,E1644*(1-'Trading Model'!E1654),IF(E1644&lt;I1643,I1643*(1-'Trading Model'!$E$14),I1643))</f>
        <v>8.9840153609188427</v>
      </c>
      <c r="J1644" s="198">
        <f t="shared" si="207"/>
        <v>0</v>
      </c>
      <c r="K1644" s="198">
        <f t="shared" si="202"/>
        <v>0</v>
      </c>
      <c r="L1644" s="198">
        <f>COUNTIF(J1644:K1644,"&lt;&gt;0")*-'Trading Model'!$E$15</f>
        <v>0</v>
      </c>
      <c r="M1644" s="198">
        <f t="shared" si="200"/>
        <v>0</v>
      </c>
      <c r="N1644" s="75">
        <f t="shared" si="203"/>
        <v>45</v>
      </c>
      <c r="O1644" s="202">
        <f t="shared" si="204"/>
        <v>0</v>
      </c>
      <c r="P1644" s="199">
        <f t="shared" si="201"/>
        <v>0</v>
      </c>
      <c r="Q1644" s="203">
        <f t="shared" si="205"/>
        <v>18.200000000001396</v>
      </c>
      <c r="R1644" s="203" t="s">
        <v>55</v>
      </c>
      <c r="S1644" s="201">
        <f t="shared" si="206"/>
        <v>6.389776357827559E-3</v>
      </c>
    </row>
    <row r="1645" spans="1:19">
      <c r="A1645" s="196">
        <v>42353</v>
      </c>
      <c r="B1645" s="122">
        <v>15.84</v>
      </c>
      <c r="C1645" s="122">
        <v>16.120000999999998</v>
      </c>
      <c r="D1645" s="122">
        <v>15.75</v>
      </c>
      <c r="E1645" s="122">
        <v>15.81</v>
      </c>
      <c r="F1645" s="122">
        <v>13.43066</v>
      </c>
      <c r="G1645" s="197">
        <v>383600</v>
      </c>
      <c r="H1645" s="198">
        <f>IF(AND(E1644&gt;=H1644,E1645&gt;=E1644),E1644*(1+'Trading Model'!$E$13),IF(AND(E1645&lt;E1644,E1644&gt;=H1644),E1645*(1+'Trading Model'!$E$13),H1644))</f>
        <v>27.698998950000004</v>
      </c>
      <c r="I1645" s="198">
        <f>IF(K1645&gt;0,E1645*(1-'Trading Model'!E1655),IF(E1645&lt;I1644,I1644*(1-'Trading Model'!$E$14),I1644))</f>
        <v>8.9840153609188427</v>
      </c>
      <c r="J1645" s="198">
        <f t="shared" si="207"/>
        <v>0</v>
      </c>
      <c r="K1645" s="198">
        <f t="shared" si="202"/>
        <v>0</v>
      </c>
      <c r="L1645" s="198">
        <f>COUNTIF(J1645:K1645,"&lt;&gt;0")*-'Trading Model'!$E$15</f>
        <v>0</v>
      </c>
      <c r="M1645" s="198">
        <f t="shared" si="200"/>
        <v>0</v>
      </c>
      <c r="N1645" s="75">
        <f t="shared" si="203"/>
        <v>45</v>
      </c>
      <c r="O1645" s="202">
        <f t="shared" si="204"/>
        <v>0</v>
      </c>
      <c r="P1645" s="199">
        <f t="shared" si="201"/>
        <v>0</v>
      </c>
      <c r="Q1645" s="203">
        <f t="shared" si="205"/>
        <v>18.200000000001396</v>
      </c>
      <c r="R1645" s="203" t="s">
        <v>55</v>
      </c>
      <c r="S1645" s="201">
        <f t="shared" si="206"/>
        <v>3.8095238095239292E-3</v>
      </c>
    </row>
    <row r="1646" spans="1:19">
      <c r="A1646" s="196">
        <v>42354</v>
      </c>
      <c r="B1646" s="122">
        <v>15.77</v>
      </c>
      <c r="C1646" s="122">
        <v>15.89</v>
      </c>
      <c r="D1646" s="122">
        <v>15.53</v>
      </c>
      <c r="E1646" s="122">
        <v>15.8</v>
      </c>
      <c r="F1646" s="122">
        <v>13.422164</v>
      </c>
      <c r="G1646" s="197">
        <v>144500</v>
      </c>
      <c r="H1646" s="198">
        <f>IF(AND(E1645&gt;=H1645,E1646&gt;=E1645),E1645*(1+'Trading Model'!$E$13),IF(AND(E1646&lt;E1645,E1645&gt;=H1645),E1646*(1+'Trading Model'!$E$13),H1645))</f>
        <v>27.698998950000004</v>
      </c>
      <c r="I1646" s="198">
        <f>IF(K1646&gt;0,E1646*(1-'Trading Model'!E1656),IF(E1646&lt;I1645,I1645*(1-'Trading Model'!$E$14),I1645))</f>
        <v>8.9840153609188427</v>
      </c>
      <c r="J1646" s="198">
        <f t="shared" si="207"/>
        <v>0</v>
      </c>
      <c r="K1646" s="198">
        <f t="shared" si="202"/>
        <v>0</v>
      </c>
      <c r="L1646" s="198">
        <f>COUNTIF(J1646:K1646,"&lt;&gt;0")*-'Trading Model'!$E$15</f>
        <v>0</v>
      </c>
      <c r="M1646" s="198">
        <f t="shared" si="200"/>
        <v>0</v>
      </c>
      <c r="N1646" s="75">
        <f t="shared" si="203"/>
        <v>45</v>
      </c>
      <c r="O1646" s="202">
        <f t="shared" si="204"/>
        <v>0</v>
      </c>
      <c r="P1646" s="199">
        <f t="shared" si="201"/>
        <v>0</v>
      </c>
      <c r="Q1646" s="203">
        <f t="shared" si="205"/>
        <v>18.100000000001394</v>
      </c>
      <c r="R1646" s="203" t="s">
        <v>55</v>
      </c>
      <c r="S1646" s="201">
        <f t="shared" si="206"/>
        <v>-6.3251106894368636E-4</v>
      </c>
    </row>
    <row r="1647" spans="1:19">
      <c r="A1647" s="196">
        <v>42355</v>
      </c>
      <c r="B1647" s="122">
        <v>15.9</v>
      </c>
      <c r="C1647" s="122">
        <v>16.959999</v>
      </c>
      <c r="D1647" s="122">
        <v>15.83</v>
      </c>
      <c r="E1647" s="122">
        <v>16.450001</v>
      </c>
      <c r="F1647" s="122">
        <v>13.974342999999999</v>
      </c>
      <c r="G1647" s="197">
        <v>137800</v>
      </c>
      <c r="H1647" s="198">
        <f>IF(AND(E1646&gt;=H1646,E1647&gt;=E1646),E1646*(1+'Trading Model'!$E$13),IF(AND(E1647&lt;E1646,E1646&gt;=H1646),E1647*(1+'Trading Model'!$E$13),H1646))</f>
        <v>27.698998950000004</v>
      </c>
      <c r="I1647" s="198">
        <f>IF(K1647&gt;0,E1647*(1-'Trading Model'!E1657),IF(E1647&lt;I1646,I1646*(1-'Trading Model'!$E$14),I1646))</f>
        <v>8.9840153609188427</v>
      </c>
      <c r="J1647" s="198">
        <f t="shared" si="207"/>
        <v>0</v>
      </c>
      <c r="K1647" s="198">
        <f t="shared" si="202"/>
        <v>0</v>
      </c>
      <c r="L1647" s="198">
        <f>COUNTIF(J1647:K1647,"&lt;&gt;0")*-'Trading Model'!$E$15</f>
        <v>0</v>
      </c>
      <c r="M1647" s="198">
        <f t="shared" si="200"/>
        <v>0</v>
      </c>
      <c r="N1647" s="75">
        <f t="shared" si="203"/>
        <v>45</v>
      </c>
      <c r="O1647" s="202">
        <f t="shared" si="204"/>
        <v>0</v>
      </c>
      <c r="P1647" s="199">
        <f t="shared" si="201"/>
        <v>0</v>
      </c>
      <c r="Q1647" s="203">
        <f t="shared" si="205"/>
        <v>18.100000000001394</v>
      </c>
      <c r="R1647" s="201">
        <f>E1647/B1643-1</f>
        <v>4.4444507936507893E-2</v>
      </c>
      <c r="S1647" s="201">
        <f t="shared" si="206"/>
        <v>4.113930379746833E-2</v>
      </c>
    </row>
    <row r="1648" spans="1:19">
      <c r="A1648" s="196">
        <v>42356</v>
      </c>
      <c r="B1648" s="122">
        <v>16.360001</v>
      </c>
      <c r="C1648" s="122">
        <v>16.649999999999999</v>
      </c>
      <c r="D1648" s="122">
        <v>16.219999000000001</v>
      </c>
      <c r="E1648" s="122">
        <v>16.32</v>
      </c>
      <c r="F1648" s="122">
        <v>13.863906</v>
      </c>
      <c r="G1648" s="197">
        <v>265500</v>
      </c>
      <c r="H1648" s="198">
        <f>IF(AND(E1647&gt;=H1647,E1648&gt;=E1647),E1647*(1+'Trading Model'!$E$13),IF(AND(E1648&lt;E1647,E1647&gt;=H1647),E1648*(1+'Trading Model'!$E$13),H1647))</f>
        <v>27.698998950000004</v>
      </c>
      <c r="I1648" s="198">
        <f>IF(K1648&gt;0,E1648*(1-'Trading Model'!E1658),IF(E1648&lt;I1647,I1647*(1-'Trading Model'!$E$14),I1647))</f>
        <v>8.9840153609188427</v>
      </c>
      <c r="J1648" s="198">
        <f t="shared" si="207"/>
        <v>0</v>
      </c>
      <c r="K1648" s="198">
        <f t="shared" si="202"/>
        <v>0</v>
      </c>
      <c r="L1648" s="198">
        <f>COUNTIF(J1648:K1648,"&lt;&gt;0")*-'Trading Model'!$E$15</f>
        <v>0</v>
      </c>
      <c r="M1648" s="198">
        <f t="shared" si="200"/>
        <v>0</v>
      </c>
      <c r="N1648" s="75">
        <f t="shared" si="203"/>
        <v>45</v>
      </c>
      <c r="O1648" s="202">
        <f t="shared" si="204"/>
        <v>0</v>
      </c>
      <c r="P1648" s="199">
        <f t="shared" si="201"/>
        <v>0</v>
      </c>
      <c r="Q1648" s="203">
        <f t="shared" si="205"/>
        <v>18.000000000001393</v>
      </c>
      <c r="R1648" s="160" t="s">
        <v>55</v>
      </c>
      <c r="S1648" s="201">
        <f t="shared" si="206"/>
        <v>-7.902795872170465E-3</v>
      </c>
    </row>
    <row r="1649" spans="1:19">
      <c r="A1649" s="196">
        <v>42359</v>
      </c>
      <c r="B1649" s="122">
        <v>16.299999</v>
      </c>
      <c r="C1649" s="122">
        <v>17</v>
      </c>
      <c r="D1649" s="122">
        <v>16.149999999999999</v>
      </c>
      <c r="E1649" s="122">
        <v>16.809999000000001</v>
      </c>
      <c r="F1649" s="122">
        <v>14.280163999999999</v>
      </c>
      <c r="G1649" s="197">
        <v>188800</v>
      </c>
      <c r="H1649" s="198">
        <f>IF(AND(E1648&gt;=H1648,E1649&gt;=E1648),E1648*(1+'Trading Model'!$E$13),IF(AND(E1649&lt;E1648,E1648&gt;=H1648),E1649*(1+'Trading Model'!$E$13),H1648))</f>
        <v>27.698998950000004</v>
      </c>
      <c r="I1649" s="198">
        <f>IF(K1649&gt;0,E1649*(1-'Trading Model'!E1659),IF(E1649&lt;I1648,I1648*(1-'Trading Model'!$E$14),I1648))</f>
        <v>8.9840153609188427</v>
      </c>
      <c r="J1649" s="198">
        <f t="shared" si="207"/>
        <v>0</v>
      </c>
      <c r="K1649" s="198">
        <f t="shared" si="202"/>
        <v>0</v>
      </c>
      <c r="L1649" s="198">
        <f>COUNTIF(J1649:K1649,"&lt;&gt;0")*-'Trading Model'!$E$15</f>
        <v>0</v>
      </c>
      <c r="M1649" s="198">
        <f t="shared" si="200"/>
        <v>0</v>
      </c>
      <c r="N1649" s="75">
        <f t="shared" si="203"/>
        <v>45</v>
      </c>
      <c r="O1649" s="202">
        <f t="shared" si="204"/>
        <v>0</v>
      </c>
      <c r="P1649" s="199">
        <f t="shared" si="201"/>
        <v>0</v>
      </c>
      <c r="Q1649" s="203">
        <f t="shared" si="205"/>
        <v>18.000000000001393</v>
      </c>
      <c r="R1649" s="203" t="s">
        <v>55</v>
      </c>
      <c r="S1649" s="201">
        <f t="shared" si="206"/>
        <v>3.0024448529411885E-2</v>
      </c>
    </row>
    <row r="1650" spans="1:19">
      <c r="A1650" s="196">
        <v>42360</v>
      </c>
      <c r="B1650" s="122">
        <v>16.75</v>
      </c>
      <c r="C1650" s="122">
        <v>16.84</v>
      </c>
      <c r="D1650" s="122">
        <v>16.280000999999999</v>
      </c>
      <c r="E1650" s="122">
        <v>16.43</v>
      </c>
      <c r="F1650" s="122">
        <v>13.957352</v>
      </c>
      <c r="G1650" s="197">
        <v>94300</v>
      </c>
      <c r="H1650" s="198">
        <f>IF(AND(E1649&gt;=H1649,E1650&gt;=E1649),E1649*(1+'Trading Model'!$E$13),IF(AND(E1650&lt;E1649,E1649&gt;=H1649),E1650*(1+'Trading Model'!$E$13),H1649))</f>
        <v>27.698998950000004</v>
      </c>
      <c r="I1650" s="198">
        <f>IF(K1650&gt;0,E1650*(1-'Trading Model'!E1660),IF(E1650&lt;I1649,I1649*(1-'Trading Model'!$E$14),I1649))</f>
        <v>8.9840153609188427</v>
      </c>
      <c r="J1650" s="198">
        <f t="shared" si="207"/>
        <v>0</v>
      </c>
      <c r="K1650" s="198">
        <f t="shared" si="202"/>
        <v>0</v>
      </c>
      <c r="L1650" s="198">
        <f>COUNTIF(J1650:K1650,"&lt;&gt;0")*-'Trading Model'!$E$15</f>
        <v>0</v>
      </c>
      <c r="M1650" s="198">
        <f t="shared" si="200"/>
        <v>0</v>
      </c>
      <c r="N1650" s="75">
        <f t="shared" si="203"/>
        <v>45</v>
      </c>
      <c r="O1650" s="202">
        <f t="shared" si="204"/>
        <v>0</v>
      </c>
      <c r="P1650" s="199">
        <f t="shared" si="201"/>
        <v>0</v>
      </c>
      <c r="Q1650" s="203">
        <f t="shared" si="205"/>
        <v>17.900000000001391</v>
      </c>
      <c r="R1650" s="203" t="s">
        <v>55</v>
      </c>
      <c r="S1650" s="201">
        <f t="shared" si="206"/>
        <v>-2.2605533765944985E-2</v>
      </c>
    </row>
    <row r="1651" spans="1:19">
      <c r="A1651" s="196">
        <v>42361</v>
      </c>
      <c r="B1651" s="122">
        <v>16.629999000000002</v>
      </c>
      <c r="C1651" s="122">
        <v>16.959999</v>
      </c>
      <c r="D1651" s="122">
        <v>16.530000999999999</v>
      </c>
      <c r="E1651" s="122">
        <v>16.620000999999998</v>
      </c>
      <c r="F1651" s="122">
        <v>14.118758</v>
      </c>
      <c r="G1651" s="197">
        <v>58800</v>
      </c>
      <c r="H1651" s="198">
        <f>IF(AND(E1650&gt;=H1650,E1651&gt;=E1650),E1650*(1+'Trading Model'!$E$13),IF(AND(E1651&lt;E1650,E1650&gt;=H1650),E1651*(1+'Trading Model'!$E$13),H1650))</f>
        <v>27.698998950000004</v>
      </c>
      <c r="I1651" s="198">
        <f>IF(K1651&gt;0,E1651*(1-'Trading Model'!E1661),IF(E1651&lt;I1650,I1650*(1-'Trading Model'!$E$14),I1650))</f>
        <v>8.9840153609188427</v>
      </c>
      <c r="J1651" s="198">
        <f t="shared" si="207"/>
        <v>0</v>
      </c>
      <c r="K1651" s="198">
        <f t="shared" si="202"/>
        <v>0</v>
      </c>
      <c r="L1651" s="198">
        <f>COUNTIF(J1651:K1651,"&lt;&gt;0")*-'Trading Model'!$E$15</f>
        <v>0</v>
      </c>
      <c r="M1651" s="198">
        <f t="shared" si="200"/>
        <v>0</v>
      </c>
      <c r="N1651" s="75">
        <f t="shared" si="203"/>
        <v>45</v>
      </c>
      <c r="O1651" s="202">
        <f t="shared" si="204"/>
        <v>0</v>
      </c>
      <c r="P1651" s="199">
        <f t="shared" si="201"/>
        <v>0</v>
      </c>
      <c r="Q1651" s="203">
        <f t="shared" si="205"/>
        <v>17.900000000001391</v>
      </c>
      <c r="R1651" s="203" t="s">
        <v>55</v>
      </c>
      <c r="S1651" s="201">
        <f t="shared" si="206"/>
        <v>1.15642726719416E-2</v>
      </c>
    </row>
    <row r="1652" spans="1:19">
      <c r="A1652" s="196">
        <v>42362</v>
      </c>
      <c r="B1652" s="122">
        <v>16.57</v>
      </c>
      <c r="C1652" s="122">
        <v>17</v>
      </c>
      <c r="D1652" s="122">
        <v>16.440000999999999</v>
      </c>
      <c r="E1652" s="122">
        <v>16.84</v>
      </c>
      <c r="F1652" s="122">
        <v>14.305649000000001</v>
      </c>
      <c r="G1652" s="197">
        <v>51700</v>
      </c>
      <c r="H1652" s="198">
        <f>IF(AND(E1651&gt;=H1651,E1652&gt;=E1651),E1651*(1+'Trading Model'!$E$13),IF(AND(E1652&lt;E1651,E1651&gt;=H1651),E1652*(1+'Trading Model'!$E$13),H1651))</f>
        <v>27.698998950000004</v>
      </c>
      <c r="I1652" s="198">
        <f>IF(K1652&gt;0,E1652*(1-'Trading Model'!E1662),IF(E1652&lt;I1651,I1651*(1-'Trading Model'!$E$14),I1651))</f>
        <v>8.9840153609188427</v>
      </c>
      <c r="J1652" s="198">
        <f t="shared" si="207"/>
        <v>0</v>
      </c>
      <c r="K1652" s="198">
        <f t="shared" si="202"/>
        <v>0</v>
      </c>
      <c r="L1652" s="198">
        <f>COUNTIF(J1652:K1652,"&lt;&gt;0")*-'Trading Model'!$E$15</f>
        <v>0</v>
      </c>
      <c r="M1652" s="198">
        <f t="shared" si="200"/>
        <v>0</v>
      </c>
      <c r="N1652" s="75">
        <f t="shared" si="203"/>
        <v>45</v>
      </c>
      <c r="O1652" s="202">
        <f t="shared" si="204"/>
        <v>0</v>
      </c>
      <c r="P1652" s="199">
        <f t="shared" si="201"/>
        <v>0</v>
      </c>
      <c r="Q1652" s="203">
        <f t="shared" si="205"/>
        <v>17.900000000001391</v>
      </c>
      <c r="R1652" s="201">
        <f>E1652/B1648-1</f>
        <v>2.933979038265333E-2</v>
      </c>
      <c r="S1652" s="201">
        <f t="shared" si="206"/>
        <v>1.3237002813658139E-2</v>
      </c>
    </row>
    <row r="1653" spans="1:19">
      <c r="A1653" s="196">
        <v>42366</v>
      </c>
      <c r="B1653" s="122">
        <v>16.73</v>
      </c>
      <c r="C1653" s="122">
        <v>16.829999999999998</v>
      </c>
      <c r="D1653" s="122">
        <v>16.209999</v>
      </c>
      <c r="E1653" s="122">
        <v>16.549999</v>
      </c>
      <c r="F1653" s="122">
        <v>14.059291</v>
      </c>
      <c r="G1653" s="197">
        <v>80500</v>
      </c>
      <c r="H1653" s="198">
        <f>IF(AND(E1652&gt;=H1652,E1653&gt;=E1652),E1652*(1+'Trading Model'!$E$13),IF(AND(E1653&lt;E1652,E1652&gt;=H1652),E1653*(1+'Trading Model'!$E$13),H1652))</f>
        <v>27.698998950000004</v>
      </c>
      <c r="I1653" s="198">
        <f>IF(K1653&gt;0,E1653*(1-'Trading Model'!E1663),IF(E1653&lt;I1652,I1652*(1-'Trading Model'!$E$14),I1652))</f>
        <v>8.9840153609188427</v>
      </c>
      <c r="J1653" s="198">
        <f t="shared" si="207"/>
        <v>0</v>
      </c>
      <c r="K1653" s="198">
        <f t="shared" si="202"/>
        <v>0</v>
      </c>
      <c r="L1653" s="198">
        <f>COUNTIF(J1653:K1653,"&lt;&gt;0")*-'Trading Model'!$E$15</f>
        <v>0</v>
      </c>
      <c r="M1653" s="198">
        <f t="shared" si="200"/>
        <v>0</v>
      </c>
      <c r="N1653" s="75">
        <f t="shared" si="203"/>
        <v>45</v>
      </c>
      <c r="O1653" s="202">
        <f t="shared" si="204"/>
        <v>0</v>
      </c>
      <c r="P1653" s="199">
        <f t="shared" si="201"/>
        <v>0</v>
      </c>
      <c r="Q1653" s="203">
        <f t="shared" si="205"/>
        <v>17.80000000000139</v>
      </c>
      <c r="R1653" s="160" t="s">
        <v>55</v>
      </c>
      <c r="S1653" s="201">
        <f t="shared" si="206"/>
        <v>-1.7220961995249362E-2</v>
      </c>
    </row>
    <row r="1654" spans="1:19">
      <c r="A1654" s="196">
        <v>42367</v>
      </c>
      <c r="B1654" s="122">
        <v>16.59</v>
      </c>
      <c r="C1654" s="122">
        <v>16.629999000000002</v>
      </c>
      <c r="D1654" s="122">
        <v>16.209999</v>
      </c>
      <c r="E1654" s="122">
        <v>16.530000999999999</v>
      </c>
      <c r="F1654" s="122">
        <v>14.042303</v>
      </c>
      <c r="G1654" s="197">
        <v>94400</v>
      </c>
      <c r="H1654" s="198">
        <f>IF(AND(E1653&gt;=H1653,E1654&gt;=E1653),E1653*(1+'Trading Model'!$E$13),IF(AND(E1654&lt;E1653,E1653&gt;=H1653),E1654*(1+'Trading Model'!$E$13),H1653))</f>
        <v>27.698998950000004</v>
      </c>
      <c r="I1654" s="198">
        <f>IF(K1654&gt;0,E1654*(1-'Trading Model'!E1664),IF(E1654&lt;I1653,I1653*(1-'Trading Model'!$E$14),I1653))</f>
        <v>8.9840153609188427</v>
      </c>
      <c r="J1654" s="198">
        <f t="shared" si="207"/>
        <v>0</v>
      </c>
      <c r="K1654" s="198">
        <f t="shared" si="202"/>
        <v>0</v>
      </c>
      <c r="L1654" s="198">
        <f>COUNTIF(J1654:K1654,"&lt;&gt;0")*-'Trading Model'!$E$15</f>
        <v>0</v>
      </c>
      <c r="M1654" s="198">
        <f t="shared" si="200"/>
        <v>0</v>
      </c>
      <c r="N1654" s="75">
        <f t="shared" si="203"/>
        <v>45</v>
      </c>
      <c r="O1654" s="202">
        <f t="shared" si="204"/>
        <v>0</v>
      </c>
      <c r="P1654" s="199">
        <f t="shared" si="201"/>
        <v>0</v>
      </c>
      <c r="Q1654" s="203">
        <f t="shared" si="205"/>
        <v>17.700000000001388</v>
      </c>
      <c r="R1654" s="203" t="s">
        <v>55</v>
      </c>
      <c r="S1654" s="201">
        <f t="shared" si="206"/>
        <v>-1.2083384415915166E-3</v>
      </c>
    </row>
    <row r="1655" spans="1:19">
      <c r="A1655" s="196">
        <v>42368</v>
      </c>
      <c r="B1655" s="122">
        <v>16.399999999999999</v>
      </c>
      <c r="C1655" s="122">
        <v>16.620000999999998</v>
      </c>
      <c r="D1655" s="122">
        <v>16.139999</v>
      </c>
      <c r="E1655" s="122">
        <v>16.610001</v>
      </c>
      <c r="F1655" s="122">
        <v>14.110263</v>
      </c>
      <c r="G1655" s="197">
        <v>103400</v>
      </c>
      <c r="H1655" s="198">
        <f>IF(AND(E1654&gt;=H1654,E1655&gt;=E1654),E1654*(1+'Trading Model'!$E$13),IF(AND(E1655&lt;E1654,E1654&gt;=H1654),E1655*(1+'Trading Model'!$E$13),H1654))</f>
        <v>27.698998950000004</v>
      </c>
      <c r="I1655" s="198">
        <f>IF(K1655&gt;0,E1655*(1-'Trading Model'!E1665),IF(E1655&lt;I1654,I1654*(1-'Trading Model'!$E$14),I1654))</f>
        <v>8.9840153609188427</v>
      </c>
      <c r="J1655" s="198">
        <f t="shared" si="207"/>
        <v>0</v>
      </c>
      <c r="K1655" s="198">
        <f t="shared" si="202"/>
        <v>0</v>
      </c>
      <c r="L1655" s="198">
        <f>COUNTIF(J1655:K1655,"&lt;&gt;0")*-'Trading Model'!$E$15</f>
        <v>0</v>
      </c>
      <c r="M1655" s="198">
        <f t="shared" si="200"/>
        <v>0</v>
      </c>
      <c r="N1655" s="75">
        <f t="shared" si="203"/>
        <v>45</v>
      </c>
      <c r="O1655" s="202">
        <f t="shared" si="204"/>
        <v>0</v>
      </c>
      <c r="P1655" s="199">
        <f t="shared" si="201"/>
        <v>0</v>
      </c>
      <c r="Q1655" s="203">
        <f t="shared" si="205"/>
        <v>17.700000000001388</v>
      </c>
      <c r="R1655" s="203" t="s">
        <v>55</v>
      </c>
      <c r="S1655" s="201">
        <f t="shared" si="206"/>
        <v>4.8396851276659714E-3</v>
      </c>
    </row>
    <row r="1656" spans="1:19">
      <c r="A1656" s="196">
        <v>42369</v>
      </c>
      <c r="B1656" s="122">
        <v>16.360001</v>
      </c>
      <c r="C1656" s="122">
        <v>16.489999999999998</v>
      </c>
      <c r="D1656" s="122">
        <v>15.93</v>
      </c>
      <c r="E1656" s="122">
        <v>16.07</v>
      </c>
      <c r="F1656" s="122">
        <v>13.651529999999999</v>
      </c>
      <c r="G1656" s="197">
        <v>152400</v>
      </c>
      <c r="H1656" s="198">
        <f>IF(AND(E1655&gt;=H1655,E1656&gt;=E1655),E1655*(1+'Trading Model'!$E$13),IF(AND(E1656&lt;E1655,E1655&gt;=H1655),E1656*(1+'Trading Model'!$E$13),H1655))</f>
        <v>27.698998950000004</v>
      </c>
      <c r="I1656" s="198">
        <f>IF(K1656&gt;0,E1656*(1-'Trading Model'!E1666),IF(E1656&lt;I1655,I1655*(1-'Trading Model'!$E$14),I1655))</f>
        <v>8.9840153609188427</v>
      </c>
      <c r="J1656" s="198">
        <f t="shared" si="207"/>
        <v>0</v>
      </c>
      <c r="K1656" s="198">
        <f t="shared" si="202"/>
        <v>0</v>
      </c>
      <c r="L1656" s="198">
        <f>COUNTIF(J1656:K1656,"&lt;&gt;0")*-'Trading Model'!$E$15</f>
        <v>0</v>
      </c>
      <c r="M1656" s="198">
        <f t="shared" si="200"/>
        <v>0</v>
      </c>
      <c r="N1656" s="75">
        <f t="shared" si="203"/>
        <v>45</v>
      </c>
      <c r="O1656" s="202">
        <f t="shared" si="204"/>
        <v>0</v>
      </c>
      <c r="P1656" s="199">
        <f t="shared" si="201"/>
        <v>0</v>
      </c>
      <c r="Q1656" s="203">
        <f t="shared" si="205"/>
        <v>17.600000000001387</v>
      </c>
      <c r="R1656" s="203" t="s">
        <v>55</v>
      </c>
      <c r="S1656" s="201">
        <f t="shared" si="206"/>
        <v>-3.251059406919965E-2</v>
      </c>
    </row>
    <row r="1657" spans="1:19">
      <c r="A1657" s="196">
        <v>42373</v>
      </c>
      <c r="B1657" s="122">
        <v>15.8</v>
      </c>
      <c r="C1657" s="122">
        <v>16.149999999999999</v>
      </c>
      <c r="D1657" s="122">
        <v>15.54</v>
      </c>
      <c r="E1657" s="122">
        <v>15.68</v>
      </c>
      <c r="F1657" s="122">
        <v>13.320224</v>
      </c>
      <c r="G1657" s="197">
        <v>100700</v>
      </c>
      <c r="H1657" s="198">
        <f>IF(AND(E1656&gt;=H1656,E1657&gt;=E1656),E1656*(1+'Trading Model'!$E$13),IF(AND(E1657&lt;E1656,E1656&gt;=H1656),E1657*(1+'Trading Model'!$E$13),H1656))</f>
        <v>27.698998950000004</v>
      </c>
      <c r="I1657" s="198">
        <f>IF(K1657&gt;0,E1657*(1-'Trading Model'!E1667),IF(E1657&lt;I1656,I1656*(1-'Trading Model'!$E$14),I1656))</f>
        <v>8.9840153609188427</v>
      </c>
      <c r="J1657" s="198">
        <f t="shared" si="207"/>
        <v>0</v>
      </c>
      <c r="K1657" s="198">
        <f t="shared" si="202"/>
        <v>0</v>
      </c>
      <c r="L1657" s="198">
        <f>COUNTIF(J1657:K1657,"&lt;&gt;0")*-'Trading Model'!$E$15</f>
        <v>0</v>
      </c>
      <c r="M1657" s="198">
        <f t="shared" si="200"/>
        <v>0</v>
      </c>
      <c r="N1657" s="75">
        <f t="shared" si="203"/>
        <v>45</v>
      </c>
      <c r="O1657" s="202">
        <f t="shared" si="204"/>
        <v>0</v>
      </c>
      <c r="P1657" s="199">
        <f t="shared" si="201"/>
        <v>0</v>
      </c>
      <c r="Q1657" s="203">
        <f t="shared" si="205"/>
        <v>17.500000000001386</v>
      </c>
      <c r="R1657" s="201">
        <f>E1657/B1653-1</f>
        <v>-6.2761506276150625E-2</v>
      </c>
      <c r="S1657" s="201">
        <f t="shared" si="206"/>
        <v>-2.426882389545737E-2</v>
      </c>
    </row>
    <row r="1658" spans="1:19">
      <c r="A1658" s="196">
        <v>42374</v>
      </c>
      <c r="B1658" s="122">
        <v>15.75</v>
      </c>
      <c r="C1658" s="122">
        <v>16.43</v>
      </c>
      <c r="D1658" s="122">
        <v>15.75</v>
      </c>
      <c r="E1658" s="122">
        <v>16.32</v>
      </c>
      <c r="F1658" s="122">
        <v>13.863906</v>
      </c>
      <c r="G1658" s="197">
        <v>237500</v>
      </c>
      <c r="H1658" s="198">
        <f>IF(AND(E1657&gt;=H1657,E1658&gt;=E1657),E1657*(1+'Trading Model'!$E$13),IF(AND(E1658&lt;E1657,E1657&gt;=H1657),E1658*(1+'Trading Model'!$E$13),H1657))</f>
        <v>27.698998950000004</v>
      </c>
      <c r="I1658" s="198">
        <f>IF(K1658&gt;0,E1658*(1-'Trading Model'!E1668),IF(E1658&lt;I1657,I1657*(1-'Trading Model'!$E$14),I1657))</f>
        <v>8.9840153609188427</v>
      </c>
      <c r="J1658" s="198">
        <f t="shared" si="207"/>
        <v>0</v>
      </c>
      <c r="K1658" s="198">
        <f t="shared" si="202"/>
        <v>0</v>
      </c>
      <c r="L1658" s="198">
        <f>COUNTIF(J1658:K1658,"&lt;&gt;0")*-'Trading Model'!$E$15</f>
        <v>0</v>
      </c>
      <c r="M1658" s="198">
        <f t="shared" si="200"/>
        <v>0</v>
      </c>
      <c r="N1658" s="75">
        <f t="shared" si="203"/>
        <v>45</v>
      </c>
      <c r="O1658" s="202">
        <f t="shared" si="204"/>
        <v>0</v>
      </c>
      <c r="P1658" s="199">
        <f t="shared" si="201"/>
        <v>0</v>
      </c>
      <c r="Q1658" s="203">
        <f t="shared" si="205"/>
        <v>17.500000000001386</v>
      </c>
      <c r="R1658" s="160" t="s">
        <v>55</v>
      </c>
      <c r="S1658" s="201">
        <f t="shared" si="206"/>
        <v>4.081632653061229E-2</v>
      </c>
    </row>
    <row r="1659" spans="1:19">
      <c r="A1659" s="196">
        <v>42375</v>
      </c>
      <c r="B1659" s="122">
        <v>16.110001</v>
      </c>
      <c r="C1659" s="122">
        <v>16.360001</v>
      </c>
      <c r="D1659" s="122">
        <v>16</v>
      </c>
      <c r="E1659" s="122">
        <v>16.299999</v>
      </c>
      <c r="F1659" s="122">
        <v>13.846916</v>
      </c>
      <c r="G1659" s="197">
        <v>113000</v>
      </c>
      <c r="H1659" s="198">
        <f>IF(AND(E1658&gt;=H1658,E1659&gt;=E1658),E1658*(1+'Trading Model'!$E$13),IF(AND(E1659&lt;E1658,E1658&gt;=H1658),E1659*(1+'Trading Model'!$E$13),H1658))</f>
        <v>27.698998950000004</v>
      </c>
      <c r="I1659" s="198">
        <f>IF(K1659&gt;0,E1659*(1-'Trading Model'!E1669),IF(E1659&lt;I1658,I1658*(1-'Trading Model'!$E$14),I1658))</f>
        <v>8.9840153609188427</v>
      </c>
      <c r="J1659" s="198">
        <f t="shared" si="207"/>
        <v>0</v>
      </c>
      <c r="K1659" s="198">
        <f t="shared" si="202"/>
        <v>0</v>
      </c>
      <c r="L1659" s="198">
        <f>COUNTIF(J1659:K1659,"&lt;&gt;0")*-'Trading Model'!$E$15</f>
        <v>0</v>
      </c>
      <c r="M1659" s="198">
        <f t="shared" si="200"/>
        <v>0</v>
      </c>
      <c r="N1659" s="75">
        <f t="shared" si="203"/>
        <v>45</v>
      </c>
      <c r="O1659" s="202">
        <f t="shared" si="204"/>
        <v>0</v>
      </c>
      <c r="P1659" s="199">
        <f t="shared" si="201"/>
        <v>0</v>
      </c>
      <c r="Q1659" s="203">
        <f t="shared" si="205"/>
        <v>17.400000000001384</v>
      </c>
      <c r="R1659" s="203" t="s">
        <v>55</v>
      </c>
      <c r="S1659" s="201">
        <f t="shared" si="206"/>
        <v>-1.2255514705882264E-3</v>
      </c>
    </row>
    <row r="1660" spans="1:19">
      <c r="A1660" s="196">
        <v>42376</v>
      </c>
      <c r="B1660" s="122">
        <v>16.040001</v>
      </c>
      <c r="C1660" s="122">
        <v>16.25</v>
      </c>
      <c r="D1660" s="122">
        <v>15.67</v>
      </c>
      <c r="E1660" s="122">
        <v>15.89</v>
      </c>
      <c r="F1660" s="122">
        <v>13.498620000000001</v>
      </c>
      <c r="G1660" s="197">
        <v>137500</v>
      </c>
      <c r="H1660" s="198">
        <f>IF(AND(E1659&gt;=H1659,E1660&gt;=E1659),E1659*(1+'Trading Model'!$E$13),IF(AND(E1660&lt;E1659,E1659&gt;=H1659),E1660*(1+'Trading Model'!$E$13),H1659))</f>
        <v>27.698998950000004</v>
      </c>
      <c r="I1660" s="198">
        <f>IF(K1660&gt;0,E1660*(1-'Trading Model'!E1670),IF(E1660&lt;I1659,I1659*(1-'Trading Model'!$E$14),I1659))</f>
        <v>8.9840153609188427</v>
      </c>
      <c r="J1660" s="198">
        <f t="shared" si="207"/>
        <v>0</v>
      </c>
      <c r="K1660" s="198">
        <f t="shared" si="202"/>
        <v>0</v>
      </c>
      <c r="L1660" s="198">
        <f>COUNTIF(J1660:K1660,"&lt;&gt;0")*-'Trading Model'!$E$15</f>
        <v>0</v>
      </c>
      <c r="M1660" s="198">
        <f t="shared" si="200"/>
        <v>0</v>
      </c>
      <c r="N1660" s="75">
        <f t="shared" si="203"/>
        <v>45</v>
      </c>
      <c r="O1660" s="202">
        <f t="shared" si="204"/>
        <v>0</v>
      </c>
      <c r="P1660" s="199">
        <f t="shared" si="201"/>
        <v>0</v>
      </c>
      <c r="Q1660" s="203">
        <f t="shared" si="205"/>
        <v>17.300000000001383</v>
      </c>
      <c r="R1660" s="203" t="s">
        <v>55</v>
      </c>
      <c r="S1660" s="201">
        <f t="shared" si="206"/>
        <v>-2.5153314426583639E-2</v>
      </c>
    </row>
    <row r="1661" spans="1:19">
      <c r="A1661" s="196">
        <v>42377</v>
      </c>
      <c r="B1661" s="122">
        <v>16.010000000000002</v>
      </c>
      <c r="C1661" s="122">
        <v>16.059999000000001</v>
      </c>
      <c r="D1661" s="122">
        <v>15.52</v>
      </c>
      <c r="E1661" s="122">
        <v>15.76</v>
      </c>
      <c r="F1661" s="122">
        <v>13.388185</v>
      </c>
      <c r="G1661" s="197">
        <v>128700</v>
      </c>
      <c r="H1661" s="198">
        <f>IF(AND(E1660&gt;=H1660,E1661&gt;=E1660),E1660*(1+'Trading Model'!$E$13),IF(AND(E1661&lt;E1660,E1660&gt;=H1660),E1661*(1+'Trading Model'!$E$13),H1660))</f>
        <v>27.698998950000004</v>
      </c>
      <c r="I1661" s="198">
        <f>IF(K1661&gt;0,E1661*(1-'Trading Model'!E1671),IF(E1661&lt;I1660,I1660*(1-'Trading Model'!$E$14),I1660))</f>
        <v>8.9840153609188427</v>
      </c>
      <c r="J1661" s="198">
        <f t="shared" si="207"/>
        <v>0</v>
      </c>
      <c r="K1661" s="198">
        <f t="shared" si="202"/>
        <v>0</v>
      </c>
      <c r="L1661" s="198">
        <f>COUNTIF(J1661:K1661,"&lt;&gt;0")*-'Trading Model'!$E$15</f>
        <v>0</v>
      </c>
      <c r="M1661" s="198">
        <f t="shared" si="200"/>
        <v>0</v>
      </c>
      <c r="N1661" s="75">
        <f t="shared" si="203"/>
        <v>45</v>
      </c>
      <c r="O1661" s="202">
        <f t="shared" si="204"/>
        <v>0</v>
      </c>
      <c r="P1661" s="199">
        <f t="shared" si="201"/>
        <v>0</v>
      </c>
      <c r="Q1661" s="203">
        <f t="shared" si="205"/>
        <v>17.200000000001381</v>
      </c>
      <c r="R1661" s="203" t="s">
        <v>55</v>
      </c>
      <c r="S1661" s="201">
        <f t="shared" si="206"/>
        <v>-8.1812460667086695E-3</v>
      </c>
    </row>
    <row r="1662" spans="1:19">
      <c r="A1662" s="196">
        <v>42380</v>
      </c>
      <c r="B1662" s="122">
        <v>15.94</v>
      </c>
      <c r="C1662" s="122">
        <v>15.97</v>
      </c>
      <c r="D1662" s="122">
        <v>15.46</v>
      </c>
      <c r="E1662" s="122">
        <v>15.6</v>
      </c>
      <c r="F1662" s="122">
        <v>13.252264</v>
      </c>
      <c r="G1662" s="197">
        <v>83600</v>
      </c>
      <c r="H1662" s="198">
        <f>IF(AND(E1661&gt;=H1661,E1662&gt;=E1661),E1661*(1+'Trading Model'!$E$13),IF(AND(E1662&lt;E1661,E1661&gt;=H1661),E1662*(1+'Trading Model'!$E$13),H1661))</f>
        <v>27.698998950000004</v>
      </c>
      <c r="I1662" s="198">
        <f>IF(K1662&gt;0,E1662*(1-'Trading Model'!E1672),IF(E1662&lt;I1661,I1661*(1-'Trading Model'!$E$14),I1661))</f>
        <v>8.9840153609188427</v>
      </c>
      <c r="J1662" s="198">
        <f t="shared" si="207"/>
        <v>0</v>
      </c>
      <c r="K1662" s="198">
        <f t="shared" si="202"/>
        <v>0</v>
      </c>
      <c r="L1662" s="198">
        <f>COUNTIF(J1662:K1662,"&lt;&gt;0")*-'Trading Model'!$E$15</f>
        <v>0</v>
      </c>
      <c r="M1662" s="198">
        <f t="shared" si="200"/>
        <v>0</v>
      </c>
      <c r="N1662" s="75">
        <f t="shared" si="203"/>
        <v>45</v>
      </c>
      <c r="O1662" s="202">
        <f t="shared" si="204"/>
        <v>0</v>
      </c>
      <c r="P1662" s="199">
        <f t="shared" si="201"/>
        <v>0</v>
      </c>
      <c r="Q1662" s="203">
        <f t="shared" si="205"/>
        <v>17.10000000000138</v>
      </c>
      <c r="R1662" s="201">
        <f>E1662/B1658-1</f>
        <v>-9.523809523809601E-3</v>
      </c>
      <c r="S1662" s="201">
        <f t="shared" si="206"/>
        <v>-1.0152284263959421E-2</v>
      </c>
    </row>
    <row r="1663" spans="1:19">
      <c r="A1663" s="196">
        <v>42381</v>
      </c>
      <c r="B1663" s="122">
        <v>15.7</v>
      </c>
      <c r="C1663" s="122">
        <v>15.94</v>
      </c>
      <c r="D1663" s="122">
        <v>15.39</v>
      </c>
      <c r="E1663" s="122">
        <v>15.71</v>
      </c>
      <c r="F1663" s="122">
        <v>13.345708999999999</v>
      </c>
      <c r="G1663" s="197">
        <v>83400</v>
      </c>
      <c r="H1663" s="198">
        <f>IF(AND(E1662&gt;=H1662,E1663&gt;=E1662),E1662*(1+'Trading Model'!$E$13),IF(AND(E1663&lt;E1662,E1662&gt;=H1662),E1663*(1+'Trading Model'!$E$13),H1662))</f>
        <v>27.698998950000004</v>
      </c>
      <c r="I1663" s="198">
        <f>IF(K1663&gt;0,E1663*(1-'Trading Model'!E1673),IF(E1663&lt;I1662,I1662*(1-'Trading Model'!$E$14),I1662))</f>
        <v>8.9840153609188427</v>
      </c>
      <c r="J1663" s="198">
        <f t="shared" si="207"/>
        <v>0</v>
      </c>
      <c r="K1663" s="198">
        <f t="shared" si="202"/>
        <v>0</v>
      </c>
      <c r="L1663" s="198">
        <f>COUNTIF(J1663:K1663,"&lt;&gt;0")*-'Trading Model'!$E$15</f>
        <v>0</v>
      </c>
      <c r="M1663" s="198">
        <f t="shared" si="200"/>
        <v>0</v>
      </c>
      <c r="N1663" s="75">
        <f t="shared" si="203"/>
        <v>45</v>
      </c>
      <c r="O1663" s="202">
        <f t="shared" si="204"/>
        <v>0</v>
      </c>
      <c r="P1663" s="199">
        <f t="shared" si="201"/>
        <v>0</v>
      </c>
      <c r="Q1663" s="203">
        <f t="shared" si="205"/>
        <v>17.10000000000138</v>
      </c>
      <c r="R1663" s="160" t="s">
        <v>55</v>
      </c>
      <c r="S1663" s="201">
        <f t="shared" si="206"/>
        <v>7.0512820512820262E-3</v>
      </c>
    </row>
    <row r="1664" spans="1:19">
      <c r="A1664" s="196">
        <v>42382</v>
      </c>
      <c r="B1664" s="122">
        <v>15.75</v>
      </c>
      <c r="C1664" s="122">
        <v>15.86</v>
      </c>
      <c r="D1664" s="122">
        <v>15.57</v>
      </c>
      <c r="E1664" s="122">
        <v>15.62</v>
      </c>
      <c r="F1664" s="122">
        <v>13.269253000000001</v>
      </c>
      <c r="G1664" s="197">
        <v>169700</v>
      </c>
      <c r="H1664" s="198">
        <f>IF(AND(E1663&gt;=H1663,E1664&gt;=E1663),E1663*(1+'Trading Model'!$E$13),IF(AND(E1664&lt;E1663,E1663&gt;=H1663),E1664*(1+'Trading Model'!$E$13),H1663))</f>
        <v>27.698998950000004</v>
      </c>
      <c r="I1664" s="198">
        <f>IF(K1664&gt;0,E1664*(1-'Trading Model'!E1674),IF(E1664&lt;I1663,I1663*(1-'Trading Model'!$E$14),I1663))</f>
        <v>8.9840153609188427</v>
      </c>
      <c r="J1664" s="198">
        <f t="shared" si="207"/>
        <v>0</v>
      </c>
      <c r="K1664" s="198">
        <f t="shared" si="202"/>
        <v>0</v>
      </c>
      <c r="L1664" s="198">
        <f>COUNTIF(J1664:K1664,"&lt;&gt;0")*-'Trading Model'!$E$15</f>
        <v>0</v>
      </c>
      <c r="M1664" s="198">
        <f t="shared" si="200"/>
        <v>0</v>
      </c>
      <c r="N1664" s="75">
        <f t="shared" si="203"/>
        <v>45</v>
      </c>
      <c r="O1664" s="202">
        <f t="shared" si="204"/>
        <v>0</v>
      </c>
      <c r="P1664" s="199">
        <f t="shared" si="201"/>
        <v>0</v>
      </c>
      <c r="Q1664" s="203">
        <f t="shared" si="205"/>
        <v>17.000000000001378</v>
      </c>
      <c r="R1664" s="203" t="s">
        <v>55</v>
      </c>
      <c r="S1664" s="201">
        <f t="shared" si="206"/>
        <v>-5.7288351368556256E-3</v>
      </c>
    </row>
    <row r="1665" spans="1:19">
      <c r="A1665" s="196">
        <v>42383</v>
      </c>
      <c r="B1665" s="122">
        <v>15.61</v>
      </c>
      <c r="C1665" s="122">
        <v>15.7</v>
      </c>
      <c r="D1665" s="122">
        <v>15.1</v>
      </c>
      <c r="E1665" s="122">
        <v>15.42</v>
      </c>
      <c r="F1665" s="122">
        <v>13.099354</v>
      </c>
      <c r="G1665" s="197">
        <v>92300</v>
      </c>
      <c r="H1665" s="198">
        <f>IF(AND(E1664&gt;=H1664,E1665&gt;=E1664),E1664*(1+'Trading Model'!$E$13),IF(AND(E1665&lt;E1664,E1664&gt;=H1664),E1665*(1+'Trading Model'!$E$13),H1664))</f>
        <v>27.698998950000004</v>
      </c>
      <c r="I1665" s="198">
        <f>IF(K1665&gt;0,E1665*(1-'Trading Model'!E1675),IF(E1665&lt;I1664,I1664*(1-'Trading Model'!$E$14),I1664))</f>
        <v>8.9840153609188427</v>
      </c>
      <c r="J1665" s="198">
        <f t="shared" si="207"/>
        <v>0</v>
      </c>
      <c r="K1665" s="198">
        <f t="shared" si="202"/>
        <v>0</v>
      </c>
      <c r="L1665" s="198">
        <f>COUNTIF(J1665:K1665,"&lt;&gt;0")*-'Trading Model'!$E$15</f>
        <v>0</v>
      </c>
      <c r="M1665" s="198">
        <f t="shared" si="200"/>
        <v>0</v>
      </c>
      <c r="N1665" s="75">
        <f t="shared" si="203"/>
        <v>45</v>
      </c>
      <c r="O1665" s="202">
        <f t="shared" si="204"/>
        <v>0</v>
      </c>
      <c r="P1665" s="199">
        <f t="shared" si="201"/>
        <v>0</v>
      </c>
      <c r="Q1665" s="203">
        <f t="shared" si="205"/>
        <v>16.900000000001377</v>
      </c>
      <c r="R1665" s="203" t="s">
        <v>55</v>
      </c>
      <c r="S1665" s="201">
        <f t="shared" si="206"/>
        <v>-1.2804097311139517E-2</v>
      </c>
    </row>
    <row r="1666" spans="1:19">
      <c r="A1666" s="196">
        <v>42384</v>
      </c>
      <c r="B1666" s="122">
        <v>14.94</v>
      </c>
      <c r="C1666" s="122">
        <v>15.48</v>
      </c>
      <c r="D1666" s="122">
        <v>14.57</v>
      </c>
      <c r="E1666" s="122">
        <v>15.4</v>
      </c>
      <c r="F1666" s="122">
        <v>13.082362</v>
      </c>
      <c r="G1666" s="197">
        <v>147200</v>
      </c>
      <c r="H1666" s="198">
        <f>IF(AND(E1665&gt;=H1665,E1666&gt;=E1665),E1665*(1+'Trading Model'!$E$13),IF(AND(E1666&lt;E1665,E1665&gt;=H1665),E1666*(1+'Trading Model'!$E$13),H1665))</f>
        <v>27.698998950000004</v>
      </c>
      <c r="I1666" s="198">
        <f>IF(K1666&gt;0,E1666*(1-'Trading Model'!E1676),IF(E1666&lt;I1665,I1665*(1-'Trading Model'!$E$14),I1665))</f>
        <v>8.9840153609188427</v>
      </c>
      <c r="J1666" s="198">
        <f t="shared" si="207"/>
        <v>0</v>
      </c>
      <c r="K1666" s="198">
        <f t="shared" si="202"/>
        <v>0</v>
      </c>
      <c r="L1666" s="198">
        <f>COUNTIF(J1666:K1666,"&lt;&gt;0")*-'Trading Model'!$E$15</f>
        <v>0</v>
      </c>
      <c r="M1666" s="198">
        <f t="shared" si="200"/>
        <v>0</v>
      </c>
      <c r="N1666" s="75">
        <f t="shared" si="203"/>
        <v>45</v>
      </c>
      <c r="O1666" s="202">
        <f t="shared" si="204"/>
        <v>0</v>
      </c>
      <c r="P1666" s="199">
        <f t="shared" si="201"/>
        <v>0</v>
      </c>
      <c r="Q1666" s="203">
        <f t="shared" si="205"/>
        <v>16.800000000001376</v>
      </c>
      <c r="R1666" s="203" t="s">
        <v>55</v>
      </c>
      <c r="S1666" s="201">
        <f t="shared" si="206"/>
        <v>-1.2970168612191912E-3</v>
      </c>
    </row>
    <row r="1667" spans="1:19">
      <c r="A1667" s="196">
        <v>42388</v>
      </c>
      <c r="B1667" s="122">
        <v>15.5</v>
      </c>
      <c r="C1667" s="122">
        <v>15.5</v>
      </c>
      <c r="D1667" s="122">
        <v>14.62</v>
      </c>
      <c r="E1667" s="122">
        <v>14.83</v>
      </c>
      <c r="F1667" s="122">
        <v>12.598145000000001</v>
      </c>
      <c r="G1667" s="197">
        <v>87100</v>
      </c>
      <c r="H1667" s="198">
        <f>IF(AND(E1666&gt;=H1666,E1667&gt;=E1666),E1666*(1+'Trading Model'!$E$13),IF(AND(E1667&lt;E1666,E1666&gt;=H1666),E1667*(1+'Trading Model'!$E$13),H1666))</f>
        <v>27.698998950000004</v>
      </c>
      <c r="I1667" s="198">
        <f>IF(K1667&gt;0,E1667*(1-'Trading Model'!E1677),IF(E1667&lt;I1666,I1666*(1-'Trading Model'!$E$14),I1666))</f>
        <v>8.9840153609188427</v>
      </c>
      <c r="J1667" s="198">
        <f t="shared" si="207"/>
        <v>0</v>
      </c>
      <c r="K1667" s="198">
        <f t="shared" si="202"/>
        <v>0</v>
      </c>
      <c r="L1667" s="198">
        <f>COUNTIF(J1667:K1667,"&lt;&gt;0")*-'Trading Model'!$E$15</f>
        <v>0</v>
      </c>
      <c r="M1667" s="198">
        <f t="shared" ref="M1667:M1730" si="208">SUM(J1667:L1667)</f>
        <v>0</v>
      </c>
      <c r="N1667" s="75">
        <f t="shared" si="203"/>
        <v>45</v>
      </c>
      <c r="O1667" s="202">
        <f t="shared" si="204"/>
        <v>0</v>
      </c>
      <c r="P1667" s="199">
        <f t="shared" ref="P1667:P1730" si="209">IFERROR(VLOOKUP(A1667,Dividends,2,FALSE),$U$1)</f>
        <v>0</v>
      </c>
      <c r="Q1667" s="203">
        <f t="shared" si="205"/>
        <v>16.700000000001374</v>
      </c>
      <c r="R1667" s="201">
        <f>E1667/B1663-1</f>
        <v>-5.5414012738853491E-2</v>
      </c>
      <c r="S1667" s="201">
        <f t="shared" si="206"/>
        <v>-3.7012987012987053E-2</v>
      </c>
    </row>
    <row r="1668" spans="1:19">
      <c r="A1668" s="196">
        <v>42389</v>
      </c>
      <c r="B1668" s="122">
        <v>14.61</v>
      </c>
      <c r="C1668" s="122">
        <v>14.61</v>
      </c>
      <c r="D1668" s="122">
        <v>14.03</v>
      </c>
      <c r="E1668" s="122">
        <v>14.49</v>
      </c>
      <c r="F1668" s="122">
        <v>12.309314000000001</v>
      </c>
      <c r="G1668" s="197">
        <v>160700</v>
      </c>
      <c r="H1668" s="198">
        <f>IF(AND(E1667&gt;=H1667,E1668&gt;=E1667),E1667*(1+'Trading Model'!$E$13),IF(AND(E1668&lt;E1667,E1667&gt;=H1667),E1668*(1+'Trading Model'!$E$13),H1667))</f>
        <v>27.698998950000004</v>
      </c>
      <c r="I1668" s="198">
        <f>IF(K1668&gt;0,E1668*(1-'Trading Model'!E1678),IF(E1668&lt;I1667,I1667*(1-'Trading Model'!$E$14),I1667))</f>
        <v>8.9840153609188427</v>
      </c>
      <c r="J1668" s="198">
        <f t="shared" si="207"/>
        <v>0</v>
      </c>
      <c r="K1668" s="198">
        <f t="shared" ref="K1668:K1731" si="210">IF(E1668&gt;=H1668,E1668,0)</f>
        <v>0</v>
      </c>
      <c r="L1668" s="198">
        <f>COUNTIF(J1668:K1668,"&lt;&gt;0")*-'Trading Model'!$E$15</f>
        <v>0</v>
      </c>
      <c r="M1668" s="198">
        <f t="shared" si="208"/>
        <v>0</v>
      </c>
      <c r="N1668" s="75">
        <f t="shared" ref="N1668:N1731" si="211">IF(AND(J1668&lt;0,K1668&gt;0),N1667,(IF(J1668&lt;0,N1667+1,IF(K1668&gt;0,N1667+1,N1667))))</f>
        <v>45</v>
      </c>
      <c r="O1668" s="202">
        <f t="shared" ref="O1668:O1731" si="212">P1668</f>
        <v>0</v>
      </c>
      <c r="P1668" s="199">
        <f t="shared" si="209"/>
        <v>0</v>
      </c>
      <c r="Q1668" s="203">
        <f t="shared" ref="Q1668:Q1731" si="213">IF(E1668&lt;E1667,Q1667-0.1,Q1667)</f>
        <v>16.600000000001373</v>
      </c>
      <c r="R1668" s="160" t="s">
        <v>55</v>
      </c>
      <c r="S1668" s="201">
        <f t="shared" ref="S1668:S1731" si="214">E1668/E1667-1</f>
        <v>-2.2926500337154376E-2</v>
      </c>
    </row>
    <row r="1669" spans="1:19">
      <c r="A1669" s="196">
        <v>42390</v>
      </c>
      <c r="B1669" s="122">
        <v>14.37</v>
      </c>
      <c r="C1669" s="122">
        <v>15.17</v>
      </c>
      <c r="D1669" s="122">
        <v>14.04</v>
      </c>
      <c r="E1669" s="122">
        <v>14.7</v>
      </c>
      <c r="F1669" s="122">
        <v>12.487709000000001</v>
      </c>
      <c r="G1669" s="197">
        <v>108400</v>
      </c>
      <c r="H1669" s="198">
        <f>IF(AND(E1668&gt;=H1668,E1669&gt;=E1668),E1668*(1+'Trading Model'!$E$13),IF(AND(E1669&lt;E1668,E1668&gt;=H1668),E1669*(1+'Trading Model'!$E$13),H1668))</f>
        <v>27.698998950000004</v>
      </c>
      <c r="I1669" s="198">
        <f>IF(K1669&gt;0,E1669*(1-'Trading Model'!E1679),IF(E1669&lt;I1668,I1668*(1-'Trading Model'!$E$14),I1668))</f>
        <v>8.9840153609188427</v>
      </c>
      <c r="J1669" s="198">
        <f t="shared" ref="J1669:J1732" si="215">IF(E1669&gt;=H1669,-E1669,IF(E1669&lt;=I1668,-E1669,0))</f>
        <v>0</v>
      </c>
      <c r="K1669" s="198">
        <f t="shared" si="210"/>
        <v>0</v>
      </c>
      <c r="L1669" s="198">
        <f>COUNTIF(J1669:K1669,"&lt;&gt;0")*-'Trading Model'!$E$15</f>
        <v>0</v>
      </c>
      <c r="M1669" s="198">
        <f t="shared" si="208"/>
        <v>0</v>
      </c>
      <c r="N1669" s="75">
        <f t="shared" si="211"/>
        <v>45</v>
      </c>
      <c r="O1669" s="202">
        <f t="shared" si="212"/>
        <v>0</v>
      </c>
      <c r="P1669" s="199">
        <f t="shared" si="209"/>
        <v>0</v>
      </c>
      <c r="Q1669" s="203">
        <f t="shared" si="213"/>
        <v>16.600000000001373</v>
      </c>
      <c r="R1669" s="203" t="s">
        <v>55</v>
      </c>
      <c r="S1669" s="201">
        <f t="shared" si="214"/>
        <v>1.4492753623188248E-2</v>
      </c>
    </row>
    <row r="1670" spans="1:19">
      <c r="A1670" s="196">
        <v>42391</v>
      </c>
      <c r="B1670" s="122">
        <v>15</v>
      </c>
      <c r="C1670" s="122">
        <v>15.23</v>
      </c>
      <c r="D1670" s="122">
        <v>14.72</v>
      </c>
      <c r="E1670" s="122">
        <v>14.96</v>
      </c>
      <c r="F1670" s="122">
        <v>12.708582</v>
      </c>
      <c r="G1670" s="197">
        <v>317800</v>
      </c>
      <c r="H1670" s="198">
        <f>IF(AND(E1669&gt;=H1669,E1670&gt;=E1669),E1669*(1+'Trading Model'!$E$13),IF(AND(E1670&lt;E1669,E1669&gt;=H1669),E1670*(1+'Trading Model'!$E$13),H1669))</f>
        <v>27.698998950000004</v>
      </c>
      <c r="I1670" s="198">
        <f>IF(K1670&gt;0,E1670*(1-'Trading Model'!E1680),IF(E1670&lt;I1669,I1669*(1-'Trading Model'!$E$14),I1669))</f>
        <v>8.9840153609188427</v>
      </c>
      <c r="J1670" s="198">
        <f t="shared" si="215"/>
        <v>0</v>
      </c>
      <c r="K1670" s="198">
        <f t="shared" si="210"/>
        <v>0</v>
      </c>
      <c r="L1670" s="198">
        <f>COUNTIF(J1670:K1670,"&lt;&gt;0")*-'Trading Model'!$E$15</f>
        <v>0</v>
      </c>
      <c r="M1670" s="198">
        <f t="shared" si="208"/>
        <v>0</v>
      </c>
      <c r="N1670" s="75">
        <f t="shared" si="211"/>
        <v>45</v>
      </c>
      <c r="O1670" s="202">
        <f t="shared" si="212"/>
        <v>0</v>
      </c>
      <c r="P1670" s="199">
        <f t="shared" si="209"/>
        <v>0</v>
      </c>
      <c r="Q1670" s="203">
        <f t="shared" si="213"/>
        <v>16.600000000001373</v>
      </c>
      <c r="R1670" s="203" t="s">
        <v>55</v>
      </c>
      <c r="S1670" s="201">
        <f t="shared" si="214"/>
        <v>1.7687074829932037E-2</v>
      </c>
    </row>
    <row r="1671" spans="1:19">
      <c r="A1671" s="196">
        <v>42394</v>
      </c>
      <c r="B1671" s="122">
        <v>14.93</v>
      </c>
      <c r="C1671" s="122">
        <v>15.09</v>
      </c>
      <c r="D1671" s="122">
        <v>14.4</v>
      </c>
      <c r="E1671" s="122">
        <v>14.44</v>
      </c>
      <c r="F1671" s="122">
        <v>12.266838</v>
      </c>
      <c r="G1671" s="197">
        <v>76900</v>
      </c>
      <c r="H1671" s="198">
        <f>IF(AND(E1670&gt;=H1670,E1671&gt;=E1670),E1670*(1+'Trading Model'!$E$13),IF(AND(E1671&lt;E1670,E1670&gt;=H1670),E1671*(1+'Trading Model'!$E$13),H1670))</f>
        <v>27.698998950000004</v>
      </c>
      <c r="I1671" s="198">
        <f>IF(K1671&gt;0,E1671*(1-'Trading Model'!E1681),IF(E1671&lt;I1670,I1670*(1-'Trading Model'!$E$14),I1670))</f>
        <v>8.9840153609188427</v>
      </c>
      <c r="J1671" s="198">
        <f t="shared" si="215"/>
        <v>0</v>
      </c>
      <c r="K1671" s="198">
        <f t="shared" si="210"/>
        <v>0</v>
      </c>
      <c r="L1671" s="198">
        <f>COUNTIF(J1671:K1671,"&lt;&gt;0")*-'Trading Model'!$E$15</f>
        <v>0</v>
      </c>
      <c r="M1671" s="198">
        <f t="shared" si="208"/>
        <v>0</v>
      </c>
      <c r="N1671" s="75">
        <f t="shared" si="211"/>
        <v>45</v>
      </c>
      <c r="O1671" s="202">
        <f t="shared" si="212"/>
        <v>0</v>
      </c>
      <c r="P1671" s="199">
        <f t="shared" si="209"/>
        <v>0</v>
      </c>
      <c r="Q1671" s="203">
        <f t="shared" si="213"/>
        <v>16.500000000001371</v>
      </c>
      <c r="R1671" s="203" t="s">
        <v>55</v>
      </c>
      <c r="S1671" s="201">
        <f t="shared" si="214"/>
        <v>-3.4759358288770192E-2</v>
      </c>
    </row>
    <row r="1672" spans="1:19">
      <c r="A1672" s="196">
        <v>42395</v>
      </c>
      <c r="B1672" s="122">
        <v>14.44</v>
      </c>
      <c r="C1672" s="122">
        <v>15.08</v>
      </c>
      <c r="D1672" s="122">
        <v>14.18</v>
      </c>
      <c r="E1672" s="122">
        <v>14.63</v>
      </c>
      <c r="F1672" s="122">
        <v>12.428245</v>
      </c>
      <c r="G1672" s="197">
        <v>164000</v>
      </c>
      <c r="H1672" s="198">
        <f>IF(AND(E1671&gt;=H1671,E1672&gt;=E1671),E1671*(1+'Trading Model'!$E$13),IF(AND(E1672&lt;E1671,E1671&gt;=H1671),E1672*(1+'Trading Model'!$E$13),H1671))</f>
        <v>27.698998950000004</v>
      </c>
      <c r="I1672" s="198">
        <f>IF(K1672&gt;0,E1672*(1-'Trading Model'!E1682),IF(E1672&lt;I1671,I1671*(1-'Trading Model'!$E$14),I1671))</f>
        <v>8.9840153609188427</v>
      </c>
      <c r="J1672" s="198">
        <f t="shared" si="215"/>
        <v>0</v>
      </c>
      <c r="K1672" s="198">
        <f t="shared" si="210"/>
        <v>0</v>
      </c>
      <c r="L1672" s="198">
        <f>COUNTIF(J1672:K1672,"&lt;&gt;0")*-'Trading Model'!$E$15</f>
        <v>0</v>
      </c>
      <c r="M1672" s="198">
        <f t="shared" si="208"/>
        <v>0</v>
      </c>
      <c r="N1672" s="75">
        <f t="shared" si="211"/>
        <v>45</v>
      </c>
      <c r="O1672" s="202">
        <f t="shared" si="212"/>
        <v>0</v>
      </c>
      <c r="P1672" s="199">
        <f t="shared" si="209"/>
        <v>0</v>
      </c>
      <c r="Q1672" s="203">
        <f t="shared" si="213"/>
        <v>16.500000000001371</v>
      </c>
      <c r="R1672" s="201">
        <f>E1672/B1668-1</f>
        <v>1.3689253935660339E-3</v>
      </c>
      <c r="S1672" s="201">
        <f t="shared" si="214"/>
        <v>1.3157894736842257E-2</v>
      </c>
    </row>
    <row r="1673" spans="1:19">
      <c r="A1673" s="196">
        <v>42396</v>
      </c>
      <c r="B1673" s="122">
        <v>14.63</v>
      </c>
      <c r="C1673" s="122">
        <v>15.3</v>
      </c>
      <c r="D1673" s="122">
        <v>14.4</v>
      </c>
      <c r="E1673" s="122">
        <v>15.29</v>
      </c>
      <c r="F1673" s="122">
        <v>12.988917000000001</v>
      </c>
      <c r="G1673" s="197">
        <v>149800</v>
      </c>
      <c r="H1673" s="198">
        <f>IF(AND(E1672&gt;=H1672,E1673&gt;=E1672),E1672*(1+'Trading Model'!$E$13),IF(AND(E1673&lt;E1672,E1672&gt;=H1672),E1673*(1+'Trading Model'!$E$13),H1672))</f>
        <v>27.698998950000004</v>
      </c>
      <c r="I1673" s="198">
        <f>IF(K1673&gt;0,E1673*(1-'Trading Model'!E1683),IF(E1673&lt;I1672,I1672*(1-'Trading Model'!$E$14),I1672))</f>
        <v>8.9840153609188427</v>
      </c>
      <c r="J1673" s="198">
        <f t="shared" si="215"/>
        <v>0</v>
      </c>
      <c r="K1673" s="198">
        <f t="shared" si="210"/>
        <v>0</v>
      </c>
      <c r="L1673" s="198">
        <f>COUNTIF(J1673:K1673,"&lt;&gt;0")*-'Trading Model'!$E$15</f>
        <v>0</v>
      </c>
      <c r="M1673" s="198">
        <f t="shared" si="208"/>
        <v>0</v>
      </c>
      <c r="N1673" s="75">
        <f t="shared" si="211"/>
        <v>45</v>
      </c>
      <c r="O1673" s="202">
        <f t="shared" si="212"/>
        <v>0</v>
      </c>
      <c r="P1673" s="199">
        <f t="shared" si="209"/>
        <v>0</v>
      </c>
      <c r="Q1673" s="203">
        <f t="shared" si="213"/>
        <v>16.500000000001371</v>
      </c>
      <c r="R1673" s="160" t="s">
        <v>55</v>
      </c>
      <c r="S1673" s="201">
        <f t="shared" si="214"/>
        <v>4.5112781954887105E-2</v>
      </c>
    </row>
    <row r="1674" spans="1:19">
      <c r="A1674" s="196">
        <v>42397</v>
      </c>
      <c r="B1674" s="122">
        <v>15.22</v>
      </c>
      <c r="C1674" s="122">
        <v>15.65</v>
      </c>
      <c r="D1674" s="122">
        <v>15.12</v>
      </c>
      <c r="E1674" s="122">
        <v>15.47</v>
      </c>
      <c r="F1674" s="122">
        <v>13.141829</v>
      </c>
      <c r="G1674" s="197">
        <v>380400</v>
      </c>
      <c r="H1674" s="198">
        <f>IF(AND(E1673&gt;=H1673,E1674&gt;=E1673),E1673*(1+'Trading Model'!$E$13),IF(AND(E1674&lt;E1673,E1673&gt;=H1673),E1674*(1+'Trading Model'!$E$13),H1673))</f>
        <v>27.698998950000004</v>
      </c>
      <c r="I1674" s="198">
        <f>IF(K1674&gt;0,E1674*(1-'Trading Model'!E1684),IF(E1674&lt;I1673,I1673*(1-'Trading Model'!$E$14),I1673))</f>
        <v>8.9840153609188427</v>
      </c>
      <c r="J1674" s="198">
        <f t="shared" si="215"/>
        <v>0</v>
      </c>
      <c r="K1674" s="198">
        <f t="shared" si="210"/>
        <v>0</v>
      </c>
      <c r="L1674" s="198">
        <f>COUNTIF(J1674:K1674,"&lt;&gt;0")*-'Trading Model'!$E$15</f>
        <v>0</v>
      </c>
      <c r="M1674" s="198">
        <f t="shared" si="208"/>
        <v>0</v>
      </c>
      <c r="N1674" s="75">
        <f t="shared" si="211"/>
        <v>45</v>
      </c>
      <c r="O1674" s="202">
        <f t="shared" si="212"/>
        <v>0</v>
      </c>
      <c r="P1674" s="199">
        <f t="shared" si="209"/>
        <v>0</v>
      </c>
      <c r="Q1674" s="203">
        <f t="shared" si="213"/>
        <v>16.500000000001371</v>
      </c>
      <c r="R1674" s="203" t="s">
        <v>55</v>
      </c>
      <c r="S1674" s="201">
        <f t="shared" si="214"/>
        <v>1.1772400261609084E-2</v>
      </c>
    </row>
    <row r="1675" spans="1:19">
      <c r="A1675" s="196">
        <v>42398</v>
      </c>
      <c r="B1675" s="122">
        <v>15.61</v>
      </c>
      <c r="C1675" s="122">
        <v>15.76</v>
      </c>
      <c r="D1675" s="122">
        <v>15.52</v>
      </c>
      <c r="E1675" s="122">
        <v>15.65</v>
      </c>
      <c r="F1675" s="122">
        <v>13.294739</v>
      </c>
      <c r="G1675" s="197">
        <v>96000</v>
      </c>
      <c r="H1675" s="198">
        <f>IF(AND(E1674&gt;=H1674,E1675&gt;=E1674),E1674*(1+'Trading Model'!$E$13),IF(AND(E1675&lt;E1674,E1674&gt;=H1674),E1675*(1+'Trading Model'!$E$13),H1674))</f>
        <v>27.698998950000004</v>
      </c>
      <c r="I1675" s="198">
        <f>IF(K1675&gt;0,E1675*(1-'Trading Model'!E1685),IF(E1675&lt;I1674,I1674*(1-'Trading Model'!$E$14),I1674))</f>
        <v>8.9840153609188427</v>
      </c>
      <c r="J1675" s="198">
        <f t="shared" si="215"/>
        <v>0</v>
      </c>
      <c r="K1675" s="198">
        <f t="shared" si="210"/>
        <v>0</v>
      </c>
      <c r="L1675" s="198">
        <f>COUNTIF(J1675:K1675,"&lt;&gt;0")*-'Trading Model'!$E$15</f>
        <v>0</v>
      </c>
      <c r="M1675" s="198">
        <f t="shared" si="208"/>
        <v>0</v>
      </c>
      <c r="N1675" s="75">
        <f t="shared" si="211"/>
        <v>45</v>
      </c>
      <c r="O1675" s="202">
        <f t="shared" si="212"/>
        <v>0</v>
      </c>
      <c r="P1675" s="199">
        <f t="shared" si="209"/>
        <v>0</v>
      </c>
      <c r="Q1675" s="203">
        <f t="shared" si="213"/>
        <v>16.500000000001371</v>
      </c>
      <c r="R1675" s="203" t="s">
        <v>55</v>
      </c>
      <c r="S1675" s="201">
        <f t="shared" si="214"/>
        <v>1.1635423400129241E-2</v>
      </c>
    </row>
    <row r="1676" spans="1:19">
      <c r="A1676" s="196">
        <v>42401</v>
      </c>
      <c r="B1676" s="122">
        <v>15.51</v>
      </c>
      <c r="C1676" s="122">
        <v>15.88</v>
      </c>
      <c r="D1676" s="122">
        <v>15.13</v>
      </c>
      <c r="E1676" s="122">
        <v>15.82</v>
      </c>
      <c r="F1676" s="122">
        <v>13.439154</v>
      </c>
      <c r="G1676" s="197">
        <v>59800</v>
      </c>
      <c r="H1676" s="198">
        <f>IF(AND(E1675&gt;=H1675,E1676&gt;=E1675),E1675*(1+'Trading Model'!$E$13),IF(AND(E1676&lt;E1675,E1675&gt;=H1675),E1676*(1+'Trading Model'!$E$13),H1675))</f>
        <v>27.698998950000004</v>
      </c>
      <c r="I1676" s="198">
        <f>IF(K1676&gt;0,E1676*(1-'Trading Model'!E1686),IF(E1676&lt;I1675,I1675*(1-'Trading Model'!$E$14),I1675))</f>
        <v>8.9840153609188427</v>
      </c>
      <c r="J1676" s="198">
        <f t="shared" si="215"/>
        <v>0</v>
      </c>
      <c r="K1676" s="198">
        <f t="shared" si="210"/>
        <v>0</v>
      </c>
      <c r="L1676" s="198">
        <f>COUNTIF(J1676:K1676,"&lt;&gt;0")*-'Trading Model'!$E$15</f>
        <v>0</v>
      </c>
      <c r="M1676" s="198">
        <f t="shared" si="208"/>
        <v>0</v>
      </c>
      <c r="N1676" s="75">
        <f t="shared" si="211"/>
        <v>45</v>
      </c>
      <c r="O1676" s="202">
        <f t="shared" si="212"/>
        <v>0</v>
      </c>
      <c r="P1676" s="199">
        <f t="shared" si="209"/>
        <v>0</v>
      </c>
      <c r="Q1676" s="203">
        <f t="shared" si="213"/>
        <v>16.500000000001371</v>
      </c>
      <c r="R1676" s="203" t="s">
        <v>55</v>
      </c>
      <c r="S1676" s="201">
        <f t="shared" si="214"/>
        <v>1.0862619808306606E-2</v>
      </c>
    </row>
    <row r="1677" spans="1:19">
      <c r="A1677" s="196">
        <v>42402</v>
      </c>
      <c r="B1677" s="122">
        <v>15.59</v>
      </c>
      <c r="C1677" s="122">
        <v>15.82</v>
      </c>
      <c r="D1677" s="122">
        <v>15.38</v>
      </c>
      <c r="E1677" s="122">
        <v>15.71</v>
      </c>
      <c r="F1677" s="122">
        <v>13.345708999999999</v>
      </c>
      <c r="G1677" s="197">
        <v>121600</v>
      </c>
      <c r="H1677" s="198">
        <f>IF(AND(E1676&gt;=H1676,E1677&gt;=E1676),E1676*(1+'Trading Model'!$E$13),IF(AND(E1677&lt;E1676,E1676&gt;=H1676),E1677*(1+'Trading Model'!$E$13),H1676))</f>
        <v>27.698998950000004</v>
      </c>
      <c r="I1677" s="198">
        <f>IF(K1677&gt;0,E1677*(1-'Trading Model'!E1687),IF(E1677&lt;I1676,I1676*(1-'Trading Model'!$E$14),I1676))</f>
        <v>8.9840153609188427</v>
      </c>
      <c r="J1677" s="198">
        <f t="shared" si="215"/>
        <v>0</v>
      </c>
      <c r="K1677" s="198">
        <f t="shared" si="210"/>
        <v>0</v>
      </c>
      <c r="L1677" s="198">
        <f>COUNTIF(J1677:K1677,"&lt;&gt;0")*-'Trading Model'!$E$15</f>
        <v>0</v>
      </c>
      <c r="M1677" s="198">
        <f t="shared" si="208"/>
        <v>0</v>
      </c>
      <c r="N1677" s="75">
        <f t="shared" si="211"/>
        <v>45</v>
      </c>
      <c r="O1677" s="202">
        <f t="shared" si="212"/>
        <v>0</v>
      </c>
      <c r="P1677" s="199">
        <f t="shared" si="209"/>
        <v>0</v>
      </c>
      <c r="Q1677" s="203">
        <f t="shared" si="213"/>
        <v>16.40000000000137</v>
      </c>
      <c r="R1677" s="201">
        <f>E1677/B1673-1</f>
        <v>7.382091592617912E-2</v>
      </c>
      <c r="S1677" s="201">
        <f t="shared" si="214"/>
        <v>-6.9532237673830544E-3</v>
      </c>
    </row>
    <row r="1678" spans="1:19">
      <c r="A1678" s="196">
        <v>42403</v>
      </c>
      <c r="B1678" s="122">
        <v>15.8</v>
      </c>
      <c r="C1678" s="122">
        <v>15.97</v>
      </c>
      <c r="D1678" s="122">
        <v>15.31</v>
      </c>
      <c r="E1678" s="122">
        <v>15.71</v>
      </c>
      <c r="F1678" s="122">
        <v>13.345708999999999</v>
      </c>
      <c r="G1678" s="197">
        <v>95600</v>
      </c>
      <c r="H1678" s="198">
        <f>IF(AND(E1677&gt;=H1677,E1678&gt;=E1677),E1677*(1+'Trading Model'!$E$13),IF(AND(E1678&lt;E1677,E1677&gt;=H1677),E1678*(1+'Trading Model'!$E$13),H1677))</f>
        <v>27.698998950000004</v>
      </c>
      <c r="I1678" s="198">
        <f>IF(K1678&gt;0,E1678*(1-'Trading Model'!E1688),IF(E1678&lt;I1677,I1677*(1-'Trading Model'!$E$14),I1677))</f>
        <v>8.9840153609188427</v>
      </c>
      <c r="J1678" s="198">
        <f t="shared" si="215"/>
        <v>0</v>
      </c>
      <c r="K1678" s="198">
        <f t="shared" si="210"/>
        <v>0</v>
      </c>
      <c r="L1678" s="198">
        <f>COUNTIF(J1678:K1678,"&lt;&gt;0")*-'Trading Model'!$E$15</f>
        <v>0</v>
      </c>
      <c r="M1678" s="198">
        <f t="shared" si="208"/>
        <v>0</v>
      </c>
      <c r="N1678" s="75">
        <f t="shared" si="211"/>
        <v>45</v>
      </c>
      <c r="O1678" s="202">
        <f t="shared" si="212"/>
        <v>0</v>
      </c>
      <c r="P1678" s="199">
        <f t="shared" si="209"/>
        <v>0</v>
      </c>
      <c r="Q1678" s="203">
        <f t="shared" si="213"/>
        <v>16.40000000000137</v>
      </c>
      <c r="R1678" s="160" t="s">
        <v>55</v>
      </c>
      <c r="S1678" s="201">
        <f t="shared" si="214"/>
        <v>0</v>
      </c>
    </row>
    <row r="1679" spans="1:19">
      <c r="A1679" s="196">
        <v>42404</v>
      </c>
      <c r="B1679" s="122">
        <v>15.76</v>
      </c>
      <c r="C1679" s="122">
        <v>16.5</v>
      </c>
      <c r="D1679" s="122">
        <v>15.48</v>
      </c>
      <c r="E1679" s="122">
        <v>16.059999000000001</v>
      </c>
      <c r="F1679" s="122">
        <v>13.643034999999999</v>
      </c>
      <c r="G1679" s="197">
        <v>72900</v>
      </c>
      <c r="H1679" s="198">
        <f>IF(AND(E1678&gt;=H1678,E1679&gt;=E1678),E1678*(1+'Trading Model'!$E$13),IF(AND(E1679&lt;E1678,E1678&gt;=H1678),E1679*(1+'Trading Model'!$E$13),H1678))</f>
        <v>27.698998950000004</v>
      </c>
      <c r="I1679" s="198">
        <f>IF(K1679&gt;0,E1679*(1-'Trading Model'!E1689),IF(E1679&lt;I1678,I1678*(1-'Trading Model'!$E$14),I1678))</f>
        <v>8.9840153609188427</v>
      </c>
      <c r="J1679" s="198">
        <f t="shared" si="215"/>
        <v>0</v>
      </c>
      <c r="K1679" s="198">
        <f t="shared" si="210"/>
        <v>0</v>
      </c>
      <c r="L1679" s="198">
        <f>COUNTIF(J1679:K1679,"&lt;&gt;0")*-'Trading Model'!$E$15</f>
        <v>0</v>
      </c>
      <c r="M1679" s="198">
        <f t="shared" si="208"/>
        <v>0</v>
      </c>
      <c r="N1679" s="75">
        <f t="shared" si="211"/>
        <v>45</v>
      </c>
      <c r="O1679" s="202">
        <f t="shared" si="212"/>
        <v>0</v>
      </c>
      <c r="P1679" s="199">
        <f t="shared" si="209"/>
        <v>0</v>
      </c>
      <c r="Q1679" s="203">
        <f t="shared" si="213"/>
        <v>16.40000000000137</v>
      </c>
      <c r="R1679" s="203" t="s">
        <v>55</v>
      </c>
      <c r="S1679" s="201">
        <f t="shared" si="214"/>
        <v>2.2278739656269808E-2</v>
      </c>
    </row>
    <row r="1680" spans="1:19">
      <c r="A1680" s="196">
        <v>42405</v>
      </c>
      <c r="B1680" s="122">
        <v>16.02</v>
      </c>
      <c r="C1680" s="122">
        <v>16.16</v>
      </c>
      <c r="D1680" s="122">
        <v>15.76</v>
      </c>
      <c r="E1680" s="122">
        <v>15.91</v>
      </c>
      <c r="F1680" s="122">
        <v>13.515610000000001</v>
      </c>
      <c r="G1680" s="197">
        <v>34000</v>
      </c>
      <c r="H1680" s="198">
        <f>IF(AND(E1679&gt;=H1679,E1680&gt;=E1679),E1679*(1+'Trading Model'!$E$13),IF(AND(E1680&lt;E1679,E1679&gt;=H1679),E1680*(1+'Trading Model'!$E$13),H1679))</f>
        <v>27.698998950000004</v>
      </c>
      <c r="I1680" s="198">
        <f>IF(K1680&gt;0,E1680*(1-'Trading Model'!E1690),IF(E1680&lt;I1679,I1679*(1-'Trading Model'!$E$14),I1679))</f>
        <v>8.9840153609188427</v>
      </c>
      <c r="J1680" s="198">
        <f t="shared" si="215"/>
        <v>0</v>
      </c>
      <c r="K1680" s="198">
        <f t="shared" si="210"/>
        <v>0</v>
      </c>
      <c r="L1680" s="198">
        <f>COUNTIF(J1680:K1680,"&lt;&gt;0")*-'Trading Model'!$E$15</f>
        <v>0</v>
      </c>
      <c r="M1680" s="198">
        <f t="shared" si="208"/>
        <v>0</v>
      </c>
      <c r="N1680" s="75">
        <f t="shared" si="211"/>
        <v>45</v>
      </c>
      <c r="O1680" s="202">
        <f t="shared" si="212"/>
        <v>0</v>
      </c>
      <c r="P1680" s="199">
        <f t="shared" si="209"/>
        <v>0</v>
      </c>
      <c r="Q1680" s="203">
        <f t="shared" si="213"/>
        <v>16.300000000001369</v>
      </c>
      <c r="R1680" s="203" t="s">
        <v>55</v>
      </c>
      <c r="S1680" s="201">
        <f t="shared" si="214"/>
        <v>-9.3399134084629631E-3</v>
      </c>
    </row>
    <row r="1681" spans="1:19">
      <c r="A1681" s="196">
        <v>42408</v>
      </c>
      <c r="B1681" s="122">
        <v>15.7</v>
      </c>
      <c r="C1681" s="122">
        <v>15.92</v>
      </c>
      <c r="D1681" s="122">
        <v>15.13</v>
      </c>
      <c r="E1681" s="122">
        <v>15.72</v>
      </c>
      <c r="F1681" s="122">
        <v>13.354203999999999</v>
      </c>
      <c r="G1681" s="197">
        <v>55800</v>
      </c>
      <c r="H1681" s="198">
        <f>IF(AND(E1680&gt;=H1680,E1681&gt;=E1680),E1680*(1+'Trading Model'!$E$13),IF(AND(E1681&lt;E1680,E1680&gt;=H1680),E1681*(1+'Trading Model'!$E$13),H1680))</f>
        <v>27.698998950000004</v>
      </c>
      <c r="I1681" s="198">
        <f>IF(K1681&gt;0,E1681*(1-'Trading Model'!E1691),IF(E1681&lt;I1680,I1680*(1-'Trading Model'!$E$14),I1680))</f>
        <v>8.9840153609188427</v>
      </c>
      <c r="J1681" s="198">
        <f t="shared" si="215"/>
        <v>0</v>
      </c>
      <c r="K1681" s="198">
        <f t="shared" si="210"/>
        <v>0</v>
      </c>
      <c r="L1681" s="198">
        <f>COUNTIF(J1681:K1681,"&lt;&gt;0")*-'Trading Model'!$E$15</f>
        <v>0</v>
      </c>
      <c r="M1681" s="198">
        <f t="shared" si="208"/>
        <v>0</v>
      </c>
      <c r="N1681" s="75">
        <f t="shared" si="211"/>
        <v>45</v>
      </c>
      <c r="O1681" s="202">
        <f t="shared" si="212"/>
        <v>0</v>
      </c>
      <c r="P1681" s="199">
        <f t="shared" si="209"/>
        <v>0</v>
      </c>
      <c r="Q1681" s="203">
        <f t="shared" si="213"/>
        <v>16.200000000001367</v>
      </c>
      <c r="R1681" s="203" t="s">
        <v>55</v>
      </c>
      <c r="S1681" s="201">
        <f t="shared" si="214"/>
        <v>-1.1942174732872401E-2</v>
      </c>
    </row>
    <row r="1682" spans="1:19">
      <c r="A1682" s="196">
        <v>42409</v>
      </c>
      <c r="B1682" s="122">
        <v>15.47</v>
      </c>
      <c r="C1682" s="122">
        <v>15.73</v>
      </c>
      <c r="D1682" s="122">
        <v>15.16</v>
      </c>
      <c r="E1682" s="122">
        <v>15.29</v>
      </c>
      <c r="F1682" s="122">
        <v>12.988917000000001</v>
      </c>
      <c r="G1682" s="197">
        <v>33100</v>
      </c>
      <c r="H1682" s="198">
        <f>IF(AND(E1681&gt;=H1681,E1682&gt;=E1681),E1681*(1+'Trading Model'!$E$13),IF(AND(E1682&lt;E1681,E1681&gt;=H1681),E1682*(1+'Trading Model'!$E$13),H1681))</f>
        <v>27.698998950000004</v>
      </c>
      <c r="I1682" s="198">
        <f>IF(K1682&gt;0,E1682*(1-'Trading Model'!E1692),IF(E1682&lt;I1681,I1681*(1-'Trading Model'!$E$14),I1681))</f>
        <v>8.9840153609188427</v>
      </c>
      <c r="J1682" s="198">
        <f t="shared" si="215"/>
        <v>0</v>
      </c>
      <c r="K1682" s="198">
        <f t="shared" si="210"/>
        <v>0</v>
      </c>
      <c r="L1682" s="198">
        <f>COUNTIF(J1682:K1682,"&lt;&gt;0")*-'Trading Model'!$E$15</f>
        <v>0</v>
      </c>
      <c r="M1682" s="198">
        <f t="shared" si="208"/>
        <v>0</v>
      </c>
      <c r="N1682" s="75">
        <f t="shared" si="211"/>
        <v>45</v>
      </c>
      <c r="O1682" s="202">
        <f t="shared" si="212"/>
        <v>0</v>
      </c>
      <c r="P1682" s="199">
        <f t="shared" si="209"/>
        <v>0</v>
      </c>
      <c r="Q1682" s="203">
        <f t="shared" si="213"/>
        <v>16.100000000001366</v>
      </c>
      <c r="R1682" s="201">
        <f>E1682/B1678-1</f>
        <v>-3.2278481012658289E-2</v>
      </c>
      <c r="S1682" s="201">
        <f t="shared" si="214"/>
        <v>-2.7353689567430117E-2</v>
      </c>
    </row>
    <row r="1683" spans="1:19">
      <c r="A1683" s="196">
        <v>42410</v>
      </c>
      <c r="B1683" s="122">
        <v>15.42</v>
      </c>
      <c r="C1683" s="122">
        <v>15.67</v>
      </c>
      <c r="D1683" s="122">
        <v>14.81</v>
      </c>
      <c r="E1683" s="122">
        <v>15.51</v>
      </c>
      <c r="F1683" s="122">
        <v>13.175808</v>
      </c>
      <c r="G1683" s="197">
        <v>54000</v>
      </c>
      <c r="H1683" s="198">
        <f>IF(AND(E1682&gt;=H1682,E1683&gt;=E1682),E1682*(1+'Trading Model'!$E$13),IF(AND(E1683&lt;E1682,E1682&gt;=H1682),E1683*(1+'Trading Model'!$E$13),H1682))</f>
        <v>27.698998950000004</v>
      </c>
      <c r="I1683" s="198">
        <f>IF(K1683&gt;0,E1683*(1-'Trading Model'!E1693),IF(E1683&lt;I1682,I1682*(1-'Trading Model'!$E$14),I1682))</f>
        <v>8.9840153609188427</v>
      </c>
      <c r="J1683" s="198">
        <f t="shared" si="215"/>
        <v>0</v>
      </c>
      <c r="K1683" s="198">
        <f t="shared" si="210"/>
        <v>0</v>
      </c>
      <c r="L1683" s="198">
        <f>COUNTIF(J1683:K1683,"&lt;&gt;0")*-'Trading Model'!$E$15</f>
        <v>0</v>
      </c>
      <c r="M1683" s="198">
        <f t="shared" si="208"/>
        <v>0</v>
      </c>
      <c r="N1683" s="75">
        <f t="shared" si="211"/>
        <v>45</v>
      </c>
      <c r="O1683" s="202">
        <f t="shared" si="212"/>
        <v>0</v>
      </c>
      <c r="P1683" s="199">
        <f t="shared" si="209"/>
        <v>0</v>
      </c>
      <c r="Q1683" s="203">
        <f t="shared" si="213"/>
        <v>16.100000000001366</v>
      </c>
      <c r="R1683" s="160" t="s">
        <v>55</v>
      </c>
      <c r="S1683" s="201">
        <f t="shared" si="214"/>
        <v>1.4388489208633226E-2</v>
      </c>
    </row>
    <row r="1684" spans="1:19">
      <c r="A1684" s="196">
        <v>42411</v>
      </c>
      <c r="B1684" s="122">
        <v>14.65</v>
      </c>
      <c r="C1684" s="122">
        <v>15.16</v>
      </c>
      <c r="D1684" s="122">
        <v>14.6</v>
      </c>
      <c r="E1684" s="122">
        <v>15.04</v>
      </c>
      <c r="F1684" s="122">
        <v>12.776541999999999</v>
      </c>
      <c r="G1684" s="197">
        <v>116200</v>
      </c>
      <c r="H1684" s="198">
        <f>IF(AND(E1683&gt;=H1683,E1684&gt;=E1683),E1683*(1+'Trading Model'!$E$13),IF(AND(E1684&lt;E1683,E1683&gt;=H1683),E1684*(1+'Trading Model'!$E$13),H1683))</f>
        <v>27.698998950000004</v>
      </c>
      <c r="I1684" s="198">
        <f>IF(K1684&gt;0,E1684*(1-'Trading Model'!E1694),IF(E1684&lt;I1683,I1683*(1-'Trading Model'!$E$14),I1683))</f>
        <v>8.9840153609188427</v>
      </c>
      <c r="J1684" s="198">
        <f t="shared" si="215"/>
        <v>0</v>
      </c>
      <c r="K1684" s="198">
        <f t="shared" si="210"/>
        <v>0</v>
      </c>
      <c r="L1684" s="198">
        <f>COUNTIF(J1684:K1684,"&lt;&gt;0")*-'Trading Model'!$E$15</f>
        <v>0</v>
      </c>
      <c r="M1684" s="198">
        <f t="shared" si="208"/>
        <v>0</v>
      </c>
      <c r="N1684" s="75">
        <f t="shared" si="211"/>
        <v>45</v>
      </c>
      <c r="O1684" s="202">
        <f t="shared" si="212"/>
        <v>0</v>
      </c>
      <c r="P1684" s="199">
        <f t="shared" si="209"/>
        <v>0</v>
      </c>
      <c r="Q1684" s="203">
        <f t="shared" si="213"/>
        <v>16.000000000001364</v>
      </c>
      <c r="R1684" s="203" t="s">
        <v>55</v>
      </c>
      <c r="S1684" s="201">
        <f t="shared" si="214"/>
        <v>-3.0303030303030387E-2</v>
      </c>
    </row>
    <row r="1685" spans="1:19">
      <c r="A1685" s="196">
        <v>42412</v>
      </c>
      <c r="B1685" s="122">
        <v>15.05</v>
      </c>
      <c r="C1685" s="122">
        <v>15.18</v>
      </c>
      <c r="D1685" s="122">
        <v>14.73</v>
      </c>
      <c r="E1685" s="122">
        <v>15.05</v>
      </c>
      <c r="F1685" s="122">
        <v>12.785036</v>
      </c>
      <c r="G1685" s="197">
        <v>38200</v>
      </c>
      <c r="H1685" s="198">
        <f>IF(AND(E1684&gt;=H1684,E1685&gt;=E1684),E1684*(1+'Trading Model'!$E$13),IF(AND(E1685&lt;E1684,E1684&gt;=H1684),E1685*(1+'Trading Model'!$E$13),H1684))</f>
        <v>27.698998950000004</v>
      </c>
      <c r="I1685" s="198">
        <f>IF(K1685&gt;0,E1685*(1-'Trading Model'!E1695),IF(E1685&lt;I1684,I1684*(1-'Trading Model'!$E$14),I1684))</f>
        <v>8.9840153609188427</v>
      </c>
      <c r="J1685" s="198">
        <f t="shared" si="215"/>
        <v>0</v>
      </c>
      <c r="K1685" s="198">
        <f t="shared" si="210"/>
        <v>0</v>
      </c>
      <c r="L1685" s="198">
        <f>COUNTIF(J1685:K1685,"&lt;&gt;0")*-'Trading Model'!$E$15</f>
        <v>0</v>
      </c>
      <c r="M1685" s="198">
        <f t="shared" si="208"/>
        <v>0</v>
      </c>
      <c r="N1685" s="75">
        <f t="shared" si="211"/>
        <v>45</v>
      </c>
      <c r="O1685" s="202">
        <f t="shared" si="212"/>
        <v>0</v>
      </c>
      <c r="P1685" s="199">
        <f t="shared" si="209"/>
        <v>0</v>
      </c>
      <c r="Q1685" s="203">
        <f t="shared" si="213"/>
        <v>16.000000000001364</v>
      </c>
      <c r="R1685" s="203" t="s">
        <v>55</v>
      </c>
      <c r="S1685" s="201">
        <f t="shared" si="214"/>
        <v>6.6489361702148919E-4</v>
      </c>
    </row>
    <row r="1686" spans="1:19">
      <c r="A1686" s="196">
        <v>42416</v>
      </c>
      <c r="B1686" s="122">
        <v>15.13</v>
      </c>
      <c r="C1686" s="122">
        <v>15.5</v>
      </c>
      <c r="D1686" s="122">
        <v>14.9</v>
      </c>
      <c r="E1686" s="122">
        <v>15.46</v>
      </c>
      <c r="F1686" s="122">
        <v>13.133331999999999</v>
      </c>
      <c r="G1686" s="197">
        <v>83400</v>
      </c>
      <c r="H1686" s="198">
        <f>IF(AND(E1685&gt;=H1685,E1686&gt;=E1685),E1685*(1+'Trading Model'!$E$13),IF(AND(E1686&lt;E1685,E1685&gt;=H1685),E1686*(1+'Trading Model'!$E$13),H1685))</f>
        <v>27.698998950000004</v>
      </c>
      <c r="I1686" s="198">
        <f>IF(K1686&gt;0,E1686*(1-'Trading Model'!E1696),IF(E1686&lt;I1685,I1685*(1-'Trading Model'!$E$14),I1685))</f>
        <v>8.9840153609188427</v>
      </c>
      <c r="J1686" s="198">
        <f t="shared" si="215"/>
        <v>0</v>
      </c>
      <c r="K1686" s="198">
        <f t="shared" si="210"/>
        <v>0</v>
      </c>
      <c r="L1686" s="198">
        <f>COUNTIF(J1686:K1686,"&lt;&gt;0")*-'Trading Model'!$E$15</f>
        <v>0</v>
      </c>
      <c r="M1686" s="198">
        <f t="shared" si="208"/>
        <v>0</v>
      </c>
      <c r="N1686" s="75">
        <f t="shared" si="211"/>
        <v>45</v>
      </c>
      <c r="O1686" s="202">
        <f t="shared" si="212"/>
        <v>0</v>
      </c>
      <c r="P1686" s="199">
        <f t="shared" si="209"/>
        <v>0</v>
      </c>
      <c r="Q1686" s="203">
        <f t="shared" si="213"/>
        <v>16.000000000001364</v>
      </c>
      <c r="R1686" s="203" t="s">
        <v>55</v>
      </c>
      <c r="S1686" s="201">
        <f t="shared" si="214"/>
        <v>2.7242524916943456E-2</v>
      </c>
    </row>
    <row r="1687" spans="1:19">
      <c r="A1687" s="196">
        <v>42417</v>
      </c>
      <c r="B1687" s="122">
        <v>15.49</v>
      </c>
      <c r="C1687" s="122">
        <v>16.059999000000001</v>
      </c>
      <c r="D1687" s="122">
        <v>15.33</v>
      </c>
      <c r="E1687" s="122">
        <v>15.92</v>
      </c>
      <c r="F1687" s="122">
        <v>13.524105</v>
      </c>
      <c r="G1687" s="197">
        <v>51500</v>
      </c>
      <c r="H1687" s="198">
        <f>IF(AND(E1686&gt;=H1686,E1687&gt;=E1686),E1686*(1+'Trading Model'!$E$13),IF(AND(E1687&lt;E1686,E1686&gt;=H1686),E1687*(1+'Trading Model'!$E$13),H1686))</f>
        <v>27.698998950000004</v>
      </c>
      <c r="I1687" s="198">
        <f>IF(K1687&gt;0,E1687*(1-'Trading Model'!E1697),IF(E1687&lt;I1686,I1686*(1-'Trading Model'!$E$14),I1686))</f>
        <v>8.9840153609188427</v>
      </c>
      <c r="J1687" s="198">
        <f t="shared" si="215"/>
        <v>0</v>
      </c>
      <c r="K1687" s="198">
        <f t="shared" si="210"/>
        <v>0</v>
      </c>
      <c r="L1687" s="198">
        <f>COUNTIF(J1687:K1687,"&lt;&gt;0")*-'Trading Model'!$E$15</f>
        <v>0</v>
      </c>
      <c r="M1687" s="198">
        <f t="shared" si="208"/>
        <v>0</v>
      </c>
      <c r="N1687" s="75">
        <f t="shared" si="211"/>
        <v>45</v>
      </c>
      <c r="O1687" s="202">
        <f t="shared" si="212"/>
        <v>0</v>
      </c>
      <c r="P1687" s="199">
        <f t="shared" si="209"/>
        <v>0</v>
      </c>
      <c r="Q1687" s="203">
        <f t="shared" si="213"/>
        <v>16.000000000001364</v>
      </c>
      <c r="R1687" s="201">
        <f>E1687/B1683-1</f>
        <v>3.2425421530480003E-2</v>
      </c>
      <c r="S1687" s="201">
        <f t="shared" si="214"/>
        <v>2.9754204398447559E-2</v>
      </c>
    </row>
    <row r="1688" spans="1:19">
      <c r="A1688" s="196">
        <v>42418</v>
      </c>
      <c r="B1688" s="122">
        <v>16.049999</v>
      </c>
      <c r="C1688" s="122">
        <v>16.34</v>
      </c>
      <c r="D1688" s="122">
        <v>15.82</v>
      </c>
      <c r="E1688" s="122">
        <v>16.280000999999999</v>
      </c>
      <c r="F1688" s="122">
        <v>13.829926</v>
      </c>
      <c r="G1688" s="197">
        <v>86000</v>
      </c>
      <c r="H1688" s="198">
        <f>IF(AND(E1687&gt;=H1687,E1688&gt;=E1687),E1687*(1+'Trading Model'!$E$13),IF(AND(E1688&lt;E1687,E1687&gt;=H1687),E1688*(1+'Trading Model'!$E$13),H1687))</f>
        <v>27.698998950000004</v>
      </c>
      <c r="I1688" s="198">
        <f>IF(K1688&gt;0,E1688*(1-'Trading Model'!E1698),IF(E1688&lt;I1687,I1687*(1-'Trading Model'!$E$14),I1687))</f>
        <v>8.9840153609188427</v>
      </c>
      <c r="J1688" s="198">
        <f t="shared" si="215"/>
        <v>0</v>
      </c>
      <c r="K1688" s="198">
        <f t="shared" si="210"/>
        <v>0</v>
      </c>
      <c r="L1688" s="198">
        <f>COUNTIF(J1688:K1688,"&lt;&gt;0")*-'Trading Model'!$E$15</f>
        <v>0</v>
      </c>
      <c r="M1688" s="198">
        <f t="shared" si="208"/>
        <v>0</v>
      </c>
      <c r="N1688" s="75">
        <f t="shared" si="211"/>
        <v>45</v>
      </c>
      <c r="O1688" s="202">
        <f t="shared" si="212"/>
        <v>0</v>
      </c>
      <c r="P1688" s="199">
        <f t="shared" si="209"/>
        <v>0</v>
      </c>
      <c r="Q1688" s="203">
        <f t="shared" si="213"/>
        <v>16.000000000001364</v>
      </c>
      <c r="R1688" s="160" t="s">
        <v>55</v>
      </c>
      <c r="S1688" s="201">
        <f t="shared" si="214"/>
        <v>2.2613128140703376E-2</v>
      </c>
    </row>
    <row r="1689" spans="1:19">
      <c r="A1689" s="196">
        <v>42419</v>
      </c>
      <c r="B1689" s="122">
        <v>16.370000999999998</v>
      </c>
      <c r="C1689" s="122">
        <v>16.690000999999999</v>
      </c>
      <c r="D1689" s="122">
        <v>16.129999000000002</v>
      </c>
      <c r="E1689" s="122">
        <v>16.579999999999998</v>
      </c>
      <c r="F1689" s="122">
        <v>14.084777000000001</v>
      </c>
      <c r="G1689" s="197">
        <v>70700</v>
      </c>
      <c r="H1689" s="198">
        <f>IF(AND(E1688&gt;=H1688,E1689&gt;=E1688),E1688*(1+'Trading Model'!$E$13),IF(AND(E1689&lt;E1688,E1688&gt;=H1688),E1689*(1+'Trading Model'!$E$13),H1688))</f>
        <v>27.698998950000004</v>
      </c>
      <c r="I1689" s="198">
        <f>IF(K1689&gt;0,E1689*(1-'Trading Model'!E1699),IF(E1689&lt;I1688,I1688*(1-'Trading Model'!$E$14),I1688))</f>
        <v>8.9840153609188427</v>
      </c>
      <c r="J1689" s="198">
        <f t="shared" si="215"/>
        <v>0</v>
      </c>
      <c r="K1689" s="198">
        <f t="shared" si="210"/>
        <v>0</v>
      </c>
      <c r="L1689" s="198">
        <f>COUNTIF(J1689:K1689,"&lt;&gt;0")*-'Trading Model'!$E$15</f>
        <v>0</v>
      </c>
      <c r="M1689" s="198">
        <f t="shared" si="208"/>
        <v>0</v>
      </c>
      <c r="N1689" s="75">
        <f t="shared" si="211"/>
        <v>45</v>
      </c>
      <c r="O1689" s="202">
        <f t="shared" si="212"/>
        <v>0</v>
      </c>
      <c r="P1689" s="199">
        <f t="shared" si="209"/>
        <v>0</v>
      </c>
      <c r="Q1689" s="203">
        <f t="shared" si="213"/>
        <v>16.000000000001364</v>
      </c>
      <c r="R1689" s="203" t="s">
        <v>55</v>
      </c>
      <c r="S1689" s="201">
        <f t="shared" si="214"/>
        <v>1.8427455870549281E-2</v>
      </c>
    </row>
    <row r="1690" spans="1:19">
      <c r="A1690" s="196">
        <v>42422</v>
      </c>
      <c r="B1690" s="122">
        <v>17.049999</v>
      </c>
      <c r="C1690" s="122">
        <v>17.969999000000001</v>
      </c>
      <c r="D1690" s="122">
        <v>16.649999999999999</v>
      </c>
      <c r="E1690" s="122">
        <v>17.57</v>
      </c>
      <c r="F1690" s="122">
        <v>14.925787</v>
      </c>
      <c r="G1690" s="197">
        <v>152600</v>
      </c>
      <c r="H1690" s="198">
        <f>IF(AND(E1689&gt;=H1689,E1690&gt;=E1689),E1689*(1+'Trading Model'!$E$13),IF(AND(E1690&lt;E1689,E1689&gt;=H1689),E1690*(1+'Trading Model'!$E$13),H1689))</f>
        <v>27.698998950000004</v>
      </c>
      <c r="I1690" s="198">
        <f>IF(K1690&gt;0,E1690*(1-'Trading Model'!E1700),IF(E1690&lt;I1689,I1689*(1-'Trading Model'!$E$14),I1689))</f>
        <v>8.9840153609188427</v>
      </c>
      <c r="J1690" s="198">
        <f t="shared" si="215"/>
        <v>0</v>
      </c>
      <c r="K1690" s="198">
        <f t="shared" si="210"/>
        <v>0</v>
      </c>
      <c r="L1690" s="198">
        <f>COUNTIF(J1690:K1690,"&lt;&gt;0")*-'Trading Model'!$E$15</f>
        <v>0</v>
      </c>
      <c r="M1690" s="198">
        <f t="shared" si="208"/>
        <v>0</v>
      </c>
      <c r="N1690" s="75">
        <f t="shared" si="211"/>
        <v>45</v>
      </c>
      <c r="O1690" s="202">
        <f t="shared" si="212"/>
        <v>0</v>
      </c>
      <c r="P1690" s="199">
        <f t="shared" si="209"/>
        <v>0</v>
      </c>
      <c r="Q1690" s="203">
        <f t="shared" si="213"/>
        <v>16.000000000001364</v>
      </c>
      <c r="R1690" s="203" t="s">
        <v>55</v>
      </c>
      <c r="S1690" s="201">
        <f t="shared" si="214"/>
        <v>5.9710494571773243E-2</v>
      </c>
    </row>
    <row r="1691" spans="1:19">
      <c r="A1691" s="196">
        <v>42423</v>
      </c>
      <c r="B1691" s="122">
        <v>17.66</v>
      </c>
      <c r="C1691" s="122">
        <v>17.940000999999999</v>
      </c>
      <c r="D1691" s="122">
        <v>17.5</v>
      </c>
      <c r="E1691" s="122">
        <v>17.73</v>
      </c>
      <c r="F1691" s="122">
        <v>15.061707</v>
      </c>
      <c r="G1691" s="197">
        <v>82900</v>
      </c>
      <c r="H1691" s="198">
        <f>IF(AND(E1690&gt;=H1690,E1691&gt;=E1690),E1690*(1+'Trading Model'!$E$13),IF(AND(E1691&lt;E1690,E1690&gt;=H1690),E1691*(1+'Trading Model'!$E$13),H1690))</f>
        <v>27.698998950000004</v>
      </c>
      <c r="I1691" s="198">
        <f>IF(K1691&gt;0,E1691*(1-'Trading Model'!E1701),IF(E1691&lt;I1690,I1690*(1-'Trading Model'!$E$14),I1690))</f>
        <v>8.9840153609188427</v>
      </c>
      <c r="J1691" s="198">
        <f t="shared" si="215"/>
        <v>0</v>
      </c>
      <c r="K1691" s="198">
        <f t="shared" si="210"/>
        <v>0</v>
      </c>
      <c r="L1691" s="198">
        <f>COUNTIF(J1691:K1691,"&lt;&gt;0")*-'Trading Model'!$E$15</f>
        <v>0</v>
      </c>
      <c r="M1691" s="198">
        <f t="shared" si="208"/>
        <v>0</v>
      </c>
      <c r="N1691" s="75">
        <f t="shared" si="211"/>
        <v>45</v>
      </c>
      <c r="O1691" s="202">
        <f t="shared" si="212"/>
        <v>0</v>
      </c>
      <c r="P1691" s="199">
        <f t="shared" si="209"/>
        <v>0</v>
      </c>
      <c r="Q1691" s="203">
        <f t="shared" si="213"/>
        <v>16.000000000001364</v>
      </c>
      <c r="R1691" s="203" t="s">
        <v>55</v>
      </c>
      <c r="S1691" s="201">
        <f t="shared" si="214"/>
        <v>9.1064314171884764E-3</v>
      </c>
    </row>
    <row r="1692" spans="1:19">
      <c r="A1692" s="196">
        <v>42424</v>
      </c>
      <c r="B1692" s="122">
        <v>17.5</v>
      </c>
      <c r="C1692" s="122">
        <v>17.870000999999998</v>
      </c>
      <c r="D1692" s="122">
        <v>16.889999</v>
      </c>
      <c r="E1692" s="122">
        <v>17.780000999999999</v>
      </c>
      <c r="F1692" s="122">
        <v>15.104184999999999</v>
      </c>
      <c r="G1692" s="197">
        <v>76600</v>
      </c>
      <c r="H1692" s="198">
        <f>IF(AND(E1691&gt;=H1691,E1692&gt;=E1691),E1691*(1+'Trading Model'!$E$13),IF(AND(E1692&lt;E1691,E1691&gt;=H1691),E1692*(1+'Trading Model'!$E$13),H1691))</f>
        <v>27.698998950000004</v>
      </c>
      <c r="I1692" s="198">
        <f>IF(K1692&gt;0,E1692*(1-'Trading Model'!E1702),IF(E1692&lt;I1691,I1691*(1-'Trading Model'!$E$14),I1691))</f>
        <v>8.9840153609188427</v>
      </c>
      <c r="J1692" s="198">
        <f t="shared" si="215"/>
        <v>0</v>
      </c>
      <c r="K1692" s="198">
        <f t="shared" si="210"/>
        <v>0</v>
      </c>
      <c r="L1692" s="198">
        <f>COUNTIF(J1692:K1692,"&lt;&gt;0")*-'Trading Model'!$E$15</f>
        <v>0</v>
      </c>
      <c r="M1692" s="198">
        <f t="shared" si="208"/>
        <v>0</v>
      </c>
      <c r="N1692" s="75">
        <f t="shared" si="211"/>
        <v>45</v>
      </c>
      <c r="O1692" s="202">
        <f t="shared" si="212"/>
        <v>0</v>
      </c>
      <c r="P1692" s="199">
        <f t="shared" si="209"/>
        <v>0</v>
      </c>
      <c r="Q1692" s="203">
        <f t="shared" si="213"/>
        <v>16.000000000001364</v>
      </c>
      <c r="R1692" s="201">
        <f>E1692/B1688-1</f>
        <v>0.10778829332014284</v>
      </c>
      <c r="S1692" s="201">
        <f t="shared" si="214"/>
        <v>2.8201353637899995E-3</v>
      </c>
    </row>
    <row r="1693" spans="1:19">
      <c r="A1693" s="196">
        <v>42425</v>
      </c>
      <c r="B1693" s="122">
        <v>17.93</v>
      </c>
      <c r="C1693" s="122">
        <v>18.200001</v>
      </c>
      <c r="D1693" s="122">
        <v>17.68</v>
      </c>
      <c r="E1693" s="122">
        <v>18.120000999999998</v>
      </c>
      <c r="F1693" s="122">
        <v>15.393015</v>
      </c>
      <c r="G1693" s="197">
        <v>72600</v>
      </c>
      <c r="H1693" s="198">
        <f>IF(AND(E1692&gt;=H1692,E1693&gt;=E1692),E1692*(1+'Trading Model'!$E$13),IF(AND(E1693&lt;E1692,E1692&gt;=H1692),E1693*(1+'Trading Model'!$E$13),H1692))</f>
        <v>27.698998950000004</v>
      </c>
      <c r="I1693" s="198">
        <f>IF(K1693&gt;0,E1693*(1-'Trading Model'!E1703),IF(E1693&lt;I1692,I1692*(1-'Trading Model'!$E$14),I1692))</f>
        <v>8.9840153609188427</v>
      </c>
      <c r="J1693" s="198">
        <f t="shared" si="215"/>
        <v>0</v>
      </c>
      <c r="K1693" s="198">
        <f t="shared" si="210"/>
        <v>0</v>
      </c>
      <c r="L1693" s="198">
        <f>COUNTIF(J1693:K1693,"&lt;&gt;0")*-'Trading Model'!$E$15</f>
        <v>0</v>
      </c>
      <c r="M1693" s="198">
        <f t="shared" si="208"/>
        <v>0</v>
      </c>
      <c r="N1693" s="75">
        <f t="shared" si="211"/>
        <v>45</v>
      </c>
      <c r="O1693" s="202">
        <f t="shared" si="212"/>
        <v>0</v>
      </c>
      <c r="P1693" s="199">
        <f t="shared" si="209"/>
        <v>0</v>
      </c>
      <c r="Q1693" s="203">
        <f t="shared" si="213"/>
        <v>16.000000000001364</v>
      </c>
      <c r="R1693" s="160" t="s">
        <v>55</v>
      </c>
      <c r="S1693" s="201">
        <f t="shared" si="214"/>
        <v>1.9122608598278523E-2</v>
      </c>
    </row>
    <row r="1694" spans="1:19">
      <c r="A1694" s="196">
        <v>42426</v>
      </c>
      <c r="B1694" s="122">
        <v>18.120000999999998</v>
      </c>
      <c r="C1694" s="122">
        <v>18.73</v>
      </c>
      <c r="D1694" s="122">
        <v>17.610001</v>
      </c>
      <c r="E1694" s="122">
        <v>18.389999</v>
      </c>
      <c r="F1694" s="122">
        <v>15.622381000000001</v>
      </c>
      <c r="G1694" s="197">
        <v>146700</v>
      </c>
      <c r="H1694" s="198">
        <f>IF(AND(E1693&gt;=H1693,E1694&gt;=E1693),E1693*(1+'Trading Model'!$E$13),IF(AND(E1694&lt;E1693,E1693&gt;=H1693),E1694*(1+'Trading Model'!$E$13),H1693))</f>
        <v>27.698998950000004</v>
      </c>
      <c r="I1694" s="198">
        <f>IF(K1694&gt;0,E1694*(1-'Trading Model'!E1704),IF(E1694&lt;I1693,I1693*(1-'Trading Model'!$E$14),I1693))</f>
        <v>8.9840153609188427</v>
      </c>
      <c r="J1694" s="198">
        <f t="shared" si="215"/>
        <v>0</v>
      </c>
      <c r="K1694" s="198">
        <f t="shared" si="210"/>
        <v>0</v>
      </c>
      <c r="L1694" s="198">
        <f>COUNTIF(J1694:K1694,"&lt;&gt;0")*-'Trading Model'!$E$15</f>
        <v>0</v>
      </c>
      <c r="M1694" s="198">
        <f t="shared" si="208"/>
        <v>0</v>
      </c>
      <c r="N1694" s="75">
        <f t="shared" si="211"/>
        <v>45</v>
      </c>
      <c r="O1694" s="202">
        <f t="shared" si="212"/>
        <v>0</v>
      </c>
      <c r="P1694" s="199">
        <f t="shared" si="209"/>
        <v>0</v>
      </c>
      <c r="Q1694" s="203">
        <f t="shared" si="213"/>
        <v>16.000000000001364</v>
      </c>
      <c r="R1694" s="203" t="s">
        <v>55</v>
      </c>
      <c r="S1694" s="201">
        <f t="shared" si="214"/>
        <v>1.4900551054053635E-2</v>
      </c>
    </row>
    <row r="1695" spans="1:19">
      <c r="A1695" s="196">
        <v>42429</v>
      </c>
      <c r="B1695" s="122">
        <v>18.629999000000002</v>
      </c>
      <c r="C1695" s="122">
        <v>18.84</v>
      </c>
      <c r="D1695" s="122">
        <v>17.93</v>
      </c>
      <c r="E1695" s="122">
        <v>18.459999</v>
      </c>
      <c r="F1695" s="122">
        <v>15.681846999999999</v>
      </c>
      <c r="G1695" s="197">
        <v>133900</v>
      </c>
      <c r="H1695" s="198">
        <f>IF(AND(E1694&gt;=H1694,E1695&gt;=E1694),E1694*(1+'Trading Model'!$E$13),IF(AND(E1695&lt;E1694,E1694&gt;=H1694),E1695*(1+'Trading Model'!$E$13),H1694))</f>
        <v>27.698998950000004</v>
      </c>
      <c r="I1695" s="198">
        <f>IF(K1695&gt;0,E1695*(1-'Trading Model'!E1705),IF(E1695&lt;I1694,I1694*(1-'Trading Model'!$E$14),I1694))</f>
        <v>8.9840153609188427</v>
      </c>
      <c r="J1695" s="198">
        <f t="shared" si="215"/>
        <v>0</v>
      </c>
      <c r="K1695" s="198">
        <f t="shared" si="210"/>
        <v>0</v>
      </c>
      <c r="L1695" s="198">
        <f>COUNTIF(J1695:K1695,"&lt;&gt;0")*-'Trading Model'!$E$15</f>
        <v>0</v>
      </c>
      <c r="M1695" s="198">
        <f t="shared" si="208"/>
        <v>0</v>
      </c>
      <c r="N1695" s="75">
        <f t="shared" si="211"/>
        <v>45</v>
      </c>
      <c r="O1695" s="202">
        <f t="shared" si="212"/>
        <v>0</v>
      </c>
      <c r="P1695" s="199">
        <f t="shared" si="209"/>
        <v>0</v>
      </c>
      <c r="Q1695" s="203">
        <f t="shared" si="213"/>
        <v>16.000000000001364</v>
      </c>
      <c r="R1695" s="203" t="s">
        <v>55</v>
      </c>
      <c r="S1695" s="201">
        <f t="shared" si="214"/>
        <v>3.8064167377060976E-3</v>
      </c>
    </row>
    <row r="1696" spans="1:19">
      <c r="A1696" s="196">
        <v>42430</v>
      </c>
      <c r="B1696" s="122">
        <v>18.52</v>
      </c>
      <c r="C1696" s="122">
        <v>18.700001</v>
      </c>
      <c r="D1696" s="122">
        <v>18.040001</v>
      </c>
      <c r="E1696" s="122">
        <v>18.600000000000001</v>
      </c>
      <c r="F1696" s="122">
        <v>15.800776000000001</v>
      </c>
      <c r="G1696" s="197">
        <v>167500</v>
      </c>
      <c r="H1696" s="198">
        <f>IF(AND(E1695&gt;=H1695,E1696&gt;=E1695),E1695*(1+'Trading Model'!$E$13),IF(AND(E1696&lt;E1695,E1695&gt;=H1695),E1696*(1+'Trading Model'!$E$13),H1695))</f>
        <v>27.698998950000004</v>
      </c>
      <c r="I1696" s="198">
        <f>IF(K1696&gt;0,E1696*(1-'Trading Model'!E1706),IF(E1696&lt;I1695,I1695*(1-'Trading Model'!$E$14),I1695))</f>
        <v>8.9840153609188427</v>
      </c>
      <c r="J1696" s="198">
        <f t="shared" si="215"/>
        <v>0</v>
      </c>
      <c r="K1696" s="198">
        <f t="shared" si="210"/>
        <v>0</v>
      </c>
      <c r="L1696" s="198">
        <f>COUNTIF(J1696:K1696,"&lt;&gt;0")*-'Trading Model'!$E$15</f>
        <v>0</v>
      </c>
      <c r="M1696" s="198">
        <f t="shared" si="208"/>
        <v>0</v>
      </c>
      <c r="N1696" s="75">
        <f t="shared" si="211"/>
        <v>45</v>
      </c>
      <c r="O1696" s="202">
        <f t="shared" si="212"/>
        <v>0</v>
      </c>
      <c r="P1696" s="199">
        <f t="shared" si="209"/>
        <v>0</v>
      </c>
      <c r="Q1696" s="203">
        <f t="shared" si="213"/>
        <v>16.000000000001364</v>
      </c>
      <c r="R1696" s="203" t="s">
        <v>55</v>
      </c>
      <c r="S1696" s="201">
        <f t="shared" si="214"/>
        <v>7.5840199124606045E-3</v>
      </c>
    </row>
    <row r="1697" spans="1:19">
      <c r="A1697" s="196">
        <v>42431</v>
      </c>
      <c r="B1697" s="122">
        <v>18.5</v>
      </c>
      <c r="C1697" s="122">
        <v>18.950001</v>
      </c>
      <c r="D1697" s="122">
        <v>18.16</v>
      </c>
      <c r="E1697" s="122">
        <v>18.799999</v>
      </c>
      <c r="F1697" s="122">
        <v>15.970677</v>
      </c>
      <c r="G1697" s="197">
        <v>251000</v>
      </c>
      <c r="H1697" s="198">
        <f>IF(AND(E1696&gt;=H1696,E1697&gt;=E1696),E1696*(1+'Trading Model'!$E$13),IF(AND(E1697&lt;E1696,E1696&gt;=H1696),E1697*(1+'Trading Model'!$E$13),H1696))</f>
        <v>27.698998950000004</v>
      </c>
      <c r="I1697" s="198">
        <f>IF(K1697&gt;0,E1697*(1-'Trading Model'!E1707),IF(E1697&lt;I1696,I1696*(1-'Trading Model'!$E$14),I1696))</f>
        <v>8.9840153609188427</v>
      </c>
      <c r="J1697" s="198">
        <f t="shared" si="215"/>
        <v>0</v>
      </c>
      <c r="K1697" s="198">
        <f t="shared" si="210"/>
        <v>0</v>
      </c>
      <c r="L1697" s="198">
        <f>COUNTIF(J1697:K1697,"&lt;&gt;0")*-'Trading Model'!$E$15</f>
        <v>0</v>
      </c>
      <c r="M1697" s="198">
        <f t="shared" si="208"/>
        <v>0</v>
      </c>
      <c r="N1697" s="75">
        <f t="shared" si="211"/>
        <v>45</v>
      </c>
      <c r="O1697" s="202">
        <f t="shared" si="212"/>
        <v>0</v>
      </c>
      <c r="P1697" s="199">
        <f t="shared" si="209"/>
        <v>0</v>
      </c>
      <c r="Q1697" s="203">
        <f t="shared" si="213"/>
        <v>16.000000000001364</v>
      </c>
      <c r="R1697" s="201">
        <f>E1697/B1693-1</f>
        <v>4.8521974344673646E-2</v>
      </c>
      <c r="S1697" s="201">
        <f t="shared" si="214"/>
        <v>1.0752634408601969E-2</v>
      </c>
    </row>
    <row r="1698" spans="1:19">
      <c r="A1698" s="196">
        <v>42432</v>
      </c>
      <c r="B1698" s="122">
        <v>18.889999</v>
      </c>
      <c r="C1698" s="122">
        <v>18.989999999999998</v>
      </c>
      <c r="D1698" s="122">
        <v>18.41</v>
      </c>
      <c r="E1698" s="122">
        <v>18.73</v>
      </c>
      <c r="F1698" s="122">
        <v>15.911210000000001</v>
      </c>
      <c r="G1698" s="197">
        <v>104100</v>
      </c>
      <c r="H1698" s="198">
        <f>IF(AND(E1697&gt;=H1697,E1698&gt;=E1697),E1697*(1+'Trading Model'!$E$13),IF(AND(E1698&lt;E1697,E1697&gt;=H1697),E1698*(1+'Trading Model'!$E$13),H1697))</f>
        <v>27.698998950000004</v>
      </c>
      <c r="I1698" s="198">
        <f>IF(K1698&gt;0,E1698*(1-'Trading Model'!E1708),IF(E1698&lt;I1697,I1697*(1-'Trading Model'!$E$14),I1697))</f>
        <v>8.9840153609188427</v>
      </c>
      <c r="J1698" s="198">
        <f t="shared" si="215"/>
        <v>0</v>
      </c>
      <c r="K1698" s="198">
        <f t="shared" si="210"/>
        <v>0</v>
      </c>
      <c r="L1698" s="198">
        <f>COUNTIF(J1698:K1698,"&lt;&gt;0")*-'Trading Model'!$E$15</f>
        <v>0</v>
      </c>
      <c r="M1698" s="198">
        <f t="shared" si="208"/>
        <v>0</v>
      </c>
      <c r="N1698" s="75">
        <f t="shared" si="211"/>
        <v>45</v>
      </c>
      <c r="O1698" s="202">
        <f t="shared" si="212"/>
        <v>0</v>
      </c>
      <c r="P1698" s="199">
        <f t="shared" si="209"/>
        <v>0</v>
      </c>
      <c r="Q1698" s="203">
        <f t="shared" si="213"/>
        <v>15.900000000001365</v>
      </c>
      <c r="R1698" s="160" t="s">
        <v>55</v>
      </c>
      <c r="S1698" s="201">
        <f t="shared" si="214"/>
        <v>-3.7233512618803921E-3</v>
      </c>
    </row>
    <row r="1699" spans="1:19">
      <c r="A1699" s="196">
        <v>42433</v>
      </c>
      <c r="B1699" s="122">
        <v>18.59</v>
      </c>
      <c r="C1699" s="122">
        <v>18.989999999999998</v>
      </c>
      <c r="D1699" s="122">
        <v>18.399999999999999</v>
      </c>
      <c r="E1699" s="122">
        <v>18.850000000000001</v>
      </c>
      <c r="F1699" s="122">
        <v>16.013152999999999</v>
      </c>
      <c r="G1699" s="197">
        <v>144100</v>
      </c>
      <c r="H1699" s="198">
        <f>IF(AND(E1698&gt;=H1698,E1699&gt;=E1698),E1698*(1+'Trading Model'!$E$13),IF(AND(E1699&lt;E1698,E1698&gt;=H1698),E1699*(1+'Trading Model'!$E$13),H1698))</f>
        <v>27.698998950000004</v>
      </c>
      <c r="I1699" s="198">
        <f>IF(K1699&gt;0,E1699*(1-'Trading Model'!E1709),IF(E1699&lt;I1698,I1698*(1-'Trading Model'!$E$14),I1698))</f>
        <v>8.9840153609188427</v>
      </c>
      <c r="J1699" s="198">
        <f t="shared" si="215"/>
        <v>0</v>
      </c>
      <c r="K1699" s="198">
        <f t="shared" si="210"/>
        <v>0</v>
      </c>
      <c r="L1699" s="198">
        <f>COUNTIF(J1699:K1699,"&lt;&gt;0")*-'Trading Model'!$E$15</f>
        <v>0</v>
      </c>
      <c r="M1699" s="198">
        <f t="shared" si="208"/>
        <v>0</v>
      </c>
      <c r="N1699" s="75">
        <f t="shared" si="211"/>
        <v>45</v>
      </c>
      <c r="O1699" s="202">
        <f t="shared" si="212"/>
        <v>0</v>
      </c>
      <c r="P1699" s="199">
        <f t="shared" si="209"/>
        <v>0</v>
      </c>
      <c r="Q1699" s="203">
        <f t="shared" si="213"/>
        <v>15.900000000001365</v>
      </c>
      <c r="R1699" s="203" t="s">
        <v>55</v>
      </c>
      <c r="S1699" s="201">
        <f t="shared" si="214"/>
        <v>6.4068339562199927E-3</v>
      </c>
    </row>
    <row r="1700" spans="1:19">
      <c r="A1700" s="196">
        <v>42436</v>
      </c>
      <c r="B1700" s="122">
        <v>18.959999</v>
      </c>
      <c r="C1700" s="122">
        <v>19.27</v>
      </c>
      <c r="D1700" s="122">
        <v>18.860001</v>
      </c>
      <c r="E1700" s="122">
        <v>19.100000000000001</v>
      </c>
      <c r="F1700" s="122">
        <v>16.225527</v>
      </c>
      <c r="G1700" s="197">
        <v>104700</v>
      </c>
      <c r="H1700" s="198">
        <f>IF(AND(E1699&gt;=H1699,E1700&gt;=E1699),E1699*(1+'Trading Model'!$E$13),IF(AND(E1700&lt;E1699,E1699&gt;=H1699),E1700*(1+'Trading Model'!$E$13),H1699))</f>
        <v>27.698998950000004</v>
      </c>
      <c r="I1700" s="198">
        <f>IF(K1700&gt;0,E1700*(1-'Trading Model'!E1710),IF(E1700&lt;I1699,I1699*(1-'Trading Model'!$E$14),I1699))</f>
        <v>8.9840153609188427</v>
      </c>
      <c r="J1700" s="198">
        <f t="shared" si="215"/>
        <v>0</v>
      </c>
      <c r="K1700" s="198">
        <f t="shared" si="210"/>
        <v>0</v>
      </c>
      <c r="L1700" s="198">
        <f>COUNTIF(J1700:K1700,"&lt;&gt;0")*-'Trading Model'!$E$15</f>
        <v>0</v>
      </c>
      <c r="M1700" s="198">
        <f t="shared" si="208"/>
        <v>0</v>
      </c>
      <c r="N1700" s="75">
        <f t="shared" si="211"/>
        <v>45</v>
      </c>
      <c r="O1700" s="202">
        <f t="shared" si="212"/>
        <v>0</v>
      </c>
      <c r="P1700" s="199">
        <f t="shared" si="209"/>
        <v>0</v>
      </c>
      <c r="Q1700" s="203">
        <f t="shared" si="213"/>
        <v>15.900000000001365</v>
      </c>
      <c r="R1700" s="203" t="s">
        <v>55</v>
      </c>
      <c r="S1700" s="201">
        <f t="shared" si="214"/>
        <v>1.3262599469495928E-2</v>
      </c>
    </row>
    <row r="1701" spans="1:19">
      <c r="A1701" s="196">
        <v>42437</v>
      </c>
      <c r="B1701" s="122">
        <v>19.18</v>
      </c>
      <c r="C1701" s="122">
        <v>19.32</v>
      </c>
      <c r="D1701" s="122">
        <v>18.879999000000002</v>
      </c>
      <c r="E1701" s="122">
        <v>19.100000000000001</v>
      </c>
      <c r="F1701" s="122">
        <v>16.225527</v>
      </c>
      <c r="G1701" s="197">
        <v>143900</v>
      </c>
      <c r="H1701" s="198">
        <f>IF(AND(E1700&gt;=H1700,E1701&gt;=E1700),E1700*(1+'Trading Model'!$E$13),IF(AND(E1701&lt;E1700,E1700&gt;=H1700),E1701*(1+'Trading Model'!$E$13),H1700))</f>
        <v>27.698998950000004</v>
      </c>
      <c r="I1701" s="198">
        <f>IF(K1701&gt;0,E1701*(1-'Trading Model'!E1711),IF(E1701&lt;I1700,I1700*(1-'Trading Model'!$E$14),I1700))</f>
        <v>8.9840153609188427</v>
      </c>
      <c r="J1701" s="198">
        <f t="shared" si="215"/>
        <v>0</v>
      </c>
      <c r="K1701" s="198">
        <f t="shared" si="210"/>
        <v>0</v>
      </c>
      <c r="L1701" s="198">
        <f>COUNTIF(J1701:K1701,"&lt;&gt;0")*-'Trading Model'!$E$15</f>
        <v>0</v>
      </c>
      <c r="M1701" s="198">
        <f t="shared" si="208"/>
        <v>0</v>
      </c>
      <c r="N1701" s="75">
        <f t="shared" si="211"/>
        <v>45</v>
      </c>
      <c r="O1701" s="202">
        <f t="shared" si="212"/>
        <v>0</v>
      </c>
      <c r="P1701" s="199">
        <f t="shared" si="209"/>
        <v>0</v>
      </c>
      <c r="Q1701" s="203">
        <f t="shared" si="213"/>
        <v>15.900000000001365</v>
      </c>
      <c r="R1701" s="203" t="s">
        <v>55</v>
      </c>
      <c r="S1701" s="201">
        <f t="shared" si="214"/>
        <v>0</v>
      </c>
    </row>
    <row r="1702" spans="1:19">
      <c r="A1702" s="196">
        <v>42438</v>
      </c>
      <c r="B1702" s="122">
        <v>19.32</v>
      </c>
      <c r="C1702" s="122">
        <v>19.32</v>
      </c>
      <c r="D1702" s="122">
        <v>18.870000999999998</v>
      </c>
      <c r="E1702" s="122">
        <v>19.09</v>
      </c>
      <c r="F1702" s="122">
        <v>16.217033000000001</v>
      </c>
      <c r="G1702" s="197">
        <v>156100</v>
      </c>
      <c r="H1702" s="198">
        <f>IF(AND(E1701&gt;=H1701,E1702&gt;=E1701),E1701*(1+'Trading Model'!$E$13),IF(AND(E1702&lt;E1701,E1701&gt;=H1701),E1702*(1+'Trading Model'!$E$13),H1701))</f>
        <v>27.698998950000004</v>
      </c>
      <c r="I1702" s="198">
        <f>IF(K1702&gt;0,E1702*(1-'Trading Model'!E1712),IF(E1702&lt;I1701,I1701*(1-'Trading Model'!$E$14),I1701))</f>
        <v>8.9840153609188427</v>
      </c>
      <c r="J1702" s="198">
        <f t="shared" si="215"/>
        <v>0</v>
      </c>
      <c r="K1702" s="198">
        <f t="shared" si="210"/>
        <v>0</v>
      </c>
      <c r="L1702" s="198">
        <f>COUNTIF(J1702:K1702,"&lt;&gt;0")*-'Trading Model'!$E$15</f>
        <v>0</v>
      </c>
      <c r="M1702" s="198">
        <f t="shared" si="208"/>
        <v>0</v>
      </c>
      <c r="N1702" s="75">
        <f t="shared" si="211"/>
        <v>45</v>
      </c>
      <c r="O1702" s="202">
        <f t="shared" si="212"/>
        <v>0</v>
      </c>
      <c r="P1702" s="199">
        <f t="shared" si="209"/>
        <v>0</v>
      </c>
      <c r="Q1702" s="203">
        <f t="shared" si="213"/>
        <v>15.800000000001365</v>
      </c>
      <c r="R1702" s="201">
        <f>E1702/B1698-1</f>
        <v>1.0587665991935724E-2</v>
      </c>
      <c r="S1702" s="201">
        <f t="shared" si="214"/>
        <v>-5.2356020942412318E-4</v>
      </c>
    </row>
    <row r="1703" spans="1:19">
      <c r="A1703" s="196">
        <v>42439</v>
      </c>
      <c r="B1703" s="122">
        <v>19</v>
      </c>
      <c r="C1703" s="122">
        <v>19</v>
      </c>
      <c r="D1703" s="122">
        <v>18.420000000000002</v>
      </c>
      <c r="E1703" s="122">
        <v>18.82</v>
      </c>
      <c r="F1703" s="122">
        <v>15.987665</v>
      </c>
      <c r="G1703" s="197">
        <v>109900</v>
      </c>
      <c r="H1703" s="198">
        <f>IF(AND(E1702&gt;=H1702,E1703&gt;=E1702),E1702*(1+'Trading Model'!$E$13),IF(AND(E1703&lt;E1702,E1702&gt;=H1702),E1703*(1+'Trading Model'!$E$13),H1702))</f>
        <v>27.698998950000004</v>
      </c>
      <c r="I1703" s="198">
        <f>IF(K1703&gt;0,E1703*(1-'Trading Model'!E1713),IF(E1703&lt;I1702,I1702*(1-'Trading Model'!$E$14),I1702))</f>
        <v>8.9840153609188427</v>
      </c>
      <c r="J1703" s="198">
        <f t="shared" si="215"/>
        <v>0</v>
      </c>
      <c r="K1703" s="198">
        <f t="shared" si="210"/>
        <v>0</v>
      </c>
      <c r="L1703" s="198">
        <f>COUNTIF(J1703:K1703,"&lt;&gt;0")*-'Trading Model'!$E$15</f>
        <v>0</v>
      </c>
      <c r="M1703" s="198">
        <f t="shared" si="208"/>
        <v>0</v>
      </c>
      <c r="N1703" s="75">
        <f t="shared" si="211"/>
        <v>45</v>
      </c>
      <c r="O1703" s="202">
        <f t="shared" si="212"/>
        <v>0</v>
      </c>
      <c r="P1703" s="199">
        <f t="shared" si="209"/>
        <v>0</v>
      </c>
      <c r="Q1703" s="203">
        <f t="shared" si="213"/>
        <v>15.700000000001365</v>
      </c>
      <c r="R1703" s="160" t="s">
        <v>55</v>
      </c>
      <c r="S1703" s="201">
        <f t="shared" si="214"/>
        <v>-1.4143530644316393E-2</v>
      </c>
    </row>
    <row r="1704" spans="1:19">
      <c r="A1704" s="196">
        <v>42440</v>
      </c>
      <c r="B1704" s="122">
        <v>19.059999000000001</v>
      </c>
      <c r="C1704" s="122">
        <v>19.09</v>
      </c>
      <c r="D1704" s="122">
        <v>18.469999000000001</v>
      </c>
      <c r="E1704" s="122">
        <v>18.920000000000002</v>
      </c>
      <c r="F1704" s="122">
        <v>16.072617000000001</v>
      </c>
      <c r="G1704" s="197">
        <v>100800</v>
      </c>
      <c r="H1704" s="198">
        <f>IF(AND(E1703&gt;=H1703,E1704&gt;=E1703),E1703*(1+'Trading Model'!$E$13),IF(AND(E1704&lt;E1703,E1703&gt;=H1703),E1704*(1+'Trading Model'!$E$13),H1703))</f>
        <v>27.698998950000004</v>
      </c>
      <c r="I1704" s="198">
        <f>IF(K1704&gt;0,E1704*(1-'Trading Model'!E1714),IF(E1704&lt;I1703,I1703*(1-'Trading Model'!$E$14),I1703))</f>
        <v>8.9840153609188427</v>
      </c>
      <c r="J1704" s="198">
        <f t="shared" si="215"/>
        <v>0</v>
      </c>
      <c r="K1704" s="198">
        <f t="shared" si="210"/>
        <v>0</v>
      </c>
      <c r="L1704" s="198">
        <f>COUNTIF(J1704:K1704,"&lt;&gt;0")*-'Trading Model'!$E$15</f>
        <v>0</v>
      </c>
      <c r="M1704" s="198">
        <f t="shared" si="208"/>
        <v>0</v>
      </c>
      <c r="N1704" s="75">
        <f t="shared" si="211"/>
        <v>45</v>
      </c>
      <c r="O1704" s="202">
        <f t="shared" si="212"/>
        <v>0</v>
      </c>
      <c r="P1704" s="199">
        <f t="shared" si="209"/>
        <v>0</v>
      </c>
      <c r="Q1704" s="203">
        <f t="shared" si="213"/>
        <v>15.700000000001365</v>
      </c>
      <c r="R1704" s="203" t="s">
        <v>55</v>
      </c>
      <c r="S1704" s="201">
        <f t="shared" si="214"/>
        <v>5.3134962805527763E-3</v>
      </c>
    </row>
    <row r="1705" spans="1:19">
      <c r="A1705" s="196">
        <v>42443</v>
      </c>
      <c r="B1705" s="122">
        <v>18.91</v>
      </c>
      <c r="C1705" s="122">
        <v>18.91</v>
      </c>
      <c r="D1705" s="122">
        <v>18.530000999999999</v>
      </c>
      <c r="E1705" s="122">
        <v>18.649999999999999</v>
      </c>
      <c r="F1705" s="122">
        <v>15.843252</v>
      </c>
      <c r="G1705" s="197">
        <v>51500</v>
      </c>
      <c r="H1705" s="198">
        <f>IF(AND(E1704&gt;=H1704,E1705&gt;=E1704),E1704*(1+'Trading Model'!$E$13),IF(AND(E1705&lt;E1704,E1704&gt;=H1704),E1705*(1+'Trading Model'!$E$13),H1704))</f>
        <v>27.698998950000004</v>
      </c>
      <c r="I1705" s="198">
        <f>IF(K1705&gt;0,E1705*(1-'Trading Model'!E1715),IF(E1705&lt;I1704,I1704*(1-'Trading Model'!$E$14),I1704))</f>
        <v>8.9840153609188427</v>
      </c>
      <c r="J1705" s="198">
        <f t="shared" si="215"/>
        <v>0</v>
      </c>
      <c r="K1705" s="198">
        <f t="shared" si="210"/>
        <v>0</v>
      </c>
      <c r="L1705" s="198">
        <f>COUNTIF(J1705:K1705,"&lt;&gt;0")*-'Trading Model'!$E$15</f>
        <v>0</v>
      </c>
      <c r="M1705" s="198">
        <f t="shared" si="208"/>
        <v>0</v>
      </c>
      <c r="N1705" s="75">
        <f t="shared" si="211"/>
        <v>45</v>
      </c>
      <c r="O1705" s="202">
        <f t="shared" si="212"/>
        <v>0</v>
      </c>
      <c r="P1705" s="199">
        <f t="shared" si="209"/>
        <v>0</v>
      </c>
      <c r="Q1705" s="203">
        <f t="shared" si="213"/>
        <v>15.600000000001366</v>
      </c>
      <c r="R1705" s="203" t="s">
        <v>55</v>
      </c>
      <c r="S1705" s="201">
        <f t="shared" si="214"/>
        <v>-1.4270613107822627E-2</v>
      </c>
    </row>
    <row r="1706" spans="1:19">
      <c r="A1706" s="196">
        <v>42444</v>
      </c>
      <c r="B1706" s="122">
        <v>18.52</v>
      </c>
      <c r="C1706" s="122">
        <v>18.620000999999998</v>
      </c>
      <c r="D1706" s="122">
        <v>17.780000999999999</v>
      </c>
      <c r="E1706" s="122">
        <v>18.329999999999998</v>
      </c>
      <c r="F1706" s="122">
        <v>15.571412</v>
      </c>
      <c r="G1706" s="197">
        <v>142800</v>
      </c>
      <c r="H1706" s="198">
        <f>IF(AND(E1705&gt;=H1705,E1706&gt;=E1705),E1705*(1+'Trading Model'!$E$13),IF(AND(E1706&lt;E1705,E1705&gt;=H1705),E1706*(1+'Trading Model'!$E$13),H1705))</f>
        <v>27.698998950000004</v>
      </c>
      <c r="I1706" s="198">
        <f>IF(K1706&gt;0,E1706*(1-'Trading Model'!E1716),IF(E1706&lt;I1705,I1705*(1-'Trading Model'!$E$14),I1705))</f>
        <v>8.9840153609188427</v>
      </c>
      <c r="J1706" s="198">
        <f t="shared" si="215"/>
        <v>0</v>
      </c>
      <c r="K1706" s="198">
        <f t="shared" si="210"/>
        <v>0</v>
      </c>
      <c r="L1706" s="198">
        <f>COUNTIF(J1706:K1706,"&lt;&gt;0")*-'Trading Model'!$E$15</f>
        <v>0</v>
      </c>
      <c r="M1706" s="198">
        <f t="shared" si="208"/>
        <v>0</v>
      </c>
      <c r="N1706" s="75">
        <f t="shared" si="211"/>
        <v>45</v>
      </c>
      <c r="O1706" s="202">
        <f t="shared" si="212"/>
        <v>0</v>
      </c>
      <c r="P1706" s="199">
        <f t="shared" si="209"/>
        <v>0</v>
      </c>
      <c r="Q1706" s="203">
        <f t="shared" si="213"/>
        <v>15.500000000001366</v>
      </c>
      <c r="R1706" s="203" t="s">
        <v>55</v>
      </c>
      <c r="S1706" s="201">
        <f t="shared" si="214"/>
        <v>-1.7158176943699699E-2</v>
      </c>
    </row>
    <row r="1707" spans="1:19">
      <c r="A1707" s="196">
        <v>42445</v>
      </c>
      <c r="B1707" s="122">
        <v>18.16</v>
      </c>
      <c r="C1707" s="122">
        <v>18.57</v>
      </c>
      <c r="D1707" s="122">
        <v>17.920000000000002</v>
      </c>
      <c r="E1707" s="122">
        <v>18.399999999999999</v>
      </c>
      <c r="F1707" s="122">
        <v>15.630875</v>
      </c>
      <c r="G1707" s="197">
        <v>62300</v>
      </c>
      <c r="H1707" s="198">
        <f>IF(AND(E1706&gt;=H1706,E1707&gt;=E1706),E1706*(1+'Trading Model'!$E$13),IF(AND(E1707&lt;E1706,E1706&gt;=H1706),E1707*(1+'Trading Model'!$E$13),H1706))</f>
        <v>27.698998950000004</v>
      </c>
      <c r="I1707" s="198">
        <f>IF(K1707&gt;0,E1707*(1-'Trading Model'!E1717),IF(E1707&lt;I1706,I1706*(1-'Trading Model'!$E$14),I1706))</f>
        <v>8.9840153609188427</v>
      </c>
      <c r="J1707" s="198">
        <f t="shared" si="215"/>
        <v>0</v>
      </c>
      <c r="K1707" s="198">
        <f t="shared" si="210"/>
        <v>0</v>
      </c>
      <c r="L1707" s="198">
        <f>COUNTIF(J1707:K1707,"&lt;&gt;0")*-'Trading Model'!$E$15</f>
        <v>0</v>
      </c>
      <c r="M1707" s="198">
        <f t="shared" si="208"/>
        <v>0</v>
      </c>
      <c r="N1707" s="75">
        <f t="shared" si="211"/>
        <v>45</v>
      </c>
      <c r="O1707" s="202">
        <f t="shared" si="212"/>
        <v>0</v>
      </c>
      <c r="P1707" s="199">
        <f t="shared" si="209"/>
        <v>0</v>
      </c>
      <c r="Q1707" s="203">
        <f t="shared" si="213"/>
        <v>15.500000000001366</v>
      </c>
      <c r="R1707" s="201">
        <f>E1707/B1703-1</f>
        <v>-3.1578947368421151E-2</v>
      </c>
      <c r="S1707" s="201">
        <f t="shared" si="214"/>
        <v>3.818876159301654E-3</v>
      </c>
    </row>
    <row r="1708" spans="1:19">
      <c r="A1708" s="196">
        <v>42446</v>
      </c>
      <c r="B1708" s="122">
        <v>18.43</v>
      </c>
      <c r="C1708" s="122">
        <v>18.709999</v>
      </c>
      <c r="D1708" s="122">
        <v>18.190000999999999</v>
      </c>
      <c r="E1708" s="122">
        <v>18.370000999999998</v>
      </c>
      <c r="F1708" s="122">
        <v>15.605389000000001</v>
      </c>
      <c r="G1708" s="197">
        <v>131200</v>
      </c>
      <c r="H1708" s="198">
        <f>IF(AND(E1707&gt;=H1707,E1708&gt;=E1707),E1707*(1+'Trading Model'!$E$13),IF(AND(E1708&lt;E1707,E1707&gt;=H1707),E1708*(1+'Trading Model'!$E$13),H1707))</f>
        <v>27.698998950000004</v>
      </c>
      <c r="I1708" s="198">
        <f>IF(K1708&gt;0,E1708*(1-'Trading Model'!E1718),IF(E1708&lt;I1707,I1707*(1-'Trading Model'!$E$14),I1707))</f>
        <v>8.9840153609188427</v>
      </c>
      <c r="J1708" s="198">
        <f t="shared" si="215"/>
        <v>0</v>
      </c>
      <c r="K1708" s="198">
        <f t="shared" si="210"/>
        <v>0</v>
      </c>
      <c r="L1708" s="198">
        <f>COUNTIF(J1708:K1708,"&lt;&gt;0")*-'Trading Model'!$E$15</f>
        <v>0</v>
      </c>
      <c r="M1708" s="198">
        <f t="shared" si="208"/>
        <v>0</v>
      </c>
      <c r="N1708" s="75">
        <f t="shared" si="211"/>
        <v>45</v>
      </c>
      <c r="O1708" s="202">
        <f t="shared" si="212"/>
        <v>0</v>
      </c>
      <c r="P1708" s="199">
        <f t="shared" si="209"/>
        <v>0</v>
      </c>
      <c r="Q1708" s="203">
        <f t="shared" si="213"/>
        <v>15.400000000001366</v>
      </c>
      <c r="R1708" s="160" t="s">
        <v>55</v>
      </c>
      <c r="S1708" s="201">
        <f t="shared" si="214"/>
        <v>-1.6303804347825857E-3</v>
      </c>
    </row>
    <row r="1709" spans="1:19">
      <c r="A1709" s="196">
        <v>42447</v>
      </c>
      <c r="B1709" s="122">
        <v>18.34</v>
      </c>
      <c r="C1709" s="122">
        <v>18.860001</v>
      </c>
      <c r="D1709" s="122">
        <v>18.139999</v>
      </c>
      <c r="E1709" s="122">
        <v>18.829999999999998</v>
      </c>
      <c r="F1709" s="122">
        <v>15.996162</v>
      </c>
      <c r="G1709" s="197">
        <v>59300</v>
      </c>
      <c r="H1709" s="198">
        <f>IF(AND(E1708&gt;=H1708,E1709&gt;=E1708),E1708*(1+'Trading Model'!$E$13),IF(AND(E1709&lt;E1708,E1708&gt;=H1708),E1709*(1+'Trading Model'!$E$13),H1708))</f>
        <v>27.698998950000004</v>
      </c>
      <c r="I1709" s="198">
        <f>IF(K1709&gt;0,E1709*(1-'Trading Model'!E1719),IF(E1709&lt;I1708,I1708*(1-'Trading Model'!$E$14),I1708))</f>
        <v>8.9840153609188427</v>
      </c>
      <c r="J1709" s="198">
        <f t="shared" si="215"/>
        <v>0</v>
      </c>
      <c r="K1709" s="198">
        <f t="shared" si="210"/>
        <v>0</v>
      </c>
      <c r="L1709" s="198">
        <f>COUNTIF(J1709:K1709,"&lt;&gt;0")*-'Trading Model'!$E$15</f>
        <v>0</v>
      </c>
      <c r="M1709" s="198">
        <f t="shared" si="208"/>
        <v>0</v>
      </c>
      <c r="N1709" s="75">
        <f t="shared" si="211"/>
        <v>45</v>
      </c>
      <c r="O1709" s="202">
        <f t="shared" si="212"/>
        <v>0</v>
      </c>
      <c r="P1709" s="199">
        <f t="shared" si="209"/>
        <v>0</v>
      </c>
      <c r="Q1709" s="203">
        <f t="shared" si="213"/>
        <v>15.400000000001366</v>
      </c>
      <c r="R1709" s="203" t="s">
        <v>55</v>
      </c>
      <c r="S1709" s="201">
        <f t="shared" si="214"/>
        <v>2.5040771636321679E-2</v>
      </c>
    </row>
    <row r="1710" spans="1:19">
      <c r="A1710" s="196">
        <v>42450</v>
      </c>
      <c r="B1710" s="122">
        <v>18.799999</v>
      </c>
      <c r="C1710" s="122">
        <v>18.989999999999998</v>
      </c>
      <c r="D1710" s="122">
        <v>18.48</v>
      </c>
      <c r="E1710" s="122">
        <v>18.73</v>
      </c>
      <c r="F1710" s="122">
        <v>15.911210000000001</v>
      </c>
      <c r="G1710" s="197">
        <v>93200</v>
      </c>
      <c r="H1710" s="198">
        <f>IF(AND(E1709&gt;=H1709,E1710&gt;=E1709),E1709*(1+'Trading Model'!$E$13),IF(AND(E1710&lt;E1709,E1709&gt;=H1709),E1710*(1+'Trading Model'!$E$13),H1709))</f>
        <v>27.698998950000004</v>
      </c>
      <c r="I1710" s="198">
        <f>IF(K1710&gt;0,E1710*(1-'Trading Model'!E1720),IF(E1710&lt;I1709,I1709*(1-'Trading Model'!$E$14),I1709))</f>
        <v>8.9840153609188427</v>
      </c>
      <c r="J1710" s="198">
        <f t="shared" si="215"/>
        <v>0</v>
      </c>
      <c r="K1710" s="198">
        <f t="shared" si="210"/>
        <v>0</v>
      </c>
      <c r="L1710" s="198">
        <f>COUNTIF(J1710:K1710,"&lt;&gt;0")*-'Trading Model'!$E$15</f>
        <v>0</v>
      </c>
      <c r="M1710" s="198">
        <f t="shared" si="208"/>
        <v>0</v>
      </c>
      <c r="N1710" s="75">
        <f t="shared" si="211"/>
        <v>45</v>
      </c>
      <c r="O1710" s="202">
        <f t="shared" si="212"/>
        <v>0</v>
      </c>
      <c r="P1710" s="199">
        <f t="shared" si="209"/>
        <v>0</v>
      </c>
      <c r="Q1710" s="203">
        <f t="shared" si="213"/>
        <v>15.300000000001367</v>
      </c>
      <c r="R1710" s="203" t="s">
        <v>55</v>
      </c>
      <c r="S1710" s="201">
        <f t="shared" si="214"/>
        <v>-5.3106744556558061E-3</v>
      </c>
    </row>
    <row r="1711" spans="1:19">
      <c r="A1711" s="196">
        <v>42451</v>
      </c>
      <c r="B1711" s="122">
        <v>18.5</v>
      </c>
      <c r="C1711" s="122">
        <v>19.389999</v>
      </c>
      <c r="D1711" s="122">
        <v>18.34</v>
      </c>
      <c r="E1711" s="122">
        <v>19.040001</v>
      </c>
      <c r="F1711" s="122">
        <v>16.174555000000002</v>
      </c>
      <c r="G1711" s="197">
        <v>77700</v>
      </c>
      <c r="H1711" s="198">
        <f>IF(AND(E1710&gt;=H1710,E1711&gt;=E1710),E1710*(1+'Trading Model'!$E$13),IF(AND(E1711&lt;E1710,E1710&gt;=H1710),E1711*(1+'Trading Model'!$E$13),H1710))</f>
        <v>27.698998950000004</v>
      </c>
      <c r="I1711" s="198">
        <f>IF(K1711&gt;0,E1711*(1-'Trading Model'!E1721),IF(E1711&lt;I1710,I1710*(1-'Trading Model'!$E$14),I1710))</f>
        <v>8.9840153609188427</v>
      </c>
      <c r="J1711" s="198">
        <f t="shared" si="215"/>
        <v>0</v>
      </c>
      <c r="K1711" s="198">
        <f t="shared" si="210"/>
        <v>0</v>
      </c>
      <c r="L1711" s="198">
        <f>COUNTIF(J1711:K1711,"&lt;&gt;0")*-'Trading Model'!$E$15</f>
        <v>0</v>
      </c>
      <c r="M1711" s="198">
        <f t="shared" si="208"/>
        <v>0</v>
      </c>
      <c r="N1711" s="75">
        <f t="shared" si="211"/>
        <v>45</v>
      </c>
      <c r="O1711" s="202">
        <f t="shared" si="212"/>
        <v>0</v>
      </c>
      <c r="P1711" s="199">
        <f t="shared" si="209"/>
        <v>0</v>
      </c>
      <c r="Q1711" s="203">
        <f t="shared" si="213"/>
        <v>15.300000000001367</v>
      </c>
      <c r="R1711" s="203" t="s">
        <v>55</v>
      </c>
      <c r="S1711" s="201">
        <f t="shared" si="214"/>
        <v>1.6551041110517861E-2</v>
      </c>
    </row>
    <row r="1712" spans="1:19">
      <c r="A1712" s="196">
        <v>42452</v>
      </c>
      <c r="B1712" s="122">
        <v>19.09</v>
      </c>
      <c r="C1712" s="122">
        <v>19.09</v>
      </c>
      <c r="D1712" s="122">
        <v>18.48</v>
      </c>
      <c r="E1712" s="122">
        <v>18.799999</v>
      </c>
      <c r="F1712" s="122">
        <v>15.970677</v>
      </c>
      <c r="G1712" s="197">
        <v>53500</v>
      </c>
      <c r="H1712" s="198">
        <f>IF(AND(E1711&gt;=H1711,E1712&gt;=E1711),E1711*(1+'Trading Model'!$E$13),IF(AND(E1712&lt;E1711,E1711&gt;=H1711),E1712*(1+'Trading Model'!$E$13),H1711))</f>
        <v>27.698998950000004</v>
      </c>
      <c r="I1712" s="198">
        <f>IF(K1712&gt;0,E1712*(1-'Trading Model'!E1722),IF(E1712&lt;I1711,I1711*(1-'Trading Model'!$E$14),I1711))</f>
        <v>8.9840153609188427</v>
      </c>
      <c r="J1712" s="198">
        <f t="shared" si="215"/>
        <v>0</v>
      </c>
      <c r="K1712" s="198">
        <f t="shared" si="210"/>
        <v>0</v>
      </c>
      <c r="L1712" s="198">
        <f>COUNTIF(J1712:K1712,"&lt;&gt;0")*-'Trading Model'!$E$15</f>
        <v>0</v>
      </c>
      <c r="M1712" s="198">
        <f t="shared" si="208"/>
        <v>0</v>
      </c>
      <c r="N1712" s="75">
        <f t="shared" si="211"/>
        <v>45</v>
      </c>
      <c r="O1712" s="202">
        <f t="shared" si="212"/>
        <v>0</v>
      </c>
      <c r="P1712" s="199">
        <f t="shared" si="209"/>
        <v>0</v>
      </c>
      <c r="Q1712" s="203">
        <f t="shared" si="213"/>
        <v>15.200000000001367</v>
      </c>
      <c r="R1712" s="201">
        <f>E1712/B1708-1</f>
        <v>2.0075908844275681E-2</v>
      </c>
      <c r="S1712" s="201">
        <f t="shared" si="214"/>
        <v>-1.2605146396788558E-2</v>
      </c>
    </row>
    <row r="1713" spans="1:19">
      <c r="A1713" s="196">
        <v>42453</v>
      </c>
      <c r="B1713" s="122">
        <v>18.610001</v>
      </c>
      <c r="C1713" s="122">
        <v>19.139999</v>
      </c>
      <c r="D1713" s="122">
        <v>18.32</v>
      </c>
      <c r="E1713" s="122">
        <v>18.91</v>
      </c>
      <c r="F1713" s="122">
        <v>16.064121</v>
      </c>
      <c r="G1713" s="197">
        <v>55400</v>
      </c>
      <c r="H1713" s="198">
        <f>IF(AND(E1712&gt;=H1712,E1713&gt;=E1712),E1712*(1+'Trading Model'!$E$13),IF(AND(E1713&lt;E1712,E1712&gt;=H1712),E1713*(1+'Trading Model'!$E$13),H1712))</f>
        <v>27.698998950000004</v>
      </c>
      <c r="I1713" s="198">
        <f>IF(K1713&gt;0,E1713*(1-'Trading Model'!E1723),IF(E1713&lt;I1712,I1712*(1-'Trading Model'!$E$14),I1712))</f>
        <v>8.9840153609188427</v>
      </c>
      <c r="J1713" s="198">
        <f t="shared" si="215"/>
        <v>0</v>
      </c>
      <c r="K1713" s="198">
        <f t="shared" si="210"/>
        <v>0</v>
      </c>
      <c r="L1713" s="198">
        <f>COUNTIF(J1713:K1713,"&lt;&gt;0")*-'Trading Model'!$E$15</f>
        <v>0</v>
      </c>
      <c r="M1713" s="198">
        <f t="shared" si="208"/>
        <v>0</v>
      </c>
      <c r="N1713" s="75">
        <f t="shared" si="211"/>
        <v>45</v>
      </c>
      <c r="O1713" s="202">
        <f t="shared" si="212"/>
        <v>0</v>
      </c>
      <c r="P1713" s="199">
        <f t="shared" si="209"/>
        <v>0</v>
      </c>
      <c r="Q1713" s="203">
        <f t="shared" si="213"/>
        <v>15.200000000001367</v>
      </c>
      <c r="R1713" s="160" t="s">
        <v>55</v>
      </c>
      <c r="S1713" s="201">
        <f t="shared" si="214"/>
        <v>5.851117332506206E-3</v>
      </c>
    </row>
    <row r="1714" spans="1:19">
      <c r="A1714" s="196">
        <v>42457</v>
      </c>
      <c r="B1714" s="122">
        <v>19.010000000000002</v>
      </c>
      <c r="C1714" s="122">
        <v>19.010000000000002</v>
      </c>
      <c r="D1714" s="122">
        <v>18.350000000000001</v>
      </c>
      <c r="E1714" s="122">
        <v>18.459999</v>
      </c>
      <c r="F1714" s="122">
        <v>15.681846999999999</v>
      </c>
      <c r="G1714" s="197">
        <v>45800</v>
      </c>
      <c r="H1714" s="198">
        <f>IF(AND(E1713&gt;=H1713,E1714&gt;=E1713),E1713*(1+'Trading Model'!$E$13),IF(AND(E1714&lt;E1713,E1713&gt;=H1713),E1714*(1+'Trading Model'!$E$13),H1713))</f>
        <v>27.698998950000004</v>
      </c>
      <c r="I1714" s="198">
        <f>IF(K1714&gt;0,E1714*(1-'Trading Model'!E1724),IF(E1714&lt;I1713,I1713*(1-'Trading Model'!$E$14),I1713))</f>
        <v>8.9840153609188427</v>
      </c>
      <c r="J1714" s="198">
        <f t="shared" si="215"/>
        <v>0</v>
      </c>
      <c r="K1714" s="198">
        <f t="shared" si="210"/>
        <v>0</v>
      </c>
      <c r="L1714" s="198">
        <f>COUNTIF(J1714:K1714,"&lt;&gt;0")*-'Trading Model'!$E$15</f>
        <v>0</v>
      </c>
      <c r="M1714" s="198">
        <f t="shared" si="208"/>
        <v>0</v>
      </c>
      <c r="N1714" s="75">
        <f t="shared" si="211"/>
        <v>45</v>
      </c>
      <c r="O1714" s="202">
        <f t="shared" si="212"/>
        <v>0</v>
      </c>
      <c r="P1714" s="199">
        <f t="shared" si="209"/>
        <v>0</v>
      </c>
      <c r="Q1714" s="203">
        <f t="shared" si="213"/>
        <v>15.100000000001367</v>
      </c>
      <c r="R1714" s="203" t="s">
        <v>55</v>
      </c>
      <c r="S1714" s="201">
        <f t="shared" si="214"/>
        <v>-2.3796985721840302E-2</v>
      </c>
    </row>
    <row r="1715" spans="1:19">
      <c r="A1715" s="196">
        <v>42458</v>
      </c>
      <c r="B1715" s="122">
        <v>18.5</v>
      </c>
      <c r="C1715" s="122">
        <v>18.5</v>
      </c>
      <c r="D1715" s="122">
        <v>17.899999999999999</v>
      </c>
      <c r="E1715" s="122">
        <v>18.040001</v>
      </c>
      <c r="F1715" s="122">
        <v>15.325054</v>
      </c>
      <c r="G1715" s="197">
        <v>146100</v>
      </c>
      <c r="H1715" s="198">
        <f>IF(AND(E1714&gt;=H1714,E1715&gt;=E1714),E1714*(1+'Trading Model'!$E$13),IF(AND(E1715&lt;E1714,E1714&gt;=H1714),E1715*(1+'Trading Model'!$E$13),H1714))</f>
        <v>27.698998950000004</v>
      </c>
      <c r="I1715" s="198">
        <f>IF(K1715&gt;0,E1715*(1-'Trading Model'!E1725),IF(E1715&lt;I1714,I1714*(1-'Trading Model'!$E$14),I1714))</f>
        <v>8.9840153609188427</v>
      </c>
      <c r="J1715" s="198">
        <f t="shared" si="215"/>
        <v>0</v>
      </c>
      <c r="K1715" s="198">
        <f t="shared" si="210"/>
        <v>0</v>
      </c>
      <c r="L1715" s="198">
        <f>COUNTIF(J1715:K1715,"&lt;&gt;0")*-'Trading Model'!$E$15</f>
        <v>0</v>
      </c>
      <c r="M1715" s="198">
        <f t="shared" si="208"/>
        <v>0</v>
      </c>
      <c r="N1715" s="75">
        <f t="shared" si="211"/>
        <v>45</v>
      </c>
      <c r="O1715" s="202">
        <f t="shared" si="212"/>
        <v>0</v>
      </c>
      <c r="P1715" s="199">
        <f t="shared" si="209"/>
        <v>0</v>
      </c>
      <c r="Q1715" s="203">
        <f t="shared" si="213"/>
        <v>15.000000000001368</v>
      </c>
      <c r="R1715" s="203" t="s">
        <v>55</v>
      </c>
      <c r="S1715" s="201">
        <f t="shared" si="214"/>
        <v>-2.275178888146201E-2</v>
      </c>
    </row>
    <row r="1716" spans="1:19">
      <c r="A1716" s="196">
        <v>42459</v>
      </c>
      <c r="B1716" s="122">
        <v>18.079999999999998</v>
      </c>
      <c r="C1716" s="122">
        <v>18.579999999999998</v>
      </c>
      <c r="D1716" s="122">
        <v>17.959999</v>
      </c>
      <c r="E1716" s="122">
        <v>18.02</v>
      </c>
      <c r="F1716" s="122">
        <v>15.308063000000001</v>
      </c>
      <c r="G1716" s="197">
        <v>61800</v>
      </c>
      <c r="H1716" s="198">
        <f>IF(AND(E1715&gt;=H1715,E1716&gt;=E1715),E1715*(1+'Trading Model'!$E$13),IF(AND(E1716&lt;E1715,E1715&gt;=H1715),E1716*(1+'Trading Model'!$E$13),H1715))</f>
        <v>27.698998950000004</v>
      </c>
      <c r="I1716" s="198">
        <f>IF(K1716&gt;0,E1716*(1-'Trading Model'!E1726),IF(E1716&lt;I1715,I1715*(1-'Trading Model'!$E$14),I1715))</f>
        <v>8.9840153609188427</v>
      </c>
      <c r="J1716" s="198">
        <f t="shared" si="215"/>
        <v>0</v>
      </c>
      <c r="K1716" s="198">
        <f t="shared" si="210"/>
        <v>0</v>
      </c>
      <c r="L1716" s="198">
        <f>COUNTIF(J1716:K1716,"&lt;&gt;0")*-'Trading Model'!$E$15</f>
        <v>0</v>
      </c>
      <c r="M1716" s="198">
        <f t="shared" si="208"/>
        <v>0</v>
      </c>
      <c r="N1716" s="75">
        <f t="shared" si="211"/>
        <v>45</v>
      </c>
      <c r="O1716" s="202">
        <f t="shared" si="212"/>
        <v>0</v>
      </c>
      <c r="P1716" s="199">
        <f t="shared" si="209"/>
        <v>0</v>
      </c>
      <c r="Q1716" s="203">
        <f t="shared" si="213"/>
        <v>14.900000000001368</v>
      </c>
      <c r="R1716" s="203" t="s">
        <v>55</v>
      </c>
      <c r="S1716" s="201">
        <f t="shared" si="214"/>
        <v>-1.1087028210253758E-3</v>
      </c>
    </row>
    <row r="1717" spans="1:19">
      <c r="A1717" s="196">
        <v>42460</v>
      </c>
      <c r="B1717" s="122">
        <v>17.93</v>
      </c>
      <c r="C1717" s="122">
        <v>18.25</v>
      </c>
      <c r="D1717" s="122">
        <v>17.52</v>
      </c>
      <c r="E1717" s="122">
        <v>17.889999</v>
      </c>
      <c r="F1717" s="122">
        <v>15.197628</v>
      </c>
      <c r="G1717" s="197">
        <v>62500</v>
      </c>
      <c r="H1717" s="198">
        <f>IF(AND(E1716&gt;=H1716,E1717&gt;=E1716),E1716*(1+'Trading Model'!$E$13),IF(AND(E1717&lt;E1716,E1716&gt;=H1716),E1717*(1+'Trading Model'!$E$13),H1716))</f>
        <v>27.698998950000004</v>
      </c>
      <c r="I1717" s="198">
        <f>IF(K1717&gt;0,E1717*(1-'Trading Model'!E1727),IF(E1717&lt;I1716,I1716*(1-'Trading Model'!$E$14),I1716))</f>
        <v>8.9840153609188427</v>
      </c>
      <c r="J1717" s="198">
        <f t="shared" si="215"/>
        <v>0</v>
      </c>
      <c r="K1717" s="198">
        <f t="shared" si="210"/>
        <v>0</v>
      </c>
      <c r="L1717" s="198">
        <f>COUNTIF(J1717:K1717,"&lt;&gt;0")*-'Trading Model'!$E$15</f>
        <v>0</v>
      </c>
      <c r="M1717" s="198">
        <f t="shared" si="208"/>
        <v>0</v>
      </c>
      <c r="N1717" s="75">
        <f t="shared" si="211"/>
        <v>45</v>
      </c>
      <c r="O1717" s="202">
        <f t="shared" si="212"/>
        <v>0</v>
      </c>
      <c r="P1717" s="199">
        <f t="shared" si="209"/>
        <v>0</v>
      </c>
      <c r="Q1717" s="203">
        <f t="shared" si="213"/>
        <v>14.800000000001369</v>
      </c>
      <c r="R1717" s="201">
        <f>E1717/B1713-1</f>
        <v>-3.8688982338045075E-2</v>
      </c>
      <c r="S1717" s="201">
        <f t="shared" si="214"/>
        <v>-7.2142619311875711E-3</v>
      </c>
    </row>
    <row r="1718" spans="1:19">
      <c r="A1718" s="196">
        <v>42461</v>
      </c>
      <c r="B1718" s="122">
        <v>17.700001</v>
      </c>
      <c r="C1718" s="122">
        <v>17.829999999999998</v>
      </c>
      <c r="D1718" s="122">
        <v>17.32</v>
      </c>
      <c r="E1718" s="122">
        <v>17.379999000000002</v>
      </c>
      <c r="F1718" s="122">
        <v>14.764381</v>
      </c>
      <c r="G1718" s="197">
        <v>51600</v>
      </c>
      <c r="H1718" s="198">
        <f>IF(AND(E1717&gt;=H1717,E1718&gt;=E1717),E1717*(1+'Trading Model'!$E$13),IF(AND(E1718&lt;E1717,E1717&gt;=H1717),E1718*(1+'Trading Model'!$E$13),H1717))</f>
        <v>27.698998950000004</v>
      </c>
      <c r="I1718" s="198">
        <f>IF(K1718&gt;0,E1718*(1-'Trading Model'!E1728),IF(E1718&lt;I1717,I1717*(1-'Trading Model'!$E$14),I1717))</f>
        <v>8.9840153609188427</v>
      </c>
      <c r="J1718" s="198">
        <f t="shared" si="215"/>
        <v>0</v>
      </c>
      <c r="K1718" s="198">
        <f t="shared" si="210"/>
        <v>0</v>
      </c>
      <c r="L1718" s="198">
        <f>COUNTIF(J1718:K1718,"&lt;&gt;0")*-'Trading Model'!$E$15</f>
        <v>0</v>
      </c>
      <c r="M1718" s="198">
        <f t="shared" si="208"/>
        <v>0</v>
      </c>
      <c r="N1718" s="75">
        <f t="shared" si="211"/>
        <v>45</v>
      </c>
      <c r="O1718" s="202">
        <f t="shared" si="212"/>
        <v>0</v>
      </c>
      <c r="P1718" s="199">
        <f t="shared" si="209"/>
        <v>0</v>
      </c>
      <c r="Q1718" s="203">
        <f t="shared" si="213"/>
        <v>14.700000000001369</v>
      </c>
      <c r="R1718" s="160" t="s">
        <v>55</v>
      </c>
      <c r="S1718" s="201">
        <f t="shared" si="214"/>
        <v>-2.8507547708638614E-2</v>
      </c>
    </row>
    <row r="1719" spans="1:19">
      <c r="A1719" s="196">
        <v>42464</v>
      </c>
      <c r="B1719" s="122">
        <v>17.219999000000001</v>
      </c>
      <c r="C1719" s="122">
        <v>17.760000000000002</v>
      </c>
      <c r="D1719" s="122">
        <v>16.780000999999999</v>
      </c>
      <c r="E1719" s="122">
        <v>17.639999</v>
      </c>
      <c r="F1719" s="122">
        <v>14.985250000000001</v>
      </c>
      <c r="G1719" s="197">
        <v>68100</v>
      </c>
      <c r="H1719" s="198">
        <f>IF(AND(E1718&gt;=H1718,E1719&gt;=E1718),E1718*(1+'Trading Model'!$E$13),IF(AND(E1719&lt;E1718,E1718&gt;=H1718),E1719*(1+'Trading Model'!$E$13),H1718))</f>
        <v>27.698998950000004</v>
      </c>
      <c r="I1719" s="198">
        <f>IF(K1719&gt;0,E1719*(1-'Trading Model'!E1729),IF(E1719&lt;I1718,I1718*(1-'Trading Model'!$E$14),I1718))</f>
        <v>8.9840153609188427</v>
      </c>
      <c r="J1719" s="198">
        <f t="shared" si="215"/>
        <v>0</v>
      </c>
      <c r="K1719" s="198">
        <f t="shared" si="210"/>
        <v>0</v>
      </c>
      <c r="L1719" s="198">
        <f>COUNTIF(J1719:K1719,"&lt;&gt;0")*-'Trading Model'!$E$15</f>
        <v>0</v>
      </c>
      <c r="M1719" s="198">
        <f t="shared" si="208"/>
        <v>0</v>
      </c>
      <c r="N1719" s="75">
        <f t="shared" si="211"/>
        <v>45</v>
      </c>
      <c r="O1719" s="202">
        <f t="shared" si="212"/>
        <v>0</v>
      </c>
      <c r="P1719" s="199">
        <f t="shared" si="209"/>
        <v>0</v>
      </c>
      <c r="Q1719" s="203">
        <f t="shared" si="213"/>
        <v>14.700000000001369</v>
      </c>
      <c r="R1719" s="203" t="s">
        <v>55</v>
      </c>
      <c r="S1719" s="201">
        <f t="shared" si="214"/>
        <v>1.4959724681226749E-2</v>
      </c>
    </row>
    <row r="1720" spans="1:19">
      <c r="A1720" s="196">
        <v>42465</v>
      </c>
      <c r="B1720" s="122">
        <v>17.440000999999999</v>
      </c>
      <c r="C1720" s="122">
        <v>17.629999000000002</v>
      </c>
      <c r="D1720" s="122">
        <v>17.07</v>
      </c>
      <c r="E1720" s="122">
        <v>17.530000999999999</v>
      </c>
      <c r="F1720" s="122">
        <v>14.891807999999999</v>
      </c>
      <c r="G1720" s="197">
        <v>76300</v>
      </c>
      <c r="H1720" s="198">
        <f>IF(AND(E1719&gt;=H1719,E1720&gt;=E1719),E1719*(1+'Trading Model'!$E$13),IF(AND(E1720&lt;E1719,E1719&gt;=H1719),E1720*(1+'Trading Model'!$E$13),H1719))</f>
        <v>27.698998950000004</v>
      </c>
      <c r="I1720" s="198">
        <f>IF(K1720&gt;0,E1720*(1-'Trading Model'!E1730),IF(E1720&lt;I1719,I1719*(1-'Trading Model'!$E$14),I1719))</f>
        <v>8.9840153609188427</v>
      </c>
      <c r="J1720" s="198">
        <f t="shared" si="215"/>
        <v>0</v>
      </c>
      <c r="K1720" s="198">
        <f t="shared" si="210"/>
        <v>0</v>
      </c>
      <c r="L1720" s="198">
        <f>COUNTIF(J1720:K1720,"&lt;&gt;0")*-'Trading Model'!$E$15</f>
        <v>0</v>
      </c>
      <c r="M1720" s="198">
        <f t="shared" si="208"/>
        <v>0</v>
      </c>
      <c r="N1720" s="75">
        <f t="shared" si="211"/>
        <v>45</v>
      </c>
      <c r="O1720" s="202">
        <f t="shared" si="212"/>
        <v>0</v>
      </c>
      <c r="P1720" s="199">
        <f t="shared" si="209"/>
        <v>0</v>
      </c>
      <c r="Q1720" s="203">
        <f t="shared" si="213"/>
        <v>14.600000000001369</v>
      </c>
      <c r="R1720" s="203" t="s">
        <v>55</v>
      </c>
      <c r="S1720" s="201">
        <f t="shared" si="214"/>
        <v>-6.2357146392129081E-3</v>
      </c>
    </row>
    <row r="1721" spans="1:19">
      <c r="A1721" s="196">
        <v>42466</v>
      </c>
      <c r="B1721" s="122">
        <v>17.5</v>
      </c>
      <c r="C1721" s="122">
        <v>17.610001</v>
      </c>
      <c r="D1721" s="122">
        <v>17.079999999999998</v>
      </c>
      <c r="E1721" s="122">
        <v>17.41</v>
      </c>
      <c r="F1721" s="122">
        <v>14.789865000000001</v>
      </c>
      <c r="G1721" s="197">
        <v>105400</v>
      </c>
      <c r="H1721" s="198">
        <f>IF(AND(E1720&gt;=H1720,E1721&gt;=E1720),E1720*(1+'Trading Model'!$E$13),IF(AND(E1721&lt;E1720,E1720&gt;=H1720),E1721*(1+'Trading Model'!$E$13),H1720))</f>
        <v>27.698998950000004</v>
      </c>
      <c r="I1721" s="198">
        <f>IF(K1721&gt;0,E1721*(1-'Trading Model'!E1731),IF(E1721&lt;I1720,I1720*(1-'Trading Model'!$E$14),I1720))</f>
        <v>8.9840153609188427</v>
      </c>
      <c r="J1721" s="198">
        <f t="shared" si="215"/>
        <v>0</v>
      </c>
      <c r="K1721" s="198">
        <f t="shared" si="210"/>
        <v>0</v>
      </c>
      <c r="L1721" s="198">
        <f>COUNTIF(J1721:K1721,"&lt;&gt;0")*-'Trading Model'!$E$15</f>
        <v>0</v>
      </c>
      <c r="M1721" s="198">
        <f t="shared" si="208"/>
        <v>0</v>
      </c>
      <c r="N1721" s="75">
        <f t="shared" si="211"/>
        <v>45</v>
      </c>
      <c r="O1721" s="202">
        <f t="shared" si="212"/>
        <v>0</v>
      </c>
      <c r="P1721" s="199">
        <f t="shared" si="209"/>
        <v>0</v>
      </c>
      <c r="Q1721" s="203">
        <f t="shared" si="213"/>
        <v>14.50000000000137</v>
      </c>
      <c r="R1721" s="203" t="s">
        <v>55</v>
      </c>
      <c r="S1721" s="201">
        <f t="shared" si="214"/>
        <v>-6.8454645267845837E-3</v>
      </c>
    </row>
    <row r="1722" spans="1:19">
      <c r="A1722" s="196">
        <v>42467</v>
      </c>
      <c r="B1722" s="122">
        <v>17.350000000000001</v>
      </c>
      <c r="C1722" s="122">
        <v>17.629999000000002</v>
      </c>
      <c r="D1722" s="122">
        <v>16.940000999999999</v>
      </c>
      <c r="E1722" s="122">
        <v>16.969999000000001</v>
      </c>
      <c r="F1722" s="122">
        <v>14.416083</v>
      </c>
      <c r="G1722" s="197">
        <v>106100</v>
      </c>
      <c r="H1722" s="198">
        <f>IF(AND(E1721&gt;=H1721,E1722&gt;=E1721),E1721*(1+'Trading Model'!$E$13),IF(AND(E1722&lt;E1721,E1721&gt;=H1721),E1722*(1+'Trading Model'!$E$13),H1721))</f>
        <v>27.698998950000004</v>
      </c>
      <c r="I1722" s="198">
        <f>IF(K1722&gt;0,E1722*(1-'Trading Model'!E1732),IF(E1722&lt;I1721,I1721*(1-'Trading Model'!$E$14),I1721))</f>
        <v>8.9840153609188427</v>
      </c>
      <c r="J1722" s="198">
        <f t="shared" si="215"/>
        <v>0</v>
      </c>
      <c r="K1722" s="198">
        <f t="shared" si="210"/>
        <v>0</v>
      </c>
      <c r="L1722" s="198">
        <f>COUNTIF(J1722:K1722,"&lt;&gt;0")*-'Trading Model'!$E$15</f>
        <v>0</v>
      </c>
      <c r="M1722" s="198">
        <f t="shared" si="208"/>
        <v>0</v>
      </c>
      <c r="N1722" s="75">
        <f t="shared" si="211"/>
        <v>45</v>
      </c>
      <c r="O1722" s="202">
        <f t="shared" si="212"/>
        <v>0</v>
      </c>
      <c r="P1722" s="199">
        <f t="shared" si="209"/>
        <v>0</v>
      </c>
      <c r="Q1722" s="203">
        <f t="shared" si="213"/>
        <v>14.40000000000137</v>
      </c>
      <c r="R1722" s="201">
        <f>E1722/B1718-1</f>
        <v>-4.124304851734184E-2</v>
      </c>
      <c r="S1722" s="201">
        <f t="shared" si="214"/>
        <v>-2.5272889144169919E-2</v>
      </c>
    </row>
    <row r="1723" spans="1:19">
      <c r="A1723" s="196">
        <v>42468</v>
      </c>
      <c r="B1723" s="122">
        <v>17.149999999999999</v>
      </c>
      <c r="C1723" s="122">
        <v>17.309999000000001</v>
      </c>
      <c r="D1723" s="122">
        <v>16.649999999999999</v>
      </c>
      <c r="E1723" s="122">
        <v>17.010000000000002</v>
      </c>
      <c r="F1723" s="122">
        <v>14.450065</v>
      </c>
      <c r="G1723" s="197">
        <v>100100</v>
      </c>
      <c r="H1723" s="198">
        <f>IF(AND(E1722&gt;=H1722,E1723&gt;=E1722),E1722*(1+'Trading Model'!$E$13),IF(AND(E1723&lt;E1722,E1722&gt;=H1722),E1723*(1+'Trading Model'!$E$13),H1722))</f>
        <v>27.698998950000004</v>
      </c>
      <c r="I1723" s="198">
        <f>IF(K1723&gt;0,E1723*(1-'Trading Model'!E1733),IF(E1723&lt;I1722,I1722*(1-'Trading Model'!$E$14),I1722))</f>
        <v>8.9840153609188427</v>
      </c>
      <c r="J1723" s="198">
        <f t="shared" si="215"/>
        <v>0</v>
      </c>
      <c r="K1723" s="198">
        <f t="shared" si="210"/>
        <v>0</v>
      </c>
      <c r="L1723" s="198">
        <f>COUNTIF(J1723:K1723,"&lt;&gt;0")*-'Trading Model'!$E$15</f>
        <v>0</v>
      </c>
      <c r="M1723" s="198">
        <f t="shared" si="208"/>
        <v>0</v>
      </c>
      <c r="N1723" s="75">
        <f t="shared" si="211"/>
        <v>45</v>
      </c>
      <c r="O1723" s="202">
        <f t="shared" si="212"/>
        <v>0</v>
      </c>
      <c r="P1723" s="199">
        <f t="shared" si="209"/>
        <v>0</v>
      </c>
      <c r="Q1723" s="203">
        <f t="shared" si="213"/>
        <v>14.40000000000137</v>
      </c>
      <c r="R1723" s="160" t="s">
        <v>55</v>
      </c>
      <c r="S1723" s="201">
        <f t="shared" si="214"/>
        <v>2.3571598324785281E-3</v>
      </c>
    </row>
    <row r="1724" spans="1:19">
      <c r="A1724" s="196">
        <v>42471</v>
      </c>
      <c r="B1724" s="122">
        <v>17.139999</v>
      </c>
      <c r="C1724" s="122">
        <v>17.299999</v>
      </c>
      <c r="D1724" s="122">
        <v>16.75</v>
      </c>
      <c r="E1724" s="122">
        <v>16.75</v>
      </c>
      <c r="F1724" s="122">
        <v>14.229193</v>
      </c>
      <c r="G1724" s="197">
        <v>151800</v>
      </c>
      <c r="H1724" s="198">
        <f>IF(AND(E1723&gt;=H1723,E1724&gt;=E1723),E1723*(1+'Trading Model'!$E$13),IF(AND(E1724&lt;E1723,E1723&gt;=H1723),E1724*(1+'Trading Model'!$E$13),H1723))</f>
        <v>27.698998950000004</v>
      </c>
      <c r="I1724" s="198">
        <f>IF(K1724&gt;0,E1724*(1-'Trading Model'!E1734),IF(E1724&lt;I1723,I1723*(1-'Trading Model'!$E$14),I1723))</f>
        <v>8.9840153609188427</v>
      </c>
      <c r="J1724" s="198">
        <f t="shared" si="215"/>
        <v>0</v>
      </c>
      <c r="K1724" s="198">
        <f t="shared" si="210"/>
        <v>0</v>
      </c>
      <c r="L1724" s="198">
        <f>COUNTIF(J1724:K1724,"&lt;&gt;0")*-'Trading Model'!$E$15</f>
        <v>0</v>
      </c>
      <c r="M1724" s="198">
        <f t="shared" si="208"/>
        <v>0</v>
      </c>
      <c r="N1724" s="75">
        <f t="shared" si="211"/>
        <v>45</v>
      </c>
      <c r="O1724" s="202">
        <f t="shared" si="212"/>
        <v>0</v>
      </c>
      <c r="P1724" s="199">
        <f t="shared" si="209"/>
        <v>0</v>
      </c>
      <c r="Q1724" s="203">
        <f t="shared" si="213"/>
        <v>14.30000000000137</v>
      </c>
      <c r="R1724" s="203" t="s">
        <v>55</v>
      </c>
      <c r="S1724" s="201">
        <f t="shared" si="214"/>
        <v>-1.5285126396237581E-2</v>
      </c>
    </row>
    <row r="1725" spans="1:19">
      <c r="A1725" s="196">
        <v>42472</v>
      </c>
      <c r="B1725" s="122">
        <v>16.739999999999998</v>
      </c>
      <c r="C1725" s="122">
        <v>17.719999000000001</v>
      </c>
      <c r="D1725" s="122">
        <v>16.57</v>
      </c>
      <c r="E1725" s="122">
        <v>17.600000000000001</v>
      </c>
      <c r="F1725" s="122">
        <v>14.951271999999999</v>
      </c>
      <c r="G1725" s="197">
        <v>102700</v>
      </c>
      <c r="H1725" s="198">
        <f>IF(AND(E1724&gt;=H1724,E1725&gt;=E1724),E1724*(1+'Trading Model'!$E$13),IF(AND(E1725&lt;E1724,E1724&gt;=H1724),E1725*(1+'Trading Model'!$E$13),H1724))</f>
        <v>27.698998950000004</v>
      </c>
      <c r="I1725" s="198">
        <f>IF(K1725&gt;0,E1725*(1-'Trading Model'!E1735),IF(E1725&lt;I1724,I1724*(1-'Trading Model'!$E$14),I1724))</f>
        <v>8.9840153609188427</v>
      </c>
      <c r="J1725" s="198">
        <f t="shared" si="215"/>
        <v>0</v>
      </c>
      <c r="K1725" s="198">
        <f t="shared" si="210"/>
        <v>0</v>
      </c>
      <c r="L1725" s="198">
        <f>COUNTIF(J1725:K1725,"&lt;&gt;0")*-'Trading Model'!$E$15</f>
        <v>0</v>
      </c>
      <c r="M1725" s="198">
        <f t="shared" si="208"/>
        <v>0</v>
      </c>
      <c r="N1725" s="75">
        <f t="shared" si="211"/>
        <v>45</v>
      </c>
      <c r="O1725" s="202">
        <f t="shared" si="212"/>
        <v>0</v>
      </c>
      <c r="P1725" s="199">
        <f t="shared" si="209"/>
        <v>0</v>
      </c>
      <c r="Q1725" s="203">
        <f t="shared" si="213"/>
        <v>14.30000000000137</v>
      </c>
      <c r="R1725" s="203" t="s">
        <v>55</v>
      </c>
      <c r="S1725" s="201">
        <f t="shared" si="214"/>
        <v>5.0746268656716609E-2</v>
      </c>
    </row>
    <row r="1726" spans="1:19">
      <c r="A1726" s="196">
        <v>42473</v>
      </c>
      <c r="B1726" s="122">
        <v>17.719999000000001</v>
      </c>
      <c r="C1726" s="122">
        <v>18.200001</v>
      </c>
      <c r="D1726" s="122">
        <v>17.25</v>
      </c>
      <c r="E1726" s="122">
        <v>17.959999</v>
      </c>
      <c r="F1726" s="122">
        <v>15.257092</v>
      </c>
      <c r="G1726" s="197">
        <v>53400</v>
      </c>
      <c r="H1726" s="198">
        <f>IF(AND(E1725&gt;=H1725,E1726&gt;=E1725),E1725*(1+'Trading Model'!$E$13),IF(AND(E1726&lt;E1725,E1725&gt;=H1725),E1726*(1+'Trading Model'!$E$13),H1725))</f>
        <v>27.698998950000004</v>
      </c>
      <c r="I1726" s="198">
        <f>IF(K1726&gt;0,E1726*(1-'Trading Model'!E1736),IF(E1726&lt;I1725,I1725*(1-'Trading Model'!$E$14),I1725))</f>
        <v>8.9840153609188427</v>
      </c>
      <c r="J1726" s="198">
        <f t="shared" si="215"/>
        <v>0</v>
      </c>
      <c r="K1726" s="198">
        <f t="shared" si="210"/>
        <v>0</v>
      </c>
      <c r="L1726" s="198">
        <f>COUNTIF(J1726:K1726,"&lt;&gt;0")*-'Trading Model'!$E$15</f>
        <v>0</v>
      </c>
      <c r="M1726" s="198">
        <f t="shared" si="208"/>
        <v>0</v>
      </c>
      <c r="N1726" s="75">
        <f t="shared" si="211"/>
        <v>45</v>
      </c>
      <c r="O1726" s="202">
        <f t="shared" si="212"/>
        <v>0</v>
      </c>
      <c r="P1726" s="199">
        <f t="shared" si="209"/>
        <v>0</v>
      </c>
      <c r="Q1726" s="203">
        <f t="shared" si="213"/>
        <v>14.30000000000137</v>
      </c>
      <c r="R1726" s="203" t="s">
        <v>55</v>
      </c>
      <c r="S1726" s="201">
        <f t="shared" si="214"/>
        <v>2.0454488636363566E-2</v>
      </c>
    </row>
    <row r="1727" spans="1:19">
      <c r="A1727" s="196">
        <v>42474</v>
      </c>
      <c r="B1727" s="122">
        <v>18.110001</v>
      </c>
      <c r="C1727" s="122">
        <v>18.290001</v>
      </c>
      <c r="D1727" s="122">
        <v>17.399999999999999</v>
      </c>
      <c r="E1727" s="122">
        <v>17.700001</v>
      </c>
      <c r="F1727" s="122">
        <v>15.036222</v>
      </c>
      <c r="G1727" s="197">
        <v>54100</v>
      </c>
      <c r="H1727" s="198">
        <f>IF(AND(E1726&gt;=H1726,E1727&gt;=E1726),E1726*(1+'Trading Model'!$E$13),IF(AND(E1727&lt;E1726,E1726&gt;=H1726),E1727*(1+'Trading Model'!$E$13),H1726))</f>
        <v>27.698998950000004</v>
      </c>
      <c r="I1727" s="198">
        <f>IF(K1727&gt;0,E1727*(1-'Trading Model'!E1737),IF(E1727&lt;I1726,I1726*(1-'Trading Model'!$E$14),I1726))</f>
        <v>8.9840153609188427</v>
      </c>
      <c r="J1727" s="198">
        <f t="shared" si="215"/>
        <v>0</v>
      </c>
      <c r="K1727" s="198">
        <f t="shared" si="210"/>
        <v>0</v>
      </c>
      <c r="L1727" s="198">
        <f>COUNTIF(J1727:K1727,"&lt;&gt;0")*-'Trading Model'!$E$15</f>
        <v>0</v>
      </c>
      <c r="M1727" s="198">
        <f t="shared" si="208"/>
        <v>0</v>
      </c>
      <c r="N1727" s="75">
        <f t="shared" si="211"/>
        <v>45</v>
      </c>
      <c r="O1727" s="202">
        <f t="shared" si="212"/>
        <v>0</v>
      </c>
      <c r="P1727" s="199">
        <f t="shared" si="209"/>
        <v>0</v>
      </c>
      <c r="Q1727" s="203">
        <f t="shared" si="213"/>
        <v>14.200000000001371</v>
      </c>
      <c r="R1727" s="201">
        <f>E1727/B1723-1</f>
        <v>3.2070029154519064E-2</v>
      </c>
      <c r="S1727" s="201">
        <f t="shared" si="214"/>
        <v>-1.4476504146798685E-2</v>
      </c>
    </row>
    <row r="1728" spans="1:19">
      <c r="A1728" s="196">
        <v>42475</v>
      </c>
      <c r="B1728" s="122">
        <v>17.600000000000001</v>
      </c>
      <c r="C1728" s="122">
        <v>18.049999</v>
      </c>
      <c r="D1728" s="122">
        <v>17.549999</v>
      </c>
      <c r="E1728" s="122">
        <v>17.620000999999998</v>
      </c>
      <c r="F1728" s="122">
        <v>14.968263</v>
      </c>
      <c r="G1728" s="197">
        <v>36300</v>
      </c>
      <c r="H1728" s="198">
        <f>IF(AND(E1727&gt;=H1727,E1728&gt;=E1727),E1727*(1+'Trading Model'!$E$13),IF(AND(E1728&lt;E1727,E1727&gt;=H1727),E1728*(1+'Trading Model'!$E$13),H1727))</f>
        <v>27.698998950000004</v>
      </c>
      <c r="I1728" s="198">
        <f>IF(K1728&gt;0,E1728*(1-'Trading Model'!E1738),IF(E1728&lt;I1727,I1727*(1-'Trading Model'!$E$14),I1727))</f>
        <v>8.9840153609188427</v>
      </c>
      <c r="J1728" s="198">
        <f t="shared" si="215"/>
        <v>0</v>
      </c>
      <c r="K1728" s="198">
        <f t="shared" si="210"/>
        <v>0</v>
      </c>
      <c r="L1728" s="198">
        <f>COUNTIF(J1728:K1728,"&lt;&gt;0")*-'Trading Model'!$E$15</f>
        <v>0</v>
      </c>
      <c r="M1728" s="198">
        <f t="shared" si="208"/>
        <v>0</v>
      </c>
      <c r="N1728" s="75">
        <f t="shared" si="211"/>
        <v>45</v>
      </c>
      <c r="O1728" s="202">
        <f t="shared" si="212"/>
        <v>0</v>
      </c>
      <c r="P1728" s="199">
        <f t="shared" si="209"/>
        <v>0</v>
      </c>
      <c r="Q1728" s="203">
        <f t="shared" si="213"/>
        <v>14.100000000001371</v>
      </c>
      <c r="R1728" s="160" t="s">
        <v>55</v>
      </c>
      <c r="S1728" s="201">
        <f t="shared" si="214"/>
        <v>-4.5197737559451445E-3</v>
      </c>
    </row>
    <row r="1729" spans="1:19">
      <c r="A1729" s="196">
        <v>42478</v>
      </c>
      <c r="B1729" s="122">
        <v>17.5</v>
      </c>
      <c r="C1729" s="122">
        <v>17.709999</v>
      </c>
      <c r="D1729" s="122">
        <v>17.48</v>
      </c>
      <c r="E1729" s="122">
        <v>17.649999999999999</v>
      </c>
      <c r="F1729" s="122">
        <v>14.993746</v>
      </c>
      <c r="G1729" s="197">
        <v>46100</v>
      </c>
      <c r="H1729" s="198">
        <f>IF(AND(E1728&gt;=H1728,E1729&gt;=E1728),E1728*(1+'Trading Model'!$E$13),IF(AND(E1729&lt;E1728,E1728&gt;=H1728),E1729*(1+'Trading Model'!$E$13),H1728))</f>
        <v>27.698998950000004</v>
      </c>
      <c r="I1729" s="198">
        <f>IF(K1729&gt;0,E1729*(1-'Trading Model'!E1739),IF(E1729&lt;I1728,I1728*(1-'Trading Model'!$E$14),I1728))</f>
        <v>8.9840153609188427</v>
      </c>
      <c r="J1729" s="198">
        <f t="shared" si="215"/>
        <v>0</v>
      </c>
      <c r="K1729" s="198">
        <f t="shared" si="210"/>
        <v>0</v>
      </c>
      <c r="L1729" s="198">
        <f>COUNTIF(J1729:K1729,"&lt;&gt;0")*-'Trading Model'!$E$15</f>
        <v>0</v>
      </c>
      <c r="M1729" s="198">
        <f t="shared" si="208"/>
        <v>0</v>
      </c>
      <c r="N1729" s="75">
        <f t="shared" si="211"/>
        <v>45</v>
      </c>
      <c r="O1729" s="202">
        <f t="shared" si="212"/>
        <v>0</v>
      </c>
      <c r="P1729" s="199">
        <f t="shared" si="209"/>
        <v>0</v>
      </c>
      <c r="Q1729" s="203">
        <f t="shared" si="213"/>
        <v>14.100000000001371</v>
      </c>
      <c r="R1729" s="203" t="s">
        <v>55</v>
      </c>
      <c r="S1729" s="201">
        <f t="shared" si="214"/>
        <v>1.7025538193782275E-3</v>
      </c>
    </row>
    <row r="1730" spans="1:19">
      <c r="A1730" s="196">
        <v>42479</v>
      </c>
      <c r="B1730" s="122">
        <v>17.629999000000002</v>
      </c>
      <c r="C1730" s="122">
        <v>18.75</v>
      </c>
      <c r="D1730" s="122">
        <v>17.530000999999999</v>
      </c>
      <c r="E1730" s="122">
        <v>18.690000999999999</v>
      </c>
      <c r="F1730" s="122">
        <v>15.877231999999999</v>
      </c>
      <c r="G1730" s="197">
        <v>245000</v>
      </c>
      <c r="H1730" s="198">
        <f>IF(AND(E1729&gt;=H1729,E1730&gt;=E1729),E1729*(1+'Trading Model'!$E$13),IF(AND(E1730&lt;E1729,E1729&gt;=H1729),E1730*(1+'Trading Model'!$E$13),H1729))</f>
        <v>27.698998950000004</v>
      </c>
      <c r="I1730" s="198">
        <f>IF(K1730&gt;0,E1730*(1-'Trading Model'!E1740),IF(E1730&lt;I1729,I1729*(1-'Trading Model'!$E$14),I1729))</f>
        <v>8.9840153609188427</v>
      </c>
      <c r="J1730" s="198">
        <f t="shared" si="215"/>
        <v>0</v>
      </c>
      <c r="K1730" s="198">
        <f t="shared" si="210"/>
        <v>0</v>
      </c>
      <c r="L1730" s="198">
        <f>COUNTIF(J1730:K1730,"&lt;&gt;0")*-'Trading Model'!$E$15</f>
        <v>0</v>
      </c>
      <c r="M1730" s="198">
        <f t="shared" si="208"/>
        <v>0</v>
      </c>
      <c r="N1730" s="75">
        <f t="shared" si="211"/>
        <v>45</v>
      </c>
      <c r="O1730" s="202">
        <f t="shared" si="212"/>
        <v>0</v>
      </c>
      <c r="P1730" s="199">
        <f t="shared" si="209"/>
        <v>0</v>
      </c>
      <c r="Q1730" s="203">
        <f t="shared" si="213"/>
        <v>14.100000000001371</v>
      </c>
      <c r="R1730" s="203" t="s">
        <v>55</v>
      </c>
      <c r="S1730" s="201">
        <f t="shared" si="214"/>
        <v>5.892356940509913E-2</v>
      </c>
    </row>
    <row r="1731" spans="1:19">
      <c r="A1731" s="196">
        <v>42480</v>
      </c>
      <c r="B1731" s="122">
        <v>18.52</v>
      </c>
      <c r="C1731" s="122">
        <v>19.399999999999999</v>
      </c>
      <c r="D1731" s="122">
        <v>18.190000999999999</v>
      </c>
      <c r="E1731" s="122">
        <v>19.25</v>
      </c>
      <c r="F1731" s="122">
        <v>16.352955000000001</v>
      </c>
      <c r="G1731" s="197">
        <v>142300</v>
      </c>
      <c r="H1731" s="198">
        <f>IF(AND(E1730&gt;=H1730,E1731&gt;=E1730),E1730*(1+'Trading Model'!$E$13),IF(AND(E1731&lt;E1730,E1730&gt;=H1730),E1731*(1+'Trading Model'!$E$13),H1730))</f>
        <v>27.698998950000004</v>
      </c>
      <c r="I1731" s="198">
        <f>IF(K1731&gt;0,E1731*(1-'Trading Model'!E1741),IF(E1731&lt;I1730,I1730*(1-'Trading Model'!$E$14),I1730))</f>
        <v>8.9840153609188427</v>
      </c>
      <c r="J1731" s="198">
        <f t="shared" si="215"/>
        <v>0</v>
      </c>
      <c r="K1731" s="198">
        <f t="shared" si="210"/>
        <v>0</v>
      </c>
      <c r="L1731" s="198">
        <f>COUNTIF(J1731:K1731,"&lt;&gt;0")*-'Trading Model'!$E$15</f>
        <v>0</v>
      </c>
      <c r="M1731" s="198">
        <f t="shared" ref="M1731:M1794" si="216">SUM(J1731:L1731)</f>
        <v>0</v>
      </c>
      <c r="N1731" s="75">
        <f t="shared" si="211"/>
        <v>45</v>
      </c>
      <c r="O1731" s="202">
        <f t="shared" si="212"/>
        <v>0</v>
      </c>
      <c r="P1731" s="199">
        <f t="shared" ref="P1731:P1794" si="217">IFERROR(VLOOKUP(A1731,Dividends,2,FALSE),$U$1)</f>
        <v>0</v>
      </c>
      <c r="Q1731" s="203">
        <f t="shared" si="213"/>
        <v>14.100000000001371</v>
      </c>
      <c r="R1731" s="203" t="s">
        <v>55</v>
      </c>
      <c r="S1731" s="201">
        <f t="shared" si="214"/>
        <v>2.9962491708801942E-2</v>
      </c>
    </row>
    <row r="1732" spans="1:19">
      <c r="A1732" s="196">
        <v>42481</v>
      </c>
      <c r="B1732" s="122">
        <v>19.139999</v>
      </c>
      <c r="C1732" s="122">
        <v>19.690000999999999</v>
      </c>
      <c r="D1732" s="122">
        <v>19</v>
      </c>
      <c r="E1732" s="122">
        <v>19.52</v>
      </c>
      <c r="F1732" s="122">
        <v>16.582318999999998</v>
      </c>
      <c r="G1732" s="197">
        <v>124700</v>
      </c>
      <c r="H1732" s="198">
        <f>IF(AND(E1731&gt;=H1731,E1732&gt;=E1731),E1731*(1+'Trading Model'!$E$13),IF(AND(E1732&lt;E1731,E1731&gt;=H1731),E1732*(1+'Trading Model'!$E$13),H1731))</f>
        <v>27.698998950000004</v>
      </c>
      <c r="I1732" s="198">
        <f>IF(K1732&gt;0,E1732*(1-'Trading Model'!E1742),IF(E1732&lt;I1731,I1731*(1-'Trading Model'!$E$14),I1731))</f>
        <v>8.9840153609188427</v>
      </c>
      <c r="J1732" s="198">
        <f t="shared" si="215"/>
        <v>0</v>
      </c>
      <c r="K1732" s="198">
        <f t="shared" ref="K1732:K1795" si="218">IF(E1732&gt;=H1732,E1732,0)</f>
        <v>0</v>
      </c>
      <c r="L1732" s="198">
        <f>COUNTIF(J1732:K1732,"&lt;&gt;0")*-'Trading Model'!$E$15</f>
        <v>0</v>
      </c>
      <c r="M1732" s="198">
        <f t="shared" si="216"/>
        <v>0</v>
      </c>
      <c r="N1732" s="75">
        <f t="shared" ref="N1732:N1795" si="219">IF(AND(J1732&lt;0,K1732&gt;0),N1731,(IF(J1732&lt;0,N1731+1,IF(K1732&gt;0,N1731+1,N1731))))</f>
        <v>45</v>
      </c>
      <c r="O1732" s="202">
        <f t="shared" ref="O1732:O1795" si="220">P1732</f>
        <v>0</v>
      </c>
      <c r="P1732" s="199">
        <f t="shared" si="217"/>
        <v>0</v>
      </c>
      <c r="Q1732" s="203">
        <f t="shared" ref="Q1732:Q1795" si="221">IF(E1732&lt;E1731,Q1731-0.1,Q1731)</f>
        <v>14.100000000001371</v>
      </c>
      <c r="R1732" s="201">
        <f>E1732/B1728-1</f>
        <v>0.10909090909090891</v>
      </c>
      <c r="S1732" s="201">
        <f t="shared" ref="S1732:S1795" si="222">E1732/E1731-1</f>
        <v>1.4025974025974053E-2</v>
      </c>
    </row>
    <row r="1733" spans="1:19">
      <c r="A1733" s="196">
        <v>42482</v>
      </c>
      <c r="B1733" s="122">
        <v>19.549999</v>
      </c>
      <c r="C1733" s="122">
        <v>19.649999999999999</v>
      </c>
      <c r="D1733" s="122">
        <v>19.07</v>
      </c>
      <c r="E1733" s="122">
        <v>19.379999000000002</v>
      </c>
      <c r="F1733" s="122">
        <v>16.463387999999998</v>
      </c>
      <c r="G1733" s="197">
        <v>71200</v>
      </c>
      <c r="H1733" s="198">
        <f>IF(AND(E1732&gt;=H1732,E1733&gt;=E1732),E1732*(1+'Trading Model'!$E$13),IF(AND(E1733&lt;E1732,E1732&gt;=H1732),E1733*(1+'Trading Model'!$E$13),H1732))</f>
        <v>27.698998950000004</v>
      </c>
      <c r="I1733" s="198">
        <f>IF(K1733&gt;0,E1733*(1-'Trading Model'!E1743),IF(E1733&lt;I1732,I1732*(1-'Trading Model'!$E$14),I1732))</f>
        <v>8.9840153609188427</v>
      </c>
      <c r="J1733" s="198">
        <f t="shared" ref="J1733:J1796" si="223">IF(E1733&gt;=H1733,-E1733,IF(E1733&lt;=I1732,-E1733,0))</f>
        <v>0</v>
      </c>
      <c r="K1733" s="198">
        <f t="shared" si="218"/>
        <v>0</v>
      </c>
      <c r="L1733" s="198">
        <f>COUNTIF(J1733:K1733,"&lt;&gt;0")*-'Trading Model'!$E$15</f>
        <v>0</v>
      </c>
      <c r="M1733" s="198">
        <f t="shared" si="216"/>
        <v>0</v>
      </c>
      <c r="N1733" s="75">
        <f t="shared" si="219"/>
        <v>45</v>
      </c>
      <c r="O1733" s="202">
        <f t="shared" si="220"/>
        <v>0</v>
      </c>
      <c r="P1733" s="199">
        <f t="shared" si="217"/>
        <v>0</v>
      </c>
      <c r="Q1733" s="203">
        <f t="shared" si="221"/>
        <v>14.000000000001371</v>
      </c>
      <c r="R1733" s="160" t="s">
        <v>55</v>
      </c>
      <c r="S1733" s="201">
        <f t="shared" si="222"/>
        <v>-7.1721823770490856E-3</v>
      </c>
    </row>
    <row r="1734" spans="1:19">
      <c r="A1734" s="196">
        <v>42485</v>
      </c>
      <c r="B1734" s="122">
        <v>19.32</v>
      </c>
      <c r="C1734" s="122">
        <v>19.440000999999999</v>
      </c>
      <c r="D1734" s="122">
        <v>18.41</v>
      </c>
      <c r="E1734" s="122">
        <v>18.799999</v>
      </c>
      <c r="F1734" s="122">
        <v>15.970677</v>
      </c>
      <c r="G1734" s="197">
        <v>66100</v>
      </c>
      <c r="H1734" s="198">
        <f>IF(AND(E1733&gt;=H1733,E1734&gt;=E1733),E1733*(1+'Trading Model'!$E$13),IF(AND(E1734&lt;E1733,E1733&gt;=H1733),E1734*(1+'Trading Model'!$E$13),H1733))</f>
        <v>27.698998950000004</v>
      </c>
      <c r="I1734" s="198">
        <f>IF(K1734&gt;0,E1734*(1-'Trading Model'!E1744),IF(E1734&lt;I1733,I1733*(1-'Trading Model'!$E$14),I1733))</f>
        <v>8.9840153609188427</v>
      </c>
      <c r="J1734" s="198">
        <f t="shared" si="223"/>
        <v>0</v>
      </c>
      <c r="K1734" s="198">
        <f t="shared" si="218"/>
        <v>0</v>
      </c>
      <c r="L1734" s="198">
        <f>COUNTIF(J1734:K1734,"&lt;&gt;0")*-'Trading Model'!$E$15</f>
        <v>0</v>
      </c>
      <c r="M1734" s="198">
        <f t="shared" si="216"/>
        <v>0</v>
      </c>
      <c r="N1734" s="75">
        <f t="shared" si="219"/>
        <v>45</v>
      </c>
      <c r="O1734" s="202">
        <f t="shared" si="220"/>
        <v>0</v>
      </c>
      <c r="P1734" s="199">
        <f t="shared" si="217"/>
        <v>0</v>
      </c>
      <c r="Q1734" s="203">
        <f t="shared" si="221"/>
        <v>13.900000000001372</v>
      </c>
      <c r="R1734" s="203" t="s">
        <v>55</v>
      </c>
      <c r="S1734" s="201">
        <f t="shared" si="222"/>
        <v>-2.9927762122175627E-2</v>
      </c>
    </row>
    <row r="1735" spans="1:19">
      <c r="A1735" s="196">
        <v>42486</v>
      </c>
      <c r="B1735" s="122">
        <v>18.809999000000001</v>
      </c>
      <c r="C1735" s="122">
        <v>18.969999000000001</v>
      </c>
      <c r="D1735" s="122">
        <v>18.639999</v>
      </c>
      <c r="E1735" s="122">
        <v>18.940000999999999</v>
      </c>
      <c r="F1735" s="122">
        <v>16.089607000000001</v>
      </c>
      <c r="G1735" s="197">
        <v>52100</v>
      </c>
      <c r="H1735" s="198">
        <f>IF(AND(E1734&gt;=H1734,E1735&gt;=E1734),E1734*(1+'Trading Model'!$E$13),IF(AND(E1735&lt;E1734,E1734&gt;=H1734),E1735*(1+'Trading Model'!$E$13),H1734))</f>
        <v>27.698998950000004</v>
      </c>
      <c r="I1735" s="198">
        <f>IF(K1735&gt;0,E1735*(1-'Trading Model'!E1745),IF(E1735&lt;I1734,I1734*(1-'Trading Model'!$E$14),I1734))</f>
        <v>8.9840153609188427</v>
      </c>
      <c r="J1735" s="198">
        <f t="shared" si="223"/>
        <v>0</v>
      </c>
      <c r="K1735" s="198">
        <f t="shared" si="218"/>
        <v>0</v>
      </c>
      <c r="L1735" s="198">
        <f>COUNTIF(J1735:K1735,"&lt;&gt;0")*-'Trading Model'!$E$15</f>
        <v>0</v>
      </c>
      <c r="M1735" s="198">
        <f t="shared" si="216"/>
        <v>0</v>
      </c>
      <c r="N1735" s="75">
        <f t="shared" si="219"/>
        <v>45</v>
      </c>
      <c r="O1735" s="202">
        <f t="shared" si="220"/>
        <v>0</v>
      </c>
      <c r="P1735" s="199">
        <f t="shared" si="217"/>
        <v>0</v>
      </c>
      <c r="Q1735" s="203">
        <f t="shared" si="221"/>
        <v>13.900000000001372</v>
      </c>
      <c r="R1735" s="203" t="s">
        <v>55</v>
      </c>
      <c r="S1735" s="201">
        <f t="shared" si="222"/>
        <v>7.4469152897294055E-3</v>
      </c>
    </row>
    <row r="1736" spans="1:19">
      <c r="A1736" s="196">
        <v>42487</v>
      </c>
      <c r="B1736" s="122">
        <v>18.75</v>
      </c>
      <c r="C1736" s="122">
        <v>19.280000999999999</v>
      </c>
      <c r="D1736" s="122">
        <v>18.399999999999999</v>
      </c>
      <c r="E1736" s="122">
        <v>19.110001</v>
      </c>
      <c r="F1736" s="122">
        <v>16.234022</v>
      </c>
      <c r="G1736" s="197">
        <v>65200</v>
      </c>
      <c r="H1736" s="198">
        <f>IF(AND(E1735&gt;=H1735,E1736&gt;=E1735),E1735*(1+'Trading Model'!$E$13),IF(AND(E1736&lt;E1735,E1735&gt;=H1735),E1736*(1+'Trading Model'!$E$13),H1735))</f>
        <v>27.698998950000004</v>
      </c>
      <c r="I1736" s="198">
        <f>IF(K1736&gt;0,E1736*(1-'Trading Model'!E1746),IF(E1736&lt;I1735,I1735*(1-'Trading Model'!$E$14),I1735))</f>
        <v>8.9840153609188427</v>
      </c>
      <c r="J1736" s="198">
        <f t="shared" si="223"/>
        <v>0</v>
      </c>
      <c r="K1736" s="198">
        <f t="shared" si="218"/>
        <v>0</v>
      </c>
      <c r="L1736" s="198">
        <f>COUNTIF(J1736:K1736,"&lt;&gt;0")*-'Trading Model'!$E$15</f>
        <v>0</v>
      </c>
      <c r="M1736" s="198">
        <f t="shared" si="216"/>
        <v>0</v>
      </c>
      <c r="N1736" s="75">
        <f t="shared" si="219"/>
        <v>45</v>
      </c>
      <c r="O1736" s="202">
        <f t="shared" si="220"/>
        <v>0</v>
      </c>
      <c r="P1736" s="199">
        <f t="shared" si="217"/>
        <v>0</v>
      </c>
      <c r="Q1736" s="203">
        <f t="shared" si="221"/>
        <v>13.900000000001372</v>
      </c>
      <c r="R1736" s="203" t="s">
        <v>55</v>
      </c>
      <c r="S1736" s="201">
        <f t="shared" si="222"/>
        <v>8.975712303288752E-3</v>
      </c>
    </row>
    <row r="1737" spans="1:19">
      <c r="A1737" s="196">
        <v>42488</v>
      </c>
      <c r="B1737" s="122">
        <v>18.969999000000001</v>
      </c>
      <c r="C1737" s="122">
        <v>19.48</v>
      </c>
      <c r="D1737" s="122">
        <v>18.84</v>
      </c>
      <c r="E1737" s="122">
        <v>19.139999</v>
      </c>
      <c r="F1737" s="122">
        <v>16.259508</v>
      </c>
      <c r="G1737" s="197">
        <v>67300</v>
      </c>
      <c r="H1737" s="198">
        <f>IF(AND(E1736&gt;=H1736,E1737&gt;=E1736),E1736*(1+'Trading Model'!$E$13),IF(AND(E1737&lt;E1736,E1736&gt;=H1736),E1737*(1+'Trading Model'!$E$13),H1736))</f>
        <v>27.698998950000004</v>
      </c>
      <c r="I1737" s="198">
        <f>IF(K1737&gt;0,E1737*(1-'Trading Model'!E1747),IF(E1737&lt;I1736,I1736*(1-'Trading Model'!$E$14),I1736))</f>
        <v>8.9840153609188427</v>
      </c>
      <c r="J1737" s="198">
        <f t="shared" si="223"/>
        <v>0</v>
      </c>
      <c r="K1737" s="198">
        <f t="shared" si="218"/>
        <v>0</v>
      </c>
      <c r="L1737" s="198">
        <f>COUNTIF(J1737:K1737,"&lt;&gt;0")*-'Trading Model'!$E$15</f>
        <v>0</v>
      </c>
      <c r="M1737" s="198">
        <f t="shared" si="216"/>
        <v>0</v>
      </c>
      <c r="N1737" s="75">
        <f t="shared" si="219"/>
        <v>45</v>
      </c>
      <c r="O1737" s="202">
        <f t="shared" si="220"/>
        <v>0</v>
      </c>
      <c r="P1737" s="199">
        <f t="shared" si="217"/>
        <v>0</v>
      </c>
      <c r="Q1737" s="203">
        <f t="shared" si="221"/>
        <v>13.900000000001372</v>
      </c>
      <c r="R1737" s="201">
        <f>E1737/B1733-1</f>
        <v>-2.0971868080402412E-2</v>
      </c>
      <c r="S1737" s="201">
        <f t="shared" si="222"/>
        <v>1.5697539733252608E-3</v>
      </c>
    </row>
    <row r="1738" spans="1:19">
      <c r="A1738" s="196">
        <v>42489</v>
      </c>
      <c r="B1738" s="122">
        <v>19.260000000000002</v>
      </c>
      <c r="C1738" s="122">
        <v>19.299999</v>
      </c>
      <c r="D1738" s="122">
        <v>18.620000999999998</v>
      </c>
      <c r="E1738" s="122">
        <v>18.719999000000001</v>
      </c>
      <c r="F1738" s="122">
        <v>15.902715000000001</v>
      </c>
      <c r="G1738" s="197">
        <v>70500</v>
      </c>
      <c r="H1738" s="198">
        <f>IF(AND(E1737&gt;=H1737,E1738&gt;=E1737),E1737*(1+'Trading Model'!$E$13),IF(AND(E1738&lt;E1737,E1737&gt;=H1737),E1738*(1+'Trading Model'!$E$13),H1737))</f>
        <v>27.698998950000004</v>
      </c>
      <c r="I1738" s="198">
        <f>IF(K1738&gt;0,E1738*(1-'Trading Model'!E1748),IF(E1738&lt;I1737,I1737*(1-'Trading Model'!$E$14),I1737))</f>
        <v>8.9840153609188427</v>
      </c>
      <c r="J1738" s="198">
        <f t="shared" si="223"/>
        <v>0</v>
      </c>
      <c r="K1738" s="198">
        <f t="shared" si="218"/>
        <v>0</v>
      </c>
      <c r="L1738" s="198">
        <f>COUNTIF(J1738:K1738,"&lt;&gt;0")*-'Trading Model'!$E$15</f>
        <v>0</v>
      </c>
      <c r="M1738" s="198">
        <f t="shared" si="216"/>
        <v>0</v>
      </c>
      <c r="N1738" s="75">
        <f t="shared" si="219"/>
        <v>45</v>
      </c>
      <c r="O1738" s="202">
        <f t="shared" si="220"/>
        <v>0</v>
      </c>
      <c r="P1738" s="199">
        <f t="shared" si="217"/>
        <v>0</v>
      </c>
      <c r="Q1738" s="203">
        <f t="shared" si="221"/>
        <v>13.800000000001372</v>
      </c>
      <c r="R1738" s="160" t="s">
        <v>55</v>
      </c>
      <c r="S1738" s="201">
        <f t="shared" si="222"/>
        <v>-2.1943574814188738E-2</v>
      </c>
    </row>
    <row r="1739" spans="1:19">
      <c r="A1739" s="196">
        <v>42492</v>
      </c>
      <c r="B1739" s="122">
        <v>18.809999000000001</v>
      </c>
      <c r="C1739" s="122">
        <v>19.010000000000002</v>
      </c>
      <c r="D1739" s="122">
        <v>18.329999999999998</v>
      </c>
      <c r="E1739" s="122">
        <v>18.489999999999998</v>
      </c>
      <c r="F1739" s="122">
        <v>15.707331999999999</v>
      </c>
      <c r="G1739" s="197">
        <v>66900</v>
      </c>
      <c r="H1739" s="198">
        <f>IF(AND(E1738&gt;=H1738,E1739&gt;=E1738),E1738*(1+'Trading Model'!$E$13),IF(AND(E1739&lt;E1738,E1738&gt;=H1738),E1739*(1+'Trading Model'!$E$13),H1738))</f>
        <v>27.698998950000004</v>
      </c>
      <c r="I1739" s="198">
        <f>IF(K1739&gt;0,E1739*(1-'Trading Model'!E1749),IF(E1739&lt;I1738,I1738*(1-'Trading Model'!$E$14),I1738))</f>
        <v>8.9840153609188427</v>
      </c>
      <c r="J1739" s="198">
        <f t="shared" si="223"/>
        <v>0</v>
      </c>
      <c r="K1739" s="198">
        <f t="shared" si="218"/>
        <v>0</v>
      </c>
      <c r="L1739" s="198">
        <f>COUNTIF(J1739:K1739,"&lt;&gt;0")*-'Trading Model'!$E$15</f>
        <v>0</v>
      </c>
      <c r="M1739" s="198">
        <f t="shared" si="216"/>
        <v>0</v>
      </c>
      <c r="N1739" s="75">
        <f t="shared" si="219"/>
        <v>45</v>
      </c>
      <c r="O1739" s="202">
        <f t="shared" si="220"/>
        <v>0</v>
      </c>
      <c r="P1739" s="199">
        <f t="shared" si="217"/>
        <v>0</v>
      </c>
      <c r="Q1739" s="203">
        <f t="shared" si="221"/>
        <v>13.700000000001372</v>
      </c>
      <c r="R1739" s="203" t="s">
        <v>55</v>
      </c>
      <c r="S1739" s="201">
        <f t="shared" si="222"/>
        <v>-1.2286272023839473E-2</v>
      </c>
    </row>
    <row r="1740" spans="1:19">
      <c r="A1740" s="196">
        <v>42493</v>
      </c>
      <c r="B1740" s="122">
        <v>18.350000000000001</v>
      </c>
      <c r="C1740" s="122">
        <v>18.350000000000001</v>
      </c>
      <c r="D1740" s="122">
        <v>17.850000000000001</v>
      </c>
      <c r="E1740" s="122">
        <v>18.02</v>
      </c>
      <c r="F1740" s="122">
        <v>15.308063000000001</v>
      </c>
      <c r="G1740" s="197">
        <v>66700</v>
      </c>
      <c r="H1740" s="198">
        <f>IF(AND(E1739&gt;=H1739,E1740&gt;=E1739),E1739*(1+'Trading Model'!$E$13),IF(AND(E1740&lt;E1739,E1739&gt;=H1739),E1740*(1+'Trading Model'!$E$13),H1739))</f>
        <v>27.698998950000004</v>
      </c>
      <c r="I1740" s="198">
        <f>IF(K1740&gt;0,E1740*(1-'Trading Model'!E1750),IF(E1740&lt;I1739,I1739*(1-'Trading Model'!$E$14),I1739))</f>
        <v>8.9840153609188427</v>
      </c>
      <c r="J1740" s="198">
        <f t="shared" si="223"/>
        <v>0</v>
      </c>
      <c r="K1740" s="198">
        <f t="shared" si="218"/>
        <v>0</v>
      </c>
      <c r="L1740" s="198">
        <f>COUNTIF(J1740:K1740,"&lt;&gt;0")*-'Trading Model'!$E$15</f>
        <v>0</v>
      </c>
      <c r="M1740" s="198">
        <f t="shared" si="216"/>
        <v>0</v>
      </c>
      <c r="N1740" s="75">
        <f t="shared" si="219"/>
        <v>45</v>
      </c>
      <c r="O1740" s="202">
        <f t="shared" si="220"/>
        <v>0</v>
      </c>
      <c r="P1740" s="199">
        <f t="shared" si="217"/>
        <v>0</v>
      </c>
      <c r="Q1740" s="203">
        <f t="shared" si="221"/>
        <v>13.600000000001373</v>
      </c>
      <c r="R1740" s="203" t="s">
        <v>55</v>
      </c>
      <c r="S1740" s="201">
        <f t="shared" si="222"/>
        <v>-2.5419145484045336E-2</v>
      </c>
    </row>
    <row r="1741" spans="1:19">
      <c r="A1741" s="196">
        <v>42494</v>
      </c>
      <c r="B1741" s="122">
        <v>17.68</v>
      </c>
      <c r="C1741" s="122">
        <v>18.450001</v>
      </c>
      <c r="D1741" s="122">
        <v>17.620000999999998</v>
      </c>
      <c r="E1741" s="122">
        <v>18.260000000000002</v>
      </c>
      <c r="F1741" s="122">
        <v>15.511945000000001</v>
      </c>
      <c r="G1741" s="197">
        <v>62600</v>
      </c>
      <c r="H1741" s="198">
        <f>IF(AND(E1740&gt;=H1740,E1741&gt;=E1740),E1740*(1+'Trading Model'!$E$13),IF(AND(E1741&lt;E1740,E1740&gt;=H1740),E1741*(1+'Trading Model'!$E$13),H1740))</f>
        <v>27.698998950000004</v>
      </c>
      <c r="I1741" s="198">
        <f>IF(K1741&gt;0,E1741*(1-'Trading Model'!E1751),IF(E1741&lt;I1740,I1740*(1-'Trading Model'!$E$14),I1740))</f>
        <v>8.9840153609188427</v>
      </c>
      <c r="J1741" s="198">
        <f t="shared" si="223"/>
        <v>0</v>
      </c>
      <c r="K1741" s="198">
        <f t="shared" si="218"/>
        <v>0</v>
      </c>
      <c r="L1741" s="198">
        <f>COUNTIF(J1741:K1741,"&lt;&gt;0")*-'Trading Model'!$E$15</f>
        <v>0</v>
      </c>
      <c r="M1741" s="198">
        <f t="shared" si="216"/>
        <v>0</v>
      </c>
      <c r="N1741" s="75">
        <f t="shared" si="219"/>
        <v>45</v>
      </c>
      <c r="O1741" s="202">
        <f t="shared" si="220"/>
        <v>0</v>
      </c>
      <c r="P1741" s="199">
        <f t="shared" si="217"/>
        <v>0</v>
      </c>
      <c r="Q1741" s="203">
        <f t="shared" si="221"/>
        <v>13.600000000001373</v>
      </c>
      <c r="R1741" s="203" t="s">
        <v>55</v>
      </c>
      <c r="S1741" s="201">
        <f t="shared" si="222"/>
        <v>1.3318534961154427E-2</v>
      </c>
    </row>
    <row r="1742" spans="1:19">
      <c r="A1742" s="196">
        <v>42495</v>
      </c>
      <c r="B1742" s="122">
        <v>18.420000000000002</v>
      </c>
      <c r="C1742" s="122">
        <v>18.59</v>
      </c>
      <c r="D1742" s="122">
        <v>18.129999000000002</v>
      </c>
      <c r="E1742" s="122">
        <v>18.41</v>
      </c>
      <c r="F1742" s="122">
        <v>15.63937</v>
      </c>
      <c r="G1742" s="197">
        <v>51000</v>
      </c>
      <c r="H1742" s="198">
        <f>IF(AND(E1741&gt;=H1741,E1742&gt;=E1741),E1741*(1+'Trading Model'!$E$13),IF(AND(E1742&lt;E1741,E1741&gt;=H1741),E1742*(1+'Trading Model'!$E$13),H1741))</f>
        <v>27.698998950000004</v>
      </c>
      <c r="I1742" s="198">
        <f>IF(K1742&gt;0,E1742*(1-'Trading Model'!E1752),IF(E1742&lt;I1741,I1741*(1-'Trading Model'!$E$14),I1741))</f>
        <v>8.9840153609188427</v>
      </c>
      <c r="J1742" s="198">
        <f t="shared" si="223"/>
        <v>0</v>
      </c>
      <c r="K1742" s="198">
        <f t="shared" si="218"/>
        <v>0</v>
      </c>
      <c r="L1742" s="198">
        <f>COUNTIF(J1742:K1742,"&lt;&gt;0")*-'Trading Model'!$E$15</f>
        <v>0</v>
      </c>
      <c r="M1742" s="198">
        <f t="shared" si="216"/>
        <v>0</v>
      </c>
      <c r="N1742" s="75">
        <f t="shared" si="219"/>
        <v>45</v>
      </c>
      <c r="O1742" s="202">
        <f t="shared" si="220"/>
        <v>0</v>
      </c>
      <c r="P1742" s="199">
        <f t="shared" si="217"/>
        <v>0</v>
      </c>
      <c r="Q1742" s="203">
        <f t="shared" si="221"/>
        <v>13.600000000001373</v>
      </c>
      <c r="R1742" s="201">
        <f>E1742/B1738-1</f>
        <v>-4.4132917964693763E-2</v>
      </c>
      <c r="S1742" s="201">
        <f t="shared" si="222"/>
        <v>8.214676889375605E-3</v>
      </c>
    </row>
    <row r="1743" spans="1:19">
      <c r="A1743" s="196">
        <v>42496</v>
      </c>
      <c r="B1743" s="122">
        <v>18.299999</v>
      </c>
      <c r="C1743" s="122">
        <v>18.43</v>
      </c>
      <c r="D1743" s="122">
        <v>18.049999</v>
      </c>
      <c r="E1743" s="122">
        <v>18.309999000000001</v>
      </c>
      <c r="F1743" s="122">
        <v>15.554418</v>
      </c>
      <c r="G1743" s="197">
        <v>19100</v>
      </c>
      <c r="H1743" s="198">
        <f>IF(AND(E1742&gt;=H1742,E1743&gt;=E1742),E1742*(1+'Trading Model'!$E$13),IF(AND(E1743&lt;E1742,E1742&gt;=H1742),E1743*(1+'Trading Model'!$E$13),H1742))</f>
        <v>27.698998950000004</v>
      </c>
      <c r="I1743" s="198">
        <f>IF(K1743&gt;0,E1743*(1-'Trading Model'!E1753),IF(E1743&lt;I1742,I1742*(1-'Trading Model'!$E$14),I1742))</f>
        <v>8.9840153609188427</v>
      </c>
      <c r="J1743" s="198">
        <f t="shared" si="223"/>
        <v>0</v>
      </c>
      <c r="K1743" s="198">
        <f t="shared" si="218"/>
        <v>0</v>
      </c>
      <c r="L1743" s="198">
        <f>COUNTIF(J1743:K1743,"&lt;&gt;0")*-'Trading Model'!$E$15</f>
        <v>0</v>
      </c>
      <c r="M1743" s="198">
        <f t="shared" si="216"/>
        <v>0</v>
      </c>
      <c r="N1743" s="75">
        <f t="shared" si="219"/>
        <v>45</v>
      </c>
      <c r="O1743" s="202">
        <f t="shared" si="220"/>
        <v>0</v>
      </c>
      <c r="P1743" s="199">
        <f t="shared" si="217"/>
        <v>0</v>
      </c>
      <c r="Q1743" s="203">
        <f t="shared" si="221"/>
        <v>13.500000000001373</v>
      </c>
      <c r="R1743" s="160" t="s">
        <v>55</v>
      </c>
      <c r="S1743" s="201">
        <f t="shared" si="222"/>
        <v>-5.4318848451927471E-3</v>
      </c>
    </row>
    <row r="1744" spans="1:19">
      <c r="A1744" s="196">
        <v>42499</v>
      </c>
      <c r="B1744" s="122">
        <v>18.030000999999999</v>
      </c>
      <c r="C1744" s="122">
        <v>18.459999</v>
      </c>
      <c r="D1744" s="122">
        <v>17.889999</v>
      </c>
      <c r="E1744" s="122">
        <v>18.260000000000002</v>
      </c>
      <c r="F1744" s="122">
        <v>15.511945000000001</v>
      </c>
      <c r="G1744" s="197">
        <v>41300</v>
      </c>
      <c r="H1744" s="198">
        <f>IF(AND(E1743&gt;=H1743,E1744&gt;=E1743),E1743*(1+'Trading Model'!$E$13),IF(AND(E1744&lt;E1743,E1743&gt;=H1743),E1744*(1+'Trading Model'!$E$13),H1743))</f>
        <v>27.698998950000004</v>
      </c>
      <c r="I1744" s="198">
        <f>IF(K1744&gt;0,E1744*(1-'Trading Model'!E1754),IF(E1744&lt;I1743,I1743*(1-'Trading Model'!$E$14),I1743))</f>
        <v>8.9840153609188427</v>
      </c>
      <c r="J1744" s="198">
        <f t="shared" si="223"/>
        <v>0</v>
      </c>
      <c r="K1744" s="198">
        <f t="shared" si="218"/>
        <v>0</v>
      </c>
      <c r="L1744" s="198">
        <f>COUNTIF(J1744:K1744,"&lt;&gt;0")*-'Trading Model'!$E$15</f>
        <v>0</v>
      </c>
      <c r="M1744" s="198">
        <f t="shared" si="216"/>
        <v>0</v>
      </c>
      <c r="N1744" s="75">
        <f t="shared" si="219"/>
        <v>45</v>
      </c>
      <c r="O1744" s="202">
        <f t="shared" si="220"/>
        <v>0</v>
      </c>
      <c r="P1744" s="199">
        <f t="shared" si="217"/>
        <v>0</v>
      </c>
      <c r="Q1744" s="203">
        <f t="shared" si="221"/>
        <v>13.400000000001373</v>
      </c>
      <c r="R1744" s="203" t="s">
        <v>55</v>
      </c>
      <c r="S1744" s="201">
        <f t="shared" si="222"/>
        <v>-2.7306937591858871E-3</v>
      </c>
    </row>
    <row r="1745" spans="1:19">
      <c r="A1745" s="196">
        <v>42500</v>
      </c>
      <c r="B1745" s="122">
        <v>18.239999999999998</v>
      </c>
      <c r="C1745" s="122">
        <v>18.639999</v>
      </c>
      <c r="D1745" s="122">
        <v>18.209999</v>
      </c>
      <c r="E1745" s="122">
        <v>18.420000000000002</v>
      </c>
      <c r="F1745" s="122">
        <v>15.869357000000001</v>
      </c>
      <c r="G1745" s="197">
        <v>36100</v>
      </c>
      <c r="H1745" s="198">
        <f>IF(AND(E1744&gt;=H1744,E1745&gt;=E1744),E1744*(1+'Trading Model'!$E$13),IF(AND(E1745&lt;E1744,E1744&gt;=H1744),E1745*(1+'Trading Model'!$E$13),H1744))</f>
        <v>27.698998950000004</v>
      </c>
      <c r="I1745" s="198">
        <f>IF(K1745&gt;0,E1745*(1-'Trading Model'!E1755),IF(E1745&lt;I1744,I1744*(1-'Trading Model'!$E$14),I1744))</f>
        <v>8.9840153609188427</v>
      </c>
      <c r="J1745" s="198">
        <f t="shared" si="223"/>
        <v>0</v>
      </c>
      <c r="K1745" s="198">
        <f t="shared" si="218"/>
        <v>0</v>
      </c>
      <c r="L1745" s="198">
        <f>COUNTIF(J1745:K1745,"&lt;&gt;0")*-'Trading Model'!$E$15</f>
        <v>0</v>
      </c>
      <c r="M1745" s="198">
        <f t="shared" si="216"/>
        <v>0</v>
      </c>
      <c r="N1745" s="75">
        <f t="shared" si="219"/>
        <v>45</v>
      </c>
      <c r="O1745" s="202">
        <f t="shared" si="220"/>
        <v>0.25485999999999998</v>
      </c>
      <c r="P1745" s="199">
        <f t="shared" si="217"/>
        <v>0.25485999999999998</v>
      </c>
      <c r="Q1745" s="203">
        <f t="shared" si="221"/>
        <v>13.400000000001373</v>
      </c>
      <c r="R1745" s="203" t="s">
        <v>55</v>
      </c>
      <c r="S1745" s="201">
        <f t="shared" si="222"/>
        <v>8.7623220153341119E-3</v>
      </c>
    </row>
    <row r="1746" spans="1:19">
      <c r="A1746" s="196">
        <v>42501</v>
      </c>
      <c r="B1746" s="122">
        <v>18.420000000000002</v>
      </c>
      <c r="C1746" s="122">
        <v>18.93</v>
      </c>
      <c r="D1746" s="122">
        <v>18.23</v>
      </c>
      <c r="E1746" s="122">
        <v>18.829999999999998</v>
      </c>
      <c r="F1746" s="122">
        <v>16.222584000000001</v>
      </c>
      <c r="G1746" s="197">
        <v>148500</v>
      </c>
      <c r="H1746" s="198">
        <f>IF(AND(E1745&gt;=H1745,E1746&gt;=E1745),E1745*(1+'Trading Model'!$E$13),IF(AND(E1746&lt;E1745,E1745&gt;=H1745),E1746*(1+'Trading Model'!$E$13),H1745))</f>
        <v>27.698998950000004</v>
      </c>
      <c r="I1746" s="198">
        <f>IF(K1746&gt;0,E1746*(1-'Trading Model'!E1756),IF(E1746&lt;I1745,I1745*(1-'Trading Model'!$E$14),I1745))</f>
        <v>8.9840153609188427</v>
      </c>
      <c r="J1746" s="198">
        <f t="shared" si="223"/>
        <v>0</v>
      </c>
      <c r="K1746" s="198">
        <f t="shared" si="218"/>
        <v>0</v>
      </c>
      <c r="L1746" s="198">
        <f>COUNTIF(J1746:K1746,"&lt;&gt;0")*-'Trading Model'!$E$15</f>
        <v>0</v>
      </c>
      <c r="M1746" s="198">
        <f t="shared" si="216"/>
        <v>0</v>
      </c>
      <c r="N1746" s="75">
        <f t="shared" si="219"/>
        <v>45</v>
      </c>
      <c r="O1746" s="202">
        <f t="shared" si="220"/>
        <v>0</v>
      </c>
      <c r="P1746" s="199">
        <f t="shared" si="217"/>
        <v>0</v>
      </c>
      <c r="Q1746" s="203">
        <f t="shared" si="221"/>
        <v>13.400000000001373</v>
      </c>
      <c r="R1746" s="203" t="s">
        <v>55</v>
      </c>
      <c r="S1746" s="201">
        <f t="shared" si="222"/>
        <v>2.2258414766557877E-2</v>
      </c>
    </row>
    <row r="1747" spans="1:19">
      <c r="A1747" s="196">
        <v>42502</v>
      </c>
      <c r="B1747" s="122">
        <v>19.700001</v>
      </c>
      <c r="C1747" s="122">
        <v>19.700001</v>
      </c>
      <c r="D1747" s="122">
        <v>19.110001</v>
      </c>
      <c r="E1747" s="122">
        <v>19.110001</v>
      </c>
      <c r="F1747" s="122">
        <v>16.463812000000001</v>
      </c>
      <c r="G1747" s="197">
        <v>126800</v>
      </c>
      <c r="H1747" s="198">
        <f>IF(AND(E1746&gt;=H1746,E1747&gt;=E1746),E1746*(1+'Trading Model'!$E$13),IF(AND(E1747&lt;E1746,E1746&gt;=H1746),E1747*(1+'Trading Model'!$E$13),H1746))</f>
        <v>27.698998950000004</v>
      </c>
      <c r="I1747" s="198">
        <f>IF(K1747&gt;0,E1747*(1-'Trading Model'!E1757),IF(E1747&lt;I1746,I1746*(1-'Trading Model'!$E$14),I1746))</f>
        <v>8.9840153609188427</v>
      </c>
      <c r="J1747" s="198">
        <f t="shared" si="223"/>
        <v>0</v>
      </c>
      <c r="K1747" s="198">
        <f t="shared" si="218"/>
        <v>0</v>
      </c>
      <c r="L1747" s="198">
        <f>COUNTIF(J1747:K1747,"&lt;&gt;0")*-'Trading Model'!$E$15</f>
        <v>0</v>
      </c>
      <c r="M1747" s="198">
        <f t="shared" si="216"/>
        <v>0</v>
      </c>
      <c r="N1747" s="75">
        <f t="shared" si="219"/>
        <v>45</v>
      </c>
      <c r="O1747" s="202">
        <f t="shared" si="220"/>
        <v>0</v>
      </c>
      <c r="P1747" s="199">
        <f t="shared" si="217"/>
        <v>0</v>
      </c>
      <c r="Q1747" s="203">
        <f t="shared" si="221"/>
        <v>13.400000000001373</v>
      </c>
      <c r="R1747" s="201">
        <f>E1747/B1743-1</f>
        <v>4.4262406790295472E-2</v>
      </c>
      <c r="S1747" s="201">
        <f t="shared" si="222"/>
        <v>1.4869941582581037E-2</v>
      </c>
    </row>
    <row r="1748" spans="1:19">
      <c r="A1748" s="196">
        <v>42503</v>
      </c>
      <c r="B1748" s="122">
        <v>19.18</v>
      </c>
      <c r="C1748" s="122">
        <v>19.18</v>
      </c>
      <c r="D1748" s="122">
        <v>18.420000000000002</v>
      </c>
      <c r="E1748" s="122">
        <v>18.629999000000002</v>
      </c>
      <c r="F1748" s="122">
        <v>16.050280000000001</v>
      </c>
      <c r="G1748" s="197">
        <v>45300</v>
      </c>
      <c r="H1748" s="198">
        <f>IF(AND(E1747&gt;=H1747,E1748&gt;=E1747),E1747*(1+'Trading Model'!$E$13),IF(AND(E1748&lt;E1747,E1747&gt;=H1747),E1748*(1+'Trading Model'!$E$13),H1747))</f>
        <v>27.698998950000004</v>
      </c>
      <c r="I1748" s="198">
        <f>IF(K1748&gt;0,E1748*(1-'Trading Model'!E1758),IF(E1748&lt;I1747,I1747*(1-'Trading Model'!$E$14),I1747))</f>
        <v>8.9840153609188427</v>
      </c>
      <c r="J1748" s="198">
        <f t="shared" si="223"/>
        <v>0</v>
      </c>
      <c r="K1748" s="198">
        <f t="shared" si="218"/>
        <v>0</v>
      </c>
      <c r="L1748" s="198">
        <f>COUNTIF(J1748:K1748,"&lt;&gt;0")*-'Trading Model'!$E$15</f>
        <v>0</v>
      </c>
      <c r="M1748" s="198">
        <f t="shared" si="216"/>
        <v>0</v>
      </c>
      <c r="N1748" s="75">
        <f t="shared" si="219"/>
        <v>45</v>
      </c>
      <c r="O1748" s="202">
        <f t="shared" si="220"/>
        <v>0</v>
      </c>
      <c r="P1748" s="199">
        <f t="shared" si="217"/>
        <v>0</v>
      </c>
      <c r="Q1748" s="203">
        <f t="shared" si="221"/>
        <v>13.300000000001374</v>
      </c>
      <c r="R1748" s="160" t="s">
        <v>55</v>
      </c>
      <c r="S1748" s="201">
        <f t="shared" si="222"/>
        <v>-2.5117842746319008E-2</v>
      </c>
    </row>
    <row r="1749" spans="1:19">
      <c r="A1749" s="196">
        <v>42506</v>
      </c>
      <c r="B1749" s="122">
        <v>18.690000999999999</v>
      </c>
      <c r="C1749" s="122">
        <v>19.290001</v>
      </c>
      <c r="D1749" s="122">
        <v>18.420000000000002</v>
      </c>
      <c r="E1749" s="122">
        <v>18.610001</v>
      </c>
      <c r="F1749" s="122">
        <v>16.033051</v>
      </c>
      <c r="G1749" s="197">
        <v>96600</v>
      </c>
      <c r="H1749" s="198">
        <f>IF(AND(E1748&gt;=H1748,E1749&gt;=E1748),E1748*(1+'Trading Model'!$E$13),IF(AND(E1749&lt;E1748,E1748&gt;=H1748),E1749*(1+'Trading Model'!$E$13),H1748))</f>
        <v>27.698998950000004</v>
      </c>
      <c r="I1749" s="198">
        <f>IF(K1749&gt;0,E1749*(1-'Trading Model'!E1759),IF(E1749&lt;I1748,I1748*(1-'Trading Model'!$E$14),I1748))</f>
        <v>8.9840153609188427</v>
      </c>
      <c r="J1749" s="198">
        <f t="shared" si="223"/>
        <v>0</v>
      </c>
      <c r="K1749" s="198">
        <f t="shared" si="218"/>
        <v>0</v>
      </c>
      <c r="L1749" s="198">
        <f>COUNTIF(J1749:K1749,"&lt;&gt;0")*-'Trading Model'!$E$15</f>
        <v>0</v>
      </c>
      <c r="M1749" s="198">
        <f t="shared" si="216"/>
        <v>0</v>
      </c>
      <c r="N1749" s="75">
        <f t="shared" si="219"/>
        <v>45</v>
      </c>
      <c r="O1749" s="202">
        <f t="shared" si="220"/>
        <v>0</v>
      </c>
      <c r="P1749" s="199">
        <f t="shared" si="217"/>
        <v>0</v>
      </c>
      <c r="Q1749" s="203">
        <f t="shared" si="221"/>
        <v>13.200000000001374</v>
      </c>
      <c r="R1749" s="203" t="s">
        <v>55</v>
      </c>
      <c r="S1749" s="201">
        <f t="shared" si="222"/>
        <v>-1.0734300093092619E-3</v>
      </c>
    </row>
    <row r="1750" spans="1:19">
      <c r="A1750" s="196">
        <v>42507</v>
      </c>
      <c r="B1750" s="122">
        <v>18.700001</v>
      </c>
      <c r="C1750" s="122">
        <v>19.030000999999999</v>
      </c>
      <c r="D1750" s="122">
        <v>18.41</v>
      </c>
      <c r="E1750" s="122">
        <v>18.530000999999999</v>
      </c>
      <c r="F1750" s="122">
        <v>15.964127</v>
      </c>
      <c r="G1750" s="197">
        <v>74900</v>
      </c>
      <c r="H1750" s="198">
        <f>IF(AND(E1749&gt;=H1749,E1750&gt;=E1749),E1749*(1+'Trading Model'!$E$13),IF(AND(E1750&lt;E1749,E1749&gt;=H1749),E1750*(1+'Trading Model'!$E$13),H1749))</f>
        <v>27.698998950000004</v>
      </c>
      <c r="I1750" s="198">
        <f>IF(K1750&gt;0,E1750*(1-'Trading Model'!E1760),IF(E1750&lt;I1749,I1749*(1-'Trading Model'!$E$14),I1749))</f>
        <v>8.9840153609188427</v>
      </c>
      <c r="J1750" s="198">
        <f t="shared" si="223"/>
        <v>0</v>
      </c>
      <c r="K1750" s="198">
        <f t="shared" si="218"/>
        <v>0</v>
      </c>
      <c r="L1750" s="198">
        <f>COUNTIF(J1750:K1750,"&lt;&gt;0")*-'Trading Model'!$E$15</f>
        <v>0</v>
      </c>
      <c r="M1750" s="198">
        <f t="shared" si="216"/>
        <v>0</v>
      </c>
      <c r="N1750" s="75">
        <f t="shared" si="219"/>
        <v>45</v>
      </c>
      <c r="O1750" s="202">
        <f t="shared" si="220"/>
        <v>0</v>
      </c>
      <c r="P1750" s="199">
        <f t="shared" si="217"/>
        <v>0</v>
      </c>
      <c r="Q1750" s="203">
        <f t="shared" si="221"/>
        <v>13.100000000001375</v>
      </c>
      <c r="R1750" s="203" t="s">
        <v>55</v>
      </c>
      <c r="S1750" s="201">
        <f t="shared" si="222"/>
        <v>-4.2987638743277046E-3</v>
      </c>
    </row>
    <row r="1751" spans="1:19">
      <c r="A1751" s="196">
        <v>42508</v>
      </c>
      <c r="B1751" s="122">
        <v>18.540001</v>
      </c>
      <c r="C1751" s="122">
        <v>18.66</v>
      </c>
      <c r="D1751" s="122">
        <v>18.32</v>
      </c>
      <c r="E1751" s="122">
        <v>18.559999000000001</v>
      </c>
      <c r="F1751" s="122">
        <v>15.989971000000001</v>
      </c>
      <c r="G1751" s="197">
        <v>56700</v>
      </c>
      <c r="H1751" s="198">
        <f>IF(AND(E1750&gt;=H1750,E1751&gt;=E1750),E1750*(1+'Trading Model'!$E$13),IF(AND(E1751&lt;E1750,E1750&gt;=H1750),E1751*(1+'Trading Model'!$E$13),H1750))</f>
        <v>27.698998950000004</v>
      </c>
      <c r="I1751" s="198">
        <f>IF(K1751&gt;0,E1751*(1-'Trading Model'!E1761),IF(E1751&lt;I1750,I1750*(1-'Trading Model'!$E$14),I1750))</f>
        <v>8.9840153609188427</v>
      </c>
      <c r="J1751" s="198">
        <f t="shared" si="223"/>
        <v>0</v>
      </c>
      <c r="K1751" s="198">
        <f t="shared" si="218"/>
        <v>0</v>
      </c>
      <c r="L1751" s="198">
        <f>COUNTIF(J1751:K1751,"&lt;&gt;0")*-'Trading Model'!$E$15</f>
        <v>0</v>
      </c>
      <c r="M1751" s="198">
        <f t="shared" si="216"/>
        <v>0</v>
      </c>
      <c r="N1751" s="75">
        <f t="shared" si="219"/>
        <v>45</v>
      </c>
      <c r="O1751" s="202">
        <f t="shared" si="220"/>
        <v>0</v>
      </c>
      <c r="P1751" s="199">
        <f t="shared" si="217"/>
        <v>0</v>
      </c>
      <c r="Q1751" s="203">
        <f t="shared" si="221"/>
        <v>13.100000000001375</v>
      </c>
      <c r="R1751" s="203" t="s">
        <v>55</v>
      </c>
      <c r="S1751" s="201">
        <f t="shared" si="222"/>
        <v>1.6188882018950412E-3</v>
      </c>
    </row>
    <row r="1752" spans="1:19">
      <c r="A1752" s="196">
        <v>42509</v>
      </c>
      <c r="B1752" s="122">
        <v>18.34</v>
      </c>
      <c r="C1752" s="122">
        <v>18.34</v>
      </c>
      <c r="D1752" s="122">
        <v>17.5</v>
      </c>
      <c r="E1752" s="122">
        <v>17.899999999999999</v>
      </c>
      <c r="F1752" s="122">
        <v>15.421360999999999</v>
      </c>
      <c r="G1752" s="197">
        <v>119900</v>
      </c>
      <c r="H1752" s="198">
        <f>IF(AND(E1751&gt;=H1751,E1752&gt;=E1751),E1751*(1+'Trading Model'!$E$13),IF(AND(E1752&lt;E1751,E1751&gt;=H1751),E1752*(1+'Trading Model'!$E$13),H1751))</f>
        <v>27.698998950000004</v>
      </c>
      <c r="I1752" s="198">
        <f>IF(K1752&gt;0,E1752*(1-'Trading Model'!E1762),IF(E1752&lt;I1751,I1751*(1-'Trading Model'!$E$14),I1751))</f>
        <v>8.9840153609188427</v>
      </c>
      <c r="J1752" s="198">
        <f t="shared" si="223"/>
        <v>0</v>
      </c>
      <c r="K1752" s="198">
        <f t="shared" si="218"/>
        <v>0</v>
      </c>
      <c r="L1752" s="198">
        <f>COUNTIF(J1752:K1752,"&lt;&gt;0")*-'Trading Model'!$E$15</f>
        <v>0</v>
      </c>
      <c r="M1752" s="198">
        <f t="shared" si="216"/>
        <v>0</v>
      </c>
      <c r="N1752" s="75">
        <f t="shared" si="219"/>
        <v>45</v>
      </c>
      <c r="O1752" s="202">
        <f t="shared" si="220"/>
        <v>0</v>
      </c>
      <c r="P1752" s="199">
        <f t="shared" si="217"/>
        <v>0</v>
      </c>
      <c r="Q1752" s="203">
        <f t="shared" si="221"/>
        <v>13.000000000001375</v>
      </c>
      <c r="R1752" s="201">
        <f>E1752/B1748-1</f>
        <v>-6.6736183524504722E-2</v>
      </c>
      <c r="S1752" s="201">
        <f t="shared" si="222"/>
        <v>-3.5560292864240006E-2</v>
      </c>
    </row>
    <row r="1753" spans="1:19">
      <c r="A1753" s="196">
        <v>42510</v>
      </c>
      <c r="B1753" s="122">
        <v>17.920000000000002</v>
      </c>
      <c r="C1753" s="122">
        <v>18.100000000000001</v>
      </c>
      <c r="D1753" s="122">
        <v>17.799999</v>
      </c>
      <c r="E1753" s="122">
        <v>17.809999000000001</v>
      </c>
      <c r="F1753" s="122">
        <v>15.343824</v>
      </c>
      <c r="G1753" s="197">
        <v>44400</v>
      </c>
      <c r="H1753" s="198">
        <f>IF(AND(E1752&gt;=H1752,E1753&gt;=E1752),E1752*(1+'Trading Model'!$E$13),IF(AND(E1753&lt;E1752,E1752&gt;=H1752),E1753*(1+'Trading Model'!$E$13),H1752))</f>
        <v>27.698998950000004</v>
      </c>
      <c r="I1753" s="198">
        <f>IF(K1753&gt;0,E1753*(1-'Trading Model'!E1763),IF(E1753&lt;I1752,I1752*(1-'Trading Model'!$E$14),I1752))</f>
        <v>8.9840153609188427</v>
      </c>
      <c r="J1753" s="198">
        <f t="shared" si="223"/>
        <v>0</v>
      </c>
      <c r="K1753" s="198">
        <f t="shared" si="218"/>
        <v>0</v>
      </c>
      <c r="L1753" s="198">
        <f>COUNTIF(J1753:K1753,"&lt;&gt;0")*-'Trading Model'!$E$15</f>
        <v>0</v>
      </c>
      <c r="M1753" s="198">
        <f t="shared" si="216"/>
        <v>0</v>
      </c>
      <c r="N1753" s="75">
        <f t="shared" si="219"/>
        <v>45</v>
      </c>
      <c r="O1753" s="202">
        <f t="shared" si="220"/>
        <v>0</v>
      </c>
      <c r="P1753" s="199">
        <f t="shared" si="217"/>
        <v>0</v>
      </c>
      <c r="Q1753" s="203">
        <f t="shared" si="221"/>
        <v>12.900000000001375</v>
      </c>
      <c r="R1753" s="160" t="s">
        <v>55</v>
      </c>
      <c r="S1753" s="201">
        <f t="shared" si="222"/>
        <v>-5.0279888268155437E-3</v>
      </c>
    </row>
    <row r="1754" spans="1:19">
      <c r="A1754" s="196">
        <v>42513</v>
      </c>
      <c r="B1754" s="122">
        <v>17.700001</v>
      </c>
      <c r="C1754" s="122">
        <v>17.98</v>
      </c>
      <c r="D1754" s="122">
        <v>17.420000000000002</v>
      </c>
      <c r="E1754" s="122">
        <v>17.68</v>
      </c>
      <c r="F1754" s="122">
        <v>15.231828</v>
      </c>
      <c r="G1754" s="197">
        <v>42800</v>
      </c>
      <c r="H1754" s="198">
        <f>IF(AND(E1753&gt;=H1753,E1754&gt;=E1753),E1753*(1+'Trading Model'!$E$13),IF(AND(E1754&lt;E1753,E1753&gt;=H1753),E1754*(1+'Trading Model'!$E$13),H1753))</f>
        <v>27.698998950000004</v>
      </c>
      <c r="I1754" s="198">
        <f>IF(K1754&gt;0,E1754*(1-'Trading Model'!E1764),IF(E1754&lt;I1753,I1753*(1-'Trading Model'!$E$14),I1753))</f>
        <v>8.9840153609188427</v>
      </c>
      <c r="J1754" s="198">
        <f t="shared" si="223"/>
        <v>0</v>
      </c>
      <c r="K1754" s="198">
        <f t="shared" si="218"/>
        <v>0</v>
      </c>
      <c r="L1754" s="198">
        <f>COUNTIF(J1754:K1754,"&lt;&gt;0")*-'Trading Model'!$E$15</f>
        <v>0</v>
      </c>
      <c r="M1754" s="198">
        <f t="shared" si="216"/>
        <v>0</v>
      </c>
      <c r="N1754" s="75">
        <f t="shared" si="219"/>
        <v>45</v>
      </c>
      <c r="O1754" s="202">
        <f t="shared" si="220"/>
        <v>0</v>
      </c>
      <c r="P1754" s="199">
        <f t="shared" si="217"/>
        <v>0</v>
      </c>
      <c r="Q1754" s="203">
        <f t="shared" si="221"/>
        <v>12.800000000001376</v>
      </c>
      <c r="R1754" s="203" t="s">
        <v>55</v>
      </c>
      <c r="S1754" s="201">
        <f t="shared" si="222"/>
        <v>-7.2992143345994576E-3</v>
      </c>
    </row>
    <row r="1755" spans="1:19">
      <c r="A1755" s="196">
        <v>42514</v>
      </c>
      <c r="B1755" s="122">
        <v>17.719999000000001</v>
      </c>
      <c r="C1755" s="122">
        <v>18.07</v>
      </c>
      <c r="D1755" s="122">
        <v>17.59</v>
      </c>
      <c r="E1755" s="122">
        <v>17.77</v>
      </c>
      <c r="F1755" s="122">
        <v>15.309362999999999</v>
      </c>
      <c r="G1755" s="197">
        <v>62700</v>
      </c>
      <c r="H1755" s="198">
        <f>IF(AND(E1754&gt;=H1754,E1755&gt;=E1754),E1754*(1+'Trading Model'!$E$13),IF(AND(E1755&lt;E1754,E1754&gt;=H1754),E1755*(1+'Trading Model'!$E$13),H1754))</f>
        <v>27.698998950000004</v>
      </c>
      <c r="I1755" s="198">
        <f>IF(K1755&gt;0,E1755*(1-'Trading Model'!E1765),IF(E1755&lt;I1754,I1754*(1-'Trading Model'!$E$14),I1754))</f>
        <v>8.9840153609188427</v>
      </c>
      <c r="J1755" s="198">
        <f t="shared" si="223"/>
        <v>0</v>
      </c>
      <c r="K1755" s="198">
        <f t="shared" si="218"/>
        <v>0</v>
      </c>
      <c r="L1755" s="198">
        <f>COUNTIF(J1755:K1755,"&lt;&gt;0")*-'Trading Model'!$E$15</f>
        <v>0</v>
      </c>
      <c r="M1755" s="198">
        <f t="shared" si="216"/>
        <v>0</v>
      </c>
      <c r="N1755" s="75">
        <f t="shared" si="219"/>
        <v>45</v>
      </c>
      <c r="O1755" s="202">
        <f t="shared" si="220"/>
        <v>0</v>
      </c>
      <c r="P1755" s="199">
        <f t="shared" si="217"/>
        <v>0</v>
      </c>
      <c r="Q1755" s="203">
        <f t="shared" si="221"/>
        <v>12.800000000001376</v>
      </c>
      <c r="R1755" s="203" t="s">
        <v>55</v>
      </c>
      <c r="S1755" s="201">
        <f t="shared" si="222"/>
        <v>5.090497737556543E-3</v>
      </c>
    </row>
    <row r="1756" spans="1:19">
      <c r="A1756" s="196">
        <v>42515</v>
      </c>
      <c r="B1756" s="122">
        <v>17.77</v>
      </c>
      <c r="C1756" s="122">
        <v>18.309999000000001</v>
      </c>
      <c r="D1756" s="122">
        <v>17.68</v>
      </c>
      <c r="E1756" s="122">
        <v>17.899999999999999</v>
      </c>
      <c r="F1756" s="122">
        <v>15.421360999999999</v>
      </c>
      <c r="G1756" s="197">
        <v>38400</v>
      </c>
      <c r="H1756" s="198">
        <f>IF(AND(E1755&gt;=H1755,E1756&gt;=E1755),E1755*(1+'Trading Model'!$E$13),IF(AND(E1756&lt;E1755,E1755&gt;=H1755),E1756*(1+'Trading Model'!$E$13),H1755))</f>
        <v>27.698998950000004</v>
      </c>
      <c r="I1756" s="198">
        <f>IF(K1756&gt;0,E1756*(1-'Trading Model'!E1766),IF(E1756&lt;I1755,I1755*(1-'Trading Model'!$E$14),I1755))</f>
        <v>8.9840153609188427</v>
      </c>
      <c r="J1756" s="198">
        <f t="shared" si="223"/>
        <v>0</v>
      </c>
      <c r="K1756" s="198">
        <f t="shared" si="218"/>
        <v>0</v>
      </c>
      <c r="L1756" s="198">
        <f>COUNTIF(J1756:K1756,"&lt;&gt;0")*-'Trading Model'!$E$15</f>
        <v>0</v>
      </c>
      <c r="M1756" s="198">
        <f t="shared" si="216"/>
        <v>0</v>
      </c>
      <c r="N1756" s="75">
        <f t="shared" si="219"/>
        <v>45</v>
      </c>
      <c r="O1756" s="202">
        <f t="shared" si="220"/>
        <v>0</v>
      </c>
      <c r="P1756" s="199">
        <f t="shared" si="217"/>
        <v>0</v>
      </c>
      <c r="Q1756" s="203">
        <f t="shared" si="221"/>
        <v>12.800000000001376</v>
      </c>
      <c r="R1756" s="203" t="s">
        <v>55</v>
      </c>
      <c r="S1756" s="201">
        <f t="shared" si="222"/>
        <v>7.3157006190207596E-3</v>
      </c>
    </row>
    <row r="1757" spans="1:19">
      <c r="A1757" s="196">
        <v>42516</v>
      </c>
      <c r="B1757" s="122">
        <v>17.799999</v>
      </c>
      <c r="C1757" s="122">
        <v>18.299999</v>
      </c>
      <c r="D1757" s="122">
        <v>17.799999</v>
      </c>
      <c r="E1757" s="122">
        <v>18.010000000000002</v>
      </c>
      <c r="F1757" s="122">
        <v>15.516132000000001</v>
      </c>
      <c r="G1757" s="197">
        <v>84200</v>
      </c>
      <c r="H1757" s="198">
        <f>IF(AND(E1756&gt;=H1756,E1757&gt;=E1756),E1756*(1+'Trading Model'!$E$13),IF(AND(E1757&lt;E1756,E1756&gt;=H1756),E1757*(1+'Trading Model'!$E$13),H1756))</f>
        <v>27.698998950000004</v>
      </c>
      <c r="I1757" s="198">
        <f>IF(K1757&gt;0,E1757*(1-'Trading Model'!E1767),IF(E1757&lt;I1756,I1756*(1-'Trading Model'!$E$14),I1756))</f>
        <v>8.9840153609188427</v>
      </c>
      <c r="J1757" s="198">
        <f t="shared" si="223"/>
        <v>0</v>
      </c>
      <c r="K1757" s="198">
        <f t="shared" si="218"/>
        <v>0</v>
      </c>
      <c r="L1757" s="198">
        <f>COUNTIF(J1757:K1757,"&lt;&gt;0")*-'Trading Model'!$E$15</f>
        <v>0</v>
      </c>
      <c r="M1757" s="198">
        <f t="shared" si="216"/>
        <v>0</v>
      </c>
      <c r="N1757" s="75">
        <f t="shared" si="219"/>
        <v>45</v>
      </c>
      <c r="O1757" s="202">
        <f t="shared" si="220"/>
        <v>0</v>
      </c>
      <c r="P1757" s="199">
        <f t="shared" si="217"/>
        <v>0</v>
      </c>
      <c r="Q1757" s="203">
        <f t="shared" si="221"/>
        <v>12.800000000001376</v>
      </c>
      <c r="R1757" s="201">
        <f>E1757/B1753-1</f>
        <v>5.0223214285713969E-3</v>
      </c>
      <c r="S1757" s="201">
        <f t="shared" si="222"/>
        <v>6.1452513966482325E-3</v>
      </c>
    </row>
    <row r="1758" spans="1:19">
      <c r="A1758" s="196">
        <v>42517</v>
      </c>
      <c r="B1758" s="122">
        <v>18.049999</v>
      </c>
      <c r="C1758" s="122">
        <v>18.350000000000001</v>
      </c>
      <c r="D1758" s="122">
        <v>18.049999</v>
      </c>
      <c r="E1758" s="122">
        <v>18.190000999999999</v>
      </c>
      <c r="F1758" s="122">
        <v>15.671206</v>
      </c>
      <c r="G1758" s="197">
        <v>77000</v>
      </c>
      <c r="H1758" s="198">
        <f>IF(AND(E1757&gt;=H1757,E1758&gt;=E1757),E1757*(1+'Trading Model'!$E$13),IF(AND(E1758&lt;E1757,E1757&gt;=H1757),E1758*(1+'Trading Model'!$E$13),H1757))</f>
        <v>27.698998950000004</v>
      </c>
      <c r="I1758" s="198">
        <f>IF(K1758&gt;0,E1758*(1-'Trading Model'!E1768),IF(E1758&lt;I1757,I1757*(1-'Trading Model'!$E$14),I1757))</f>
        <v>8.9840153609188427</v>
      </c>
      <c r="J1758" s="198">
        <f t="shared" si="223"/>
        <v>0</v>
      </c>
      <c r="K1758" s="198">
        <f t="shared" si="218"/>
        <v>0</v>
      </c>
      <c r="L1758" s="198">
        <f>COUNTIF(J1758:K1758,"&lt;&gt;0")*-'Trading Model'!$E$15</f>
        <v>0</v>
      </c>
      <c r="M1758" s="198">
        <f t="shared" si="216"/>
        <v>0</v>
      </c>
      <c r="N1758" s="75">
        <f t="shared" si="219"/>
        <v>45</v>
      </c>
      <c r="O1758" s="202">
        <f t="shared" si="220"/>
        <v>0</v>
      </c>
      <c r="P1758" s="199">
        <f t="shared" si="217"/>
        <v>0</v>
      </c>
      <c r="Q1758" s="203">
        <f t="shared" si="221"/>
        <v>12.800000000001376</v>
      </c>
      <c r="R1758" s="160" t="s">
        <v>55</v>
      </c>
      <c r="S1758" s="201">
        <f t="shared" si="222"/>
        <v>9.9945030538588497E-3</v>
      </c>
    </row>
    <row r="1759" spans="1:19">
      <c r="A1759" s="196">
        <v>42521</v>
      </c>
      <c r="B1759" s="122">
        <v>18.16</v>
      </c>
      <c r="C1759" s="122">
        <v>18.329999999999998</v>
      </c>
      <c r="D1759" s="122">
        <v>17.57</v>
      </c>
      <c r="E1759" s="122">
        <v>17.57</v>
      </c>
      <c r="F1759" s="122">
        <v>15.137058</v>
      </c>
      <c r="G1759" s="197">
        <v>112400</v>
      </c>
      <c r="H1759" s="198">
        <f>IF(AND(E1758&gt;=H1758,E1759&gt;=E1758),E1758*(1+'Trading Model'!$E$13),IF(AND(E1759&lt;E1758,E1758&gt;=H1758),E1759*(1+'Trading Model'!$E$13),H1758))</f>
        <v>27.698998950000004</v>
      </c>
      <c r="I1759" s="198">
        <f>IF(K1759&gt;0,E1759*(1-'Trading Model'!E1769),IF(E1759&lt;I1758,I1758*(1-'Trading Model'!$E$14),I1758))</f>
        <v>8.9840153609188427</v>
      </c>
      <c r="J1759" s="198">
        <f t="shared" si="223"/>
        <v>0</v>
      </c>
      <c r="K1759" s="198">
        <f t="shared" si="218"/>
        <v>0</v>
      </c>
      <c r="L1759" s="198">
        <f>COUNTIF(J1759:K1759,"&lt;&gt;0")*-'Trading Model'!$E$15</f>
        <v>0</v>
      </c>
      <c r="M1759" s="198">
        <f t="shared" si="216"/>
        <v>0</v>
      </c>
      <c r="N1759" s="75">
        <f t="shared" si="219"/>
        <v>45</v>
      </c>
      <c r="O1759" s="202">
        <f t="shared" si="220"/>
        <v>0</v>
      </c>
      <c r="P1759" s="199">
        <f t="shared" si="217"/>
        <v>0</v>
      </c>
      <c r="Q1759" s="203">
        <f t="shared" si="221"/>
        <v>12.700000000001376</v>
      </c>
      <c r="R1759" s="203" t="s">
        <v>55</v>
      </c>
      <c r="S1759" s="201">
        <f t="shared" si="222"/>
        <v>-3.4084715003589006E-2</v>
      </c>
    </row>
    <row r="1760" spans="1:19">
      <c r="A1760" s="196">
        <v>42522</v>
      </c>
      <c r="B1760" s="122">
        <v>17.620000999999998</v>
      </c>
      <c r="C1760" s="122">
        <v>18.290001</v>
      </c>
      <c r="D1760" s="122">
        <v>17.620000999999998</v>
      </c>
      <c r="E1760" s="122">
        <v>18.18</v>
      </c>
      <c r="F1760" s="122">
        <v>15.662591000000001</v>
      </c>
      <c r="G1760" s="197">
        <v>127400</v>
      </c>
      <c r="H1760" s="198">
        <f>IF(AND(E1759&gt;=H1759,E1760&gt;=E1759),E1759*(1+'Trading Model'!$E$13),IF(AND(E1760&lt;E1759,E1759&gt;=H1759),E1760*(1+'Trading Model'!$E$13),H1759))</f>
        <v>27.698998950000004</v>
      </c>
      <c r="I1760" s="198">
        <f>IF(K1760&gt;0,E1760*(1-'Trading Model'!E1770),IF(E1760&lt;I1759,I1759*(1-'Trading Model'!$E$14),I1759))</f>
        <v>8.9840153609188427</v>
      </c>
      <c r="J1760" s="198">
        <f t="shared" si="223"/>
        <v>0</v>
      </c>
      <c r="K1760" s="198">
        <f t="shared" si="218"/>
        <v>0</v>
      </c>
      <c r="L1760" s="198">
        <f>COUNTIF(J1760:K1760,"&lt;&gt;0")*-'Trading Model'!$E$15</f>
        <v>0</v>
      </c>
      <c r="M1760" s="198">
        <f t="shared" si="216"/>
        <v>0</v>
      </c>
      <c r="N1760" s="75">
        <f t="shared" si="219"/>
        <v>45</v>
      </c>
      <c r="O1760" s="202">
        <f t="shared" si="220"/>
        <v>0</v>
      </c>
      <c r="P1760" s="199">
        <f t="shared" si="217"/>
        <v>0</v>
      </c>
      <c r="Q1760" s="203">
        <f t="shared" si="221"/>
        <v>12.700000000001376</v>
      </c>
      <c r="R1760" s="203" t="s">
        <v>55</v>
      </c>
      <c r="S1760" s="201">
        <f t="shared" si="222"/>
        <v>3.4718269778030608E-2</v>
      </c>
    </row>
    <row r="1761" spans="1:19">
      <c r="A1761" s="196">
        <v>42523</v>
      </c>
      <c r="B1761" s="122">
        <v>18.120000999999998</v>
      </c>
      <c r="C1761" s="122">
        <v>18.450001</v>
      </c>
      <c r="D1761" s="122">
        <v>18.100000000000001</v>
      </c>
      <c r="E1761" s="122">
        <v>18.129999000000002</v>
      </c>
      <c r="F1761" s="122">
        <v>15.619515</v>
      </c>
      <c r="G1761" s="197">
        <v>101300</v>
      </c>
      <c r="H1761" s="198">
        <f>IF(AND(E1760&gt;=H1760,E1761&gt;=E1760),E1760*(1+'Trading Model'!$E$13),IF(AND(E1761&lt;E1760,E1760&gt;=H1760),E1761*(1+'Trading Model'!$E$13),H1760))</f>
        <v>27.698998950000004</v>
      </c>
      <c r="I1761" s="198">
        <f>IF(K1761&gt;0,E1761*(1-'Trading Model'!E1771),IF(E1761&lt;I1760,I1760*(1-'Trading Model'!$E$14),I1760))</f>
        <v>8.9840153609188427</v>
      </c>
      <c r="J1761" s="198">
        <f t="shared" si="223"/>
        <v>0</v>
      </c>
      <c r="K1761" s="198">
        <f t="shared" si="218"/>
        <v>0</v>
      </c>
      <c r="L1761" s="198">
        <f>COUNTIF(J1761:K1761,"&lt;&gt;0")*-'Trading Model'!$E$15</f>
        <v>0</v>
      </c>
      <c r="M1761" s="198">
        <f t="shared" si="216"/>
        <v>0</v>
      </c>
      <c r="N1761" s="75">
        <f t="shared" si="219"/>
        <v>45</v>
      </c>
      <c r="O1761" s="202">
        <f t="shared" si="220"/>
        <v>0</v>
      </c>
      <c r="P1761" s="199">
        <f t="shared" si="217"/>
        <v>0</v>
      </c>
      <c r="Q1761" s="203">
        <f t="shared" si="221"/>
        <v>12.600000000001376</v>
      </c>
      <c r="R1761" s="203" t="s">
        <v>55</v>
      </c>
      <c r="S1761" s="201">
        <f t="shared" si="222"/>
        <v>-2.7503300330031788E-3</v>
      </c>
    </row>
    <row r="1762" spans="1:19">
      <c r="A1762" s="196">
        <v>42524</v>
      </c>
      <c r="B1762" s="122">
        <v>18.209999</v>
      </c>
      <c r="C1762" s="122">
        <v>18.290001</v>
      </c>
      <c r="D1762" s="122">
        <v>18.110001</v>
      </c>
      <c r="E1762" s="122">
        <v>18.18</v>
      </c>
      <c r="F1762" s="122">
        <v>15.662591000000001</v>
      </c>
      <c r="G1762" s="197">
        <v>65300</v>
      </c>
      <c r="H1762" s="198">
        <f>IF(AND(E1761&gt;=H1761,E1762&gt;=E1761),E1761*(1+'Trading Model'!$E$13),IF(AND(E1762&lt;E1761,E1761&gt;=H1761),E1762*(1+'Trading Model'!$E$13),H1761))</f>
        <v>27.698998950000004</v>
      </c>
      <c r="I1762" s="198">
        <f>IF(K1762&gt;0,E1762*(1-'Trading Model'!E1772),IF(E1762&lt;I1761,I1761*(1-'Trading Model'!$E$14),I1761))</f>
        <v>8.9840153609188427</v>
      </c>
      <c r="J1762" s="198">
        <f t="shared" si="223"/>
        <v>0</v>
      </c>
      <c r="K1762" s="198">
        <f t="shared" si="218"/>
        <v>0</v>
      </c>
      <c r="L1762" s="198">
        <f>COUNTIF(J1762:K1762,"&lt;&gt;0")*-'Trading Model'!$E$15</f>
        <v>0</v>
      </c>
      <c r="M1762" s="198">
        <f t="shared" si="216"/>
        <v>0</v>
      </c>
      <c r="N1762" s="75">
        <f t="shared" si="219"/>
        <v>45</v>
      </c>
      <c r="O1762" s="202">
        <f t="shared" si="220"/>
        <v>0</v>
      </c>
      <c r="P1762" s="199">
        <f t="shared" si="217"/>
        <v>0</v>
      </c>
      <c r="Q1762" s="203">
        <f t="shared" si="221"/>
        <v>12.600000000001376</v>
      </c>
      <c r="R1762" s="201">
        <f>E1762/B1758-1</f>
        <v>7.2022718671618247E-3</v>
      </c>
      <c r="S1762" s="201">
        <f t="shared" si="222"/>
        <v>2.7579152100338789E-3</v>
      </c>
    </row>
    <row r="1763" spans="1:19">
      <c r="A1763" s="196">
        <v>42527</v>
      </c>
      <c r="B1763" s="122">
        <v>18.200001</v>
      </c>
      <c r="C1763" s="122">
        <v>18.739999999999998</v>
      </c>
      <c r="D1763" s="122">
        <v>18.200001</v>
      </c>
      <c r="E1763" s="122">
        <v>18.600000000000001</v>
      </c>
      <c r="F1763" s="122">
        <v>16.024432999999998</v>
      </c>
      <c r="G1763" s="197">
        <v>104800</v>
      </c>
      <c r="H1763" s="198">
        <f>IF(AND(E1762&gt;=H1762,E1763&gt;=E1762),E1762*(1+'Trading Model'!$E$13),IF(AND(E1763&lt;E1762,E1762&gt;=H1762),E1763*(1+'Trading Model'!$E$13),H1762))</f>
        <v>27.698998950000004</v>
      </c>
      <c r="I1763" s="198">
        <f>IF(K1763&gt;0,E1763*(1-'Trading Model'!E1773),IF(E1763&lt;I1762,I1762*(1-'Trading Model'!$E$14),I1762))</f>
        <v>8.9840153609188427</v>
      </c>
      <c r="J1763" s="198">
        <f t="shared" si="223"/>
        <v>0</v>
      </c>
      <c r="K1763" s="198">
        <f t="shared" si="218"/>
        <v>0</v>
      </c>
      <c r="L1763" s="198">
        <f>COUNTIF(J1763:K1763,"&lt;&gt;0")*-'Trading Model'!$E$15</f>
        <v>0</v>
      </c>
      <c r="M1763" s="198">
        <f t="shared" si="216"/>
        <v>0</v>
      </c>
      <c r="N1763" s="75">
        <f t="shared" si="219"/>
        <v>45</v>
      </c>
      <c r="O1763" s="202">
        <f t="shared" si="220"/>
        <v>0</v>
      </c>
      <c r="P1763" s="199">
        <f t="shared" si="217"/>
        <v>0</v>
      </c>
      <c r="Q1763" s="203">
        <f t="shared" si="221"/>
        <v>12.600000000001376</v>
      </c>
      <c r="R1763" s="160" t="s">
        <v>55</v>
      </c>
      <c r="S1763" s="201">
        <f t="shared" si="222"/>
        <v>2.3102310231023271E-2</v>
      </c>
    </row>
    <row r="1764" spans="1:19">
      <c r="A1764" s="196">
        <v>42528</v>
      </c>
      <c r="B1764" s="122">
        <v>18.649999999999999</v>
      </c>
      <c r="C1764" s="122">
        <v>19.280000999999999</v>
      </c>
      <c r="D1764" s="122">
        <v>18.649999999999999</v>
      </c>
      <c r="E1764" s="122">
        <v>19.16</v>
      </c>
      <c r="F1764" s="122">
        <v>16.506886999999999</v>
      </c>
      <c r="G1764" s="197">
        <v>138500</v>
      </c>
      <c r="H1764" s="198">
        <f>IF(AND(E1763&gt;=H1763,E1764&gt;=E1763),E1763*(1+'Trading Model'!$E$13),IF(AND(E1764&lt;E1763,E1763&gt;=H1763),E1764*(1+'Trading Model'!$E$13),H1763))</f>
        <v>27.698998950000004</v>
      </c>
      <c r="I1764" s="198">
        <f>IF(K1764&gt;0,E1764*(1-'Trading Model'!E1774),IF(E1764&lt;I1763,I1763*(1-'Trading Model'!$E$14),I1763))</f>
        <v>8.9840153609188427</v>
      </c>
      <c r="J1764" s="198">
        <f t="shared" si="223"/>
        <v>0</v>
      </c>
      <c r="K1764" s="198">
        <f t="shared" si="218"/>
        <v>0</v>
      </c>
      <c r="L1764" s="198">
        <f>COUNTIF(J1764:K1764,"&lt;&gt;0")*-'Trading Model'!$E$15</f>
        <v>0</v>
      </c>
      <c r="M1764" s="198">
        <f t="shared" si="216"/>
        <v>0</v>
      </c>
      <c r="N1764" s="75">
        <f t="shared" si="219"/>
        <v>45</v>
      </c>
      <c r="O1764" s="202">
        <f t="shared" si="220"/>
        <v>0</v>
      </c>
      <c r="P1764" s="199">
        <f t="shared" si="217"/>
        <v>0</v>
      </c>
      <c r="Q1764" s="203">
        <f t="shared" si="221"/>
        <v>12.600000000001376</v>
      </c>
      <c r="R1764" s="203" t="s">
        <v>55</v>
      </c>
      <c r="S1764" s="201">
        <f t="shared" si="222"/>
        <v>3.0107526881720359E-2</v>
      </c>
    </row>
    <row r="1765" spans="1:19">
      <c r="A1765" s="196">
        <v>42529</v>
      </c>
      <c r="B1765" s="122">
        <v>19.280000999999999</v>
      </c>
      <c r="C1765" s="122">
        <v>19.32</v>
      </c>
      <c r="D1765" s="122">
        <v>19.059999000000001</v>
      </c>
      <c r="E1765" s="122">
        <v>19.170000000000002</v>
      </c>
      <c r="F1765" s="122">
        <v>16.515502999999999</v>
      </c>
      <c r="G1765" s="197">
        <v>49900</v>
      </c>
      <c r="H1765" s="198">
        <f>IF(AND(E1764&gt;=H1764,E1765&gt;=E1764),E1764*(1+'Trading Model'!$E$13),IF(AND(E1765&lt;E1764,E1764&gt;=H1764),E1765*(1+'Trading Model'!$E$13),H1764))</f>
        <v>27.698998950000004</v>
      </c>
      <c r="I1765" s="198">
        <f>IF(K1765&gt;0,E1765*(1-'Trading Model'!E1775),IF(E1765&lt;I1764,I1764*(1-'Trading Model'!$E$14),I1764))</f>
        <v>8.9840153609188427</v>
      </c>
      <c r="J1765" s="198">
        <f t="shared" si="223"/>
        <v>0</v>
      </c>
      <c r="K1765" s="198">
        <f t="shared" si="218"/>
        <v>0</v>
      </c>
      <c r="L1765" s="198">
        <f>COUNTIF(J1765:K1765,"&lt;&gt;0")*-'Trading Model'!$E$15</f>
        <v>0</v>
      </c>
      <c r="M1765" s="198">
        <f t="shared" si="216"/>
        <v>0</v>
      </c>
      <c r="N1765" s="75">
        <f t="shared" si="219"/>
        <v>45</v>
      </c>
      <c r="O1765" s="202">
        <f t="shared" si="220"/>
        <v>0</v>
      </c>
      <c r="P1765" s="199">
        <f t="shared" si="217"/>
        <v>0</v>
      </c>
      <c r="Q1765" s="203">
        <f t="shared" si="221"/>
        <v>12.600000000001376</v>
      </c>
      <c r="R1765" s="203" t="s">
        <v>55</v>
      </c>
      <c r="S1765" s="201">
        <f t="shared" si="222"/>
        <v>5.2192066805845094E-4</v>
      </c>
    </row>
    <row r="1766" spans="1:19">
      <c r="A1766" s="196">
        <v>42530</v>
      </c>
      <c r="B1766" s="122">
        <v>19.079999999999998</v>
      </c>
      <c r="C1766" s="122">
        <v>19.43</v>
      </c>
      <c r="D1766" s="122">
        <v>18.780000999999999</v>
      </c>
      <c r="E1766" s="122">
        <v>19.420000000000002</v>
      </c>
      <c r="F1766" s="122">
        <v>16.730888</v>
      </c>
      <c r="G1766" s="197">
        <v>99100</v>
      </c>
      <c r="H1766" s="198">
        <f>IF(AND(E1765&gt;=H1765,E1766&gt;=E1765),E1765*(1+'Trading Model'!$E$13),IF(AND(E1766&lt;E1765,E1765&gt;=H1765),E1766*(1+'Trading Model'!$E$13),H1765))</f>
        <v>27.698998950000004</v>
      </c>
      <c r="I1766" s="198">
        <f>IF(K1766&gt;0,E1766*(1-'Trading Model'!E1776),IF(E1766&lt;I1765,I1765*(1-'Trading Model'!$E$14),I1765))</f>
        <v>8.9840153609188427</v>
      </c>
      <c r="J1766" s="198">
        <f t="shared" si="223"/>
        <v>0</v>
      </c>
      <c r="K1766" s="198">
        <f t="shared" si="218"/>
        <v>0</v>
      </c>
      <c r="L1766" s="198">
        <f>COUNTIF(J1766:K1766,"&lt;&gt;0")*-'Trading Model'!$E$15</f>
        <v>0</v>
      </c>
      <c r="M1766" s="198">
        <f t="shared" si="216"/>
        <v>0</v>
      </c>
      <c r="N1766" s="75">
        <f t="shared" si="219"/>
        <v>45</v>
      </c>
      <c r="O1766" s="202">
        <f t="shared" si="220"/>
        <v>0</v>
      </c>
      <c r="P1766" s="199">
        <f t="shared" si="217"/>
        <v>0</v>
      </c>
      <c r="Q1766" s="203">
        <f t="shared" si="221"/>
        <v>12.600000000001376</v>
      </c>
      <c r="R1766" s="203" t="s">
        <v>55</v>
      </c>
      <c r="S1766" s="201">
        <f t="shared" si="222"/>
        <v>1.3041210224308708E-2</v>
      </c>
    </row>
    <row r="1767" spans="1:19">
      <c r="A1767" s="196">
        <v>42531</v>
      </c>
      <c r="B1767" s="122">
        <v>19.190000999999999</v>
      </c>
      <c r="C1767" s="122">
        <v>19.280000999999999</v>
      </c>
      <c r="D1767" s="122">
        <v>18.59</v>
      </c>
      <c r="E1767" s="122">
        <v>18.610001</v>
      </c>
      <c r="F1767" s="122">
        <v>16.033051</v>
      </c>
      <c r="G1767" s="197">
        <v>77900</v>
      </c>
      <c r="H1767" s="198">
        <f>IF(AND(E1766&gt;=H1766,E1767&gt;=E1766),E1766*(1+'Trading Model'!$E$13),IF(AND(E1767&lt;E1766,E1766&gt;=H1766),E1767*(1+'Trading Model'!$E$13),H1766))</f>
        <v>27.698998950000004</v>
      </c>
      <c r="I1767" s="198">
        <f>IF(K1767&gt;0,E1767*(1-'Trading Model'!E1777),IF(E1767&lt;I1766,I1766*(1-'Trading Model'!$E$14),I1766))</f>
        <v>8.9840153609188427</v>
      </c>
      <c r="J1767" s="198">
        <f t="shared" si="223"/>
        <v>0</v>
      </c>
      <c r="K1767" s="198">
        <f t="shared" si="218"/>
        <v>0</v>
      </c>
      <c r="L1767" s="198">
        <f>COUNTIF(J1767:K1767,"&lt;&gt;0")*-'Trading Model'!$E$15</f>
        <v>0</v>
      </c>
      <c r="M1767" s="198">
        <f t="shared" si="216"/>
        <v>0</v>
      </c>
      <c r="N1767" s="75">
        <f t="shared" si="219"/>
        <v>45</v>
      </c>
      <c r="O1767" s="202">
        <f t="shared" si="220"/>
        <v>0</v>
      </c>
      <c r="P1767" s="199">
        <f t="shared" si="217"/>
        <v>0</v>
      </c>
      <c r="Q1767" s="203">
        <f t="shared" si="221"/>
        <v>12.500000000001377</v>
      </c>
      <c r="R1767" s="201">
        <f>E1767/B1763-1</f>
        <v>2.2527471289699452E-2</v>
      </c>
      <c r="S1767" s="201">
        <f t="shared" si="222"/>
        <v>-4.1709526261586083E-2</v>
      </c>
    </row>
    <row r="1768" spans="1:19">
      <c r="A1768" s="196">
        <v>42534</v>
      </c>
      <c r="B1768" s="122">
        <v>18.52</v>
      </c>
      <c r="C1768" s="122">
        <v>18.77</v>
      </c>
      <c r="D1768" s="122">
        <v>18.040001</v>
      </c>
      <c r="E1768" s="122">
        <v>18.739999999999998</v>
      </c>
      <c r="F1768" s="122">
        <v>16.145046000000001</v>
      </c>
      <c r="G1768" s="197">
        <v>97500</v>
      </c>
      <c r="H1768" s="198">
        <f>IF(AND(E1767&gt;=H1767,E1768&gt;=E1767),E1767*(1+'Trading Model'!$E$13),IF(AND(E1768&lt;E1767,E1767&gt;=H1767),E1768*(1+'Trading Model'!$E$13),H1767))</f>
        <v>27.698998950000004</v>
      </c>
      <c r="I1768" s="198">
        <f>IF(K1768&gt;0,E1768*(1-'Trading Model'!E1778),IF(E1768&lt;I1767,I1767*(1-'Trading Model'!$E$14),I1767))</f>
        <v>8.9840153609188427</v>
      </c>
      <c r="J1768" s="198">
        <f t="shared" si="223"/>
        <v>0</v>
      </c>
      <c r="K1768" s="198">
        <f t="shared" si="218"/>
        <v>0</v>
      </c>
      <c r="L1768" s="198">
        <f>COUNTIF(J1768:K1768,"&lt;&gt;0")*-'Trading Model'!$E$15</f>
        <v>0</v>
      </c>
      <c r="M1768" s="198">
        <f t="shared" si="216"/>
        <v>0</v>
      </c>
      <c r="N1768" s="75">
        <f t="shared" si="219"/>
        <v>45</v>
      </c>
      <c r="O1768" s="202">
        <f t="shared" si="220"/>
        <v>0</v>
      </c>
      <c r="P1768" s="199">
        <f t="shared" si="217"/>
        <v>0</v>
      </c>
      <c r="Q1768" s="203">
        <f t="shared" si="221"/>
        <v>12.500000000001377</v>
      </c>
      <c r="R1768" s="160" t="s">
        <v>55</v>
      </c>
      <c r="S1768" s="201">
        <f t="shared" si="222"/>
        <v>6.9854375612337094E-3</v>
      </c>
    </row>
    <row r="1769" spans="1:19">
      <c r="A1769" s="196">
        <v>42535</v>
      </c>
      <c r="B1769" s="122">
        <v>18.649999999999999</v>
      </c>
      <c r="C1769" s="122">
        <v>18.969999000000001</v>
      </c>
      <c r="D1769" s="122">
        <v>18.149999999999999</v>
      </c>
      <c r="E1769" s="122">
        <v>18.899999999999999</v>
      </c>
      <c r="F1769" s="122">
        <v>16.282889999999998</v>
      </c>
      <c r="G1769" s="197">
        <v>97700</v>
      </c>
      <c r="H1769" s="198">
        <f>IF(AND(E1768&gt;=H1768,E1769&gt;=E1768),E1768*(1+'Trading Model'!$E$13),IF(AND(E1769&lt;E1768,E1768&gt;=H1768),E1769*(1+'Trading Model'!$E$13),H1768))</f>
        <v>27.698998950000004</v>
      </c>
      <c r="I1769" s="198">
        <f>IF(K1769&gt;0,E1769*(1-'Trading Model'!E1779),IF(E1769&lt;I1768,I1768*(1-'Trading Model'!$E$14),I1768))</f>
        <v>8.9840153609188427</v>
      </c>
      <c r="J1769" s="198">
        <f t="shared" si="223"/>
        <v>0</v>
      </c>
      <c r="K1769" s="198">
        <f t="shared" si="218"/>
        <v>0</v>
      </c>
      <c r="L1769" s="198">
        <f>COUNTIF(J1769:K1769,"&lt;&gt;0")*-'Trading Model'!$E$15</f>
        <v>0</v>
      </c>
      <c r="M1769" s="198">
        <f t="shared" si="216"/>
        <v>0</v>
      </c>
      <c r="N1769" s="75">
        <f t="shared" si="219"/>
        <v>45</v>
      </c>
      <c r="O1769" s="202">
        <f t="shared" si="220"/>
        <v>0</v>
      </c>
      <c r="P1769" s="199">
        <f t="shared" si="217"/>
        <v>0</v>
      </c>
      <c r="Q1769" s="203">
        <f t="shared" si="221"/>
        <v>12.500000000001377</v>
      </c>
      <c r="R1769" s="203" t="s">
        <v>55</v>
      </c>
      <c r="S1769" s="201">
        <f t="shared" si="222"/>
        <v>8.5378868729988344E-3</v>
      </c>
    </row>
    <row r="1770" spans="1:19">
      <c r="A1770" s="196">
        <v>42536</v>
      </c>
      <c r="B1770" s="122">
        <v>18.899999999999999</v>
      </c>
      <c r="C1770" s="122">
        <v>19.27</v>
      </c>
      <c r="D1770" s="122">
        <v>18.889999</v>
      </c>
      <c r="E1770" s="122">
        <v>19.07</v>
      </c>
      <c r="F1770" s="122">
        <v>16.429352000000002</v>
      </c>
      <c r="G1770" s="197">
        <v>45600</v>
      </c>
      <c r="H1770" s="198">
        <f>IF(AND(E1769&gt;=H1769,E1770&gt;=E1769),E1769*(1+'Trading Model'!$E$13),IF(AND(E1770&lt;E1769,E1769&gt;=H1769),E1770*(1+'Trading Model'!$E$13),H1769))</f>
        <v>27.698998950000004</v>
      </c>
      <c r="I1770" s="198">
        <f>IF(K1770&gt;0,E1770*(1-'Trading Model'!E1780),IF(E1770&lt;I1769,I1769*(1-'Trading Model'!$E$14),I1769))</f>
        <v>8.9840153609188427</v>
      </c>
      <c r="J1770" s="198">
        <f t="shared" si="223"/>
        <v>0</v>
      </c>
      <c r="K1770" s="198">
        <f t="shared" si="218"/>
        <v>0</v>
      </c>
      <c r="L1770" s="198">
        <f>COUNTIF(J1770:K1770,"&lt;&gt;0")*-'Trading Model'!$E$15</f>
        <v>0</v>
      </c>
      <c r="M1770" s="198">
        <f t="shared" si="216"/>
        <v>0</v>
      </c>
      <c r="N1770" s="75">
        <f t="shared" si="219"/>
        <v>45</v>
      </c>
      <c r="O1770" s="202">
        <f t="shared" si="220"/>
        <v>0</v>
      </c>
      <c r="P1770" s="199">
        <f t="shared" si="217"/>
        <v>0</v>
      </c>
      <c r="Q1770" s="203">
        <f t="shared" si="221"/>
        <v>12.500000000001377</v>
      </c>
      <c r="R1770" s="203" t="s">
        <v>55</v>
      </c>
      <c r="S1770" s="201">
        <f t="shared" si="222"/>
        <v>8.9947089947091108E-3</v>
      </c>
    </row>
    <row r="1771" spans="1:19">
      <c r="A1771" s="196">
        <v>42537</v>
      </c>
      <c r="B1771" s="122">
        <v>18.899999999999999</v>
      </c>
      <c r="C1771" s="122">
        <v>19.139999</v>
      </c>
      <c r="D1771" s="122">
        <v>18.649999999999999</v>
      </c>
      <c r="E1771" s="122">
        <v>18.91</v>
      </c>
      <c r="F1771" s="122">
        <v>16.291508</v>
      </c>
      <c r="G1771" s="197">
        <v>88200</v>
      </c>
      <c r="H1771" s="198">
        <f>IF(AND(E1770&gt;=H1770,E1771&gt;=E1770),E1770*(1+'Trading Model'!$E$13),IF(AND(E1771&lt;E1770,E1770&gt;=H1770),E1771*(1+'Trading Model'!$E$13),H1770))</f>
        <v>27.698998950000004</v>
      </c>
      <c r="I1771" s="198">
        <f>IF(K1771&gt;0,E1771*(1-'Trading Model'!E1781),IF(E1771&lt;I1770,I1770*(1-'Trading Model'!$E$14),I1770))</f>
        <v>8.9840153609188427</v>
      </c>
      <c r="J1771" s="198">
        <f t="shared" si="223"/>
        <v>0</v>
      </c>
      <c r="K1771" s="198">
        <f t="shared" si="218"/>
        <v>0</v>
      </c>
      <c r="L1771" s="198">
        <f>COUNTIF(J1771:K1771,"&lt;&gt;0")*-'Trading Model'!$E$15</f>
        <v>0</v>
      </c>
      <c r="M1771" s="198">
        <f t="shared" si="216"/>
        <v>0</v>
      </c>
      <c r="N1771" s="75">
        <f t="shared" si="219"/>
        <v>45</v>
      </c>
      <c r="O1771" s="202">
        <f t="shared" si="220"/>
        <v>0</v>
      </c>
      <c r="P1771" s="199">
        <f t="shared" si="217"/>
        <v>0</v>
      </c>
      <c r="Q1771" s="203">
        <f t="shared" si="221"/>
        <v>12.400000000001377</v>
      </c>
      <c r="R1771" s="203" t="s">
        <v>55</v>
      </c>
      <c r="S1771" s="201">
        <f t="shared" si="222"/>
        <v>-8.3901415836392657E-3</v>
      </c>
    </row>
    <row r="1772" spans="1:19">
      <c r="A1772" s="196">
        <v>42538</v>
      </c>
      <c r="B1772" s="122">
        <v>18.719999000000001</v>
      </c>
      <c r="C1772" s="122">
        <v>19.25</v>
      </c>
      <c r="D1772" s="122">
        <v>18.559999000000001</v>
      </c>
      <c r="E1772" s="122">
        <v>18.940000999999999</v>
      </c>
      <c r="F1772" s="122">
        <v>16.317354000000002</v>
      </c>
      <c r="G1772" s="197">
        <v>89600</v>
      </c>
      <c r="H1772" s="198">
        <f>IF(AND(E1771&gt;=H1771,E1772&gt;=E1771),E1771*(1+'Trading Model'!$E$13),IF(AND(E1772&lt;E1771,E1771&gt;=H1771),E1772*(1+'Trading Model'!$E$13),H1771))</f>
        <v>27.698998950000004</v>
      </c>
      <c r="I1772" s="198">
        <f>IF(K1772&gt;0,E1772*(1-'Trading Model'!E1782),IF(E1772&lt;I1771,I1771*(1-'Trading Model'!$E$14),I1771))</f>
        <v>8.9840153609188427</v>
      </c>
      <c r="J1772" s="198">
        <f t="shared" si="223"/>
        <v>0</v>
      </c>
      <c r="K1772" s="198">
        <f t="shared" si="218"/>
        <v>0</v>
      </c>
      <c r="L1772" s="198">
        <f>COUNTIF(J1772:K1772,"&lt;&gt;0")*-'Trading Model'!$E$15</f>
        <v>0</v>
      </c>
      <c r="M1772" s="198">
        <f t="shared" si="216"/>
        <v>0</v>
      </c>
      <c r="N1772" s="75">
        <f t="shared" si="219"/>
        <v>45</v>
      </c>
      <c r="O1772" s="202">
        <f t="shared" si="220"/>
        <v>0</v>
      </c>
      <c r="P1772" s="199">
        <f t="shared" si="217"/>
        <v>0</v>
      </c>
      <c r="Q1772" s="203">
        <f t="shared" si="221"/>
        <v>12.400000000001377</v>
      </c>
      <c r="R1772" s="201">
        <f>E1772/B1768-1</f>
        <v>2.2678239740820727E-2</v>
      </c>
      <c r="S1772" s="201">
        <f t="shared" si="222"/>
        <v>1.5865150713907372E-3</v>
      </c>
    </row>
    <row r="1773" spans="1:19">
      <c r="A1773" s="196">
        <v>42541</v>
      </c>
      <c r="B1773" s="122">
        <v>19.100000000000001</v>
      </c>
      <c r="C1773" s="122">
        <v>19.639999</v>
      </c>
      <c r="D1773" s="122">
        <v>18.77</v>
      </c>
      <c r="E1773" s="122">
        <v>19.299999</v>
      </c>
      <c r="F1773" s="122">
        <v>16.627503999999998</v>
      </c>
      <c r="G1773" s="197">
        <v>60400</v>
      </c>
      <c r="H1773" s="198">
        <f>IF(AND(E1772&gt;=H1772,E1773&gt;=E1772),E1772*(1+'Trading Model'!$E$13),IF(AND(E1773&lt;E1772,E1772&gt;=H1772),E1773*(1+'Trading Model'!$E$13),H1772))</f>
        <v>27.698998950000004</v>
      </c>
      <c r="I1773" s="198">
        <f>IF(K1773&gt;0,E1773*(1-'Trading Model'!E1783),IF(E1773&lt;I1772,I1772*(1-'Trading Model'!$E$14),I1772))</f>
        <v>8.9840153609188427</v>
      </c>
      <c r="J1773" s="198">
        <f t="shared" si="223"/>
        <v>0</v>
      </c>
      <c r="K1773" s="198">
        <f t="shared" si="218"/>
        <v>0</v>
      </c>
      <c r="L1773" s="198">
        <f>COUNTIF(J1773:K1773,"&lt;&gt;0")*-'Trading Model'!$E$15</f>
        <v>0</v>
      </c>
      <c r="M1773" s="198">
        <f t="shared" si="216"/>
        <v>0</v>
      </c>
      <c r="N1773" s="75">
        <f t="shared" si="219"/>
        <v>45</v>
      </c>
      <c r="O1773" s="202">
        <f t="shared" si="220"/>
        <v>0</v>
      </c>
      <c r="P1773" s="199">
        <f t="shared" si="217"/>
        <v>0</v>
      </c>
      <c r="Q1773" s="203">
        <f t="shared" si="221"/>
        <v>12.400000000001377</v>
      </c>
      <c r="R1773" s="160" t="s">
        <v>55</v>
      </c>
      <c r="S1773" s="201">
        <f t="shared" si="222"/>
        <v>1.9007285163290089E-2</v>
      </c>
    </row>
    <row r="1774" spans="1:19">
      <c r="A1774" s="196">
        <v>42542</v>
      </c>
      <c r="B1774" s="122">
        <v>19.299999</v>
      </c>
      <c r="C1774" s="122">
        <v>19.700001</v>
      </c>
      <c r="D1774" s="122">
        <v>19.25</v>
      </c>
      <c r="E1774" s="122">
        <v>19.32</v>
      </c>
      <c r="F1774" s="122">
        <v>16.644732000000001</v>
      </c>
      <c r="G1774" s="197">
        <v>93300</v>
      </c>
      <c r="H1774" s="198">
        <f>IF(AND(E1773&gt;=H1773,E1774&gt;=E1773),E1773*(1+'Trading Model'!$E$13),IF(AND(E1774&lt;E1773,E1773&gt;=H1773),E1774*(1+'Trading Model'!$E$13),H1773))</f>
        <v>27.698998950000004</v>
      </c>
      <c r="I1774" s="198">
        <f>IF(K1774&gt;0,E1774*(1-'Trading Model'!E1784),IF(E1774&lt;I1773,I1773*(1-'Trading Model'!$E$14),I1773))</f>
        <v>8.9840153609188427</v>
      </c>
      <c r="J1774" s="198">
        <f t="shared" si="223"/>
        <v>0</v>
      </c>
      <c r="K1774" s="198">
        <f t="shared" si="218"/>
        <v>0</v>
      </c>
      <c r="L1774" s="198">
        <f>COUNTIF(J1774:K1774,"&lt;&gt;0")*-'Trading Model'!$E$15</f>
        <v>0</v>
      </c>
      <c r="M1774" s="198">
        <f t="shared" si="216"/>
        <v>0</v>
      </c>
      <c r="N1774" s="75">
        <f t="shared" si="219"/>
        <v>45</v>
      </c>
      <c r="O1774" s="202">
        <f t="shared" si="220"/>
        <v>0</v>
      </c>
      <c r="P1774" s="199">
        <f t="shared" si="217"/>
        <v>0</v>
      </c>
      <c r="Q1774" s="203">
        <f t="shared" si="221"/>
        <v>12.400000000001377</v>
      </c>
      <c r="R1774" s="203" t="s">
        <v>55</v>
      </c>
      <c r="S1774" s="201">
        <f t="shared" si="222"/>
        <v>1.0363212972186453E-3</v>
      </c>
    </row>
    <row r="1775" spans="1:19">
      <c r="A1775" s="196">
        <v>42543</v>
      </c>
      <c r="B1775" s="122">
        <v>19.469999000000001</v>
      </c>
      <c r="C1775" s="122">
        <v>19.700001</v>
      </c>
      <c r="D1775" s="122">
        <v>18.920000000000002</v>
      </c>
      <c r="E1775" s="122">
        <v>19.010000000000002</v>
      </c>
      <c r="F1775" s="122">
        <v>16.377659000000001</v>
      </c>
      <c r="G1775" s="197">
        <v>101100</v>
      </c>
      <c r="H1775" s="198">
        <f>IF(AND(E1774&gt;=H1774,E1775&gt;=E1774),E1774*(1+'Trading Model'!$E$13),IF(AND(E1775&lt;E1774,E1774&gt;=H1774),E1775*(1+'Trading Model'!$E$13),H1774))</f>
        <v>27.698998950000004</v>
      </c>
      <c r="I1775" s="198">
        <f>IF(K1775&gt;0,E1775*(1-'Trading Model'!E1785),IF(E1775&lt;I1774,I1774*(1-'Trading Model'!$E$14),I1774))</f>
        <v>8.9840153609188427</v>
      </c>
      <c r="J1775" s="198">
        <f t="shared" si="223"/>
        <v>0</v>
      </c>
      <c r="K1775" s="198">
        <f t="shared" si="218"/>
        <v>0</v>
      </c>
      <c r="L1775" s="198">
        <f>COUNTIF(J1775:K1775,"&lt;&gt;0")*-'Trading Model'!$E$15</f>
        <v>0</v>
      </c>
      <c r="M1775" s="198">
        <f t="shared" si="216"/>
        <v>0</v>
      </c>
      <c r="N1775" s="75">
        <f t="shared" si="219"/>
        <v>45</v>
      </c>
      <c r="O1775" s="202">
        <f t="shared" si="220"/>
        <v>0</v>
      </c>
      <c r="P1775" s="199">
        <f t="shared" si="217"/>
        <v>0</v>
      </c>
      <c r="Q1775" s="203">
        <f t="shared" si="221"/>
        <v>12.300000000001377</v>
      </c>
      <c r="R1775" s="203" t="s">
        <v>55</v>
      </c>
      <c r="S1775" s="201">
        <f t="shared" si="222"/>
        <v>-1.6045548654244235E-2</v>
      </c>
    </row>
    <row r="1776" spans="1:19">
      <c r="A1776" s="196">
        <v>42544</v>
      </c>
      <c r="B1776" s="122">
        <v>19.25</v>
      </c>
      <c r="C1776" s="122">
        <v>19.389999</v>
      </c>
      <c r="D1776" s="122">
        <v>18.940000999999999</v>
      </c>
      <c r="E1776" s="122">
        <v>19.149999999999999</v>
      </c>
      <c r="F1776" s="122">
        <v>16.498276000000001</v>
      </c>
      <c r="G1776" s="197">
        <v>75400</v>
      </c>
      <c r="H1776" s="198">
        <f>IF(AND(E1775&gt;=H1775,E1776&gt;=E1775),E1775*(1+'Trading Model'!$E$13),IF(AND(E1776&lt;E1775,E1775&gt;=H1775),E1776*(1+'Trading Model'!$E$13),H1775))</f>
        <v>27.698998950000004</v>
      </c>
      <c r="I1776" s="198">
        <f>IF(K1776&gt;0,E1776*(1-'Trading Model'!E1786),IF(E1776&lt;I1775,I1775*(1-'Trading Model'!$E$14),I1775))</f>
        <v>8.9840153609188427</v>
      </c>
      <c r="J1776" s="198">
        <f t="shared" si="223"/>
        <v>0</v>
      </c>
      <c r="K1776" s="198">
        <f t="shared" si="218"/>
        <v>0</v>
      </c>
      <c r="L1776" s="198">
        <f>COUNTIF(J1776:K1776,"&lt;&gt;0")*-'Trading Model'!$E$15</f>
        <v>0</v>
      </c>
      <c r="M1776" s="198">
        <f t="shared" si="216"/>
        <v>0</v>
      </c>
      <c r="N1776" s="75">
        <f t="shared" si="219"/>
        <v>45</v>
      </c>
      <c r="O1776" s="202">
        <f t="shared" si="220"/>
        <v>0</v>
      </c>
      <c r="P1776" s="199">
        <f t="shared" si="217"/>
        <v>0</v>
      </c>
      <c r="Q1776" s="203">
        <f t="shared" si="221"/>
        <v>12.300000000001377</v>
      </c>
      <c r="R1776" s="203" t="s">
        <v>55</v>
      </c>
      <c r="S1776" s="201">
        <f t="shared" si="222"/>
        <v>7.3645449763279913E-3</v>
      </c>
    </row>
    <row r="1777" spans="1:19">
      <c r="A1777" s="196">
        <v>42545</v>
      </c>
      <c r="B1777" s="122">
        <v>18.649999999999999</v>
      </c>
      <c r="C1777" s="122">
        <v>18.700001</v>
      </c>
      <c r="D1777" s="122">
        <v>17.969999000000001</v>
      </c>
      <c r="E1777" s="122">
        <v>18.049999</v>
      </c>
      <c r="F1777" s="122">
        <v>15.550592</v>
      </c>
      <c r="G1777" s="197">
        <v>130900</v>
      </c>
      <c r="H1777" s="198">
        <f>IF(AND(E1776&gt;=H1776,E1777&gt;=E1776),E1776*(1+'Trading Model'!$E$13),IF(AND(E1777&lt;E1776,E1776&gt;=H1776),E1777*(1+'Trading Model'!$E$13),H1776))</f>
        <v>27.698998950000004</v>
      </c>
      <c r="I1777" s="198">
        <f>IF(K1777&gt;0,E1777*(1-'Trading Model'!E1787),IF(E1777&lt;I1776,I1776*(1-'Trading Model'!$E$14),I1776))</f>
        <v>8.9840153609188427</v>
      </c>
      <c r="J1777" s="198">
        <f t="shared" si="223"/>
        <v>0</v>
      </c>
      <c r="K1777" s="198">
        <f t="shared" si="218"/>
        <v>0</v>
      </c>
      <c r="L1777" s="198">
        <f>COUNTIF(J1777:K1777,"&lt;&gt;0")*-'Trading Model'!$E$15</f>
        <v>0</v>
      </c>
      <c r="M1777" s="198">
        <f t="shared" si="216"/>
        <v>0</v>
      </c>
      <c r="N1777" s="75">
        <f t="shared" si="219"/>
        <v>45</v>
      </c>
      <c r="O1777" s="202">
        <f t="shared" si="220"/>
        <v>0</v>
      </c>
      <c r="P1777" s="199">
        <f t="shared" si="217"/>
        <v>0</v>
      </c>
      <c r="Q1777" s="203">
        <f t="shared" si="221"/>
        <v>12.200000000001378</v>
      </c>
      <c r="R1777" s="201">
        <f>E1777/B1773-1</f>
        <v>-5.4973874345549789E-2</v>
      </c>
      <c r="S1777" s="201">
        <f t="shared" si="222"/>
        <v>-5.7441305483028615E-2</v>
      </c>
    </row>
    <row r="1778" spans="1:19">
      <c r="A1778" s="196">
        <v>42548</v>
      </c>
      <c r="B1778" s="122">
        <v>17.620000999999998</v>
      </c>
      <c r="C1778" s="122">
        <v>17.889999</v>
      </c>
      <c r="D1778" s="122">
        <v>17.489999999999998</v>
      </c>
      <c r="E1778" s="122">
        <v>17.870000999999998</v>
      </c>
      <c r="F1778" s="122">
        <v>15.395517999999999</v>
      </c>
      <c r="G1778" s="197">
        <v>93900</v>
      </c>
      <c r="H1778" s="198">
        <f>IF(AND(E1777&gt;=H1777,E1778&gt;=E1777),E1777*(1+'Trading Model'!$E$13),IF(AND(E1778&lt;E1777,E1777&gt;=H1777),E1778*(1+'Trading Model'!$E$13),H1777))</f>
        <v>27.698998950000004</v>
      </c>
      <c r="I1778" s="198">
        <f>IF(K1778&gt;0,E1778*(1-'Trading Model'!E1788),IF(E1778&lt;I1777,I1777*(1-'Trading Model'!$E$14),I1777))</f>
        <v>8.9840153609188427</v>
      </c>
      <c r="J1778" s="198">
        <f t="shared" si="223"/>
        <v>0</v>
      </c>
      <c r="K1778" s="198">
        <f t="shared" si="218"/>
        <v>0</v>
      </c>
      <c r="L1778" s="198">
        <f>COUNTIF(J1778:K1778,"&lt;&gt;0")*-'Trading Model'!$E$15</f>
        <v>0</v>
      </c>
      <c r="M1778" s="198">
        <f t="shared" si="216"/>
        <v>0</v>
      </c>
      <c r="N1778" s="75">
        <f t="shared" si="219"/>
        <v>45</v>
      </c>
      <c r="O1778" s="202">
        <f t="shared" si="220"/>
        <v>0</v>
      </c>
      <c r="P1778" s="199">
        <f t="shared" si="217"/>
        <v>0</v>
      </c>
      <c r="Q1778" s="203">
        <f t="shared" si="221"/>
        <v>12.100000000001378</v>
      </c>
      <c r="R1778" s="160" t="s">
        <v>55</v>
      </c>
      <c r="S1778" s="201">
        <f t="shared" si="222"/>
        <v>-9.9721889181269008E-3</v>
      </c>
    </row>
    <row r="1779" spans="1:19">
      <c r="A1779" s="196">
        <v>42549</v>
      </c>
      <c r="B1779" s="122">
        <v>18.059999000000001</v>
      </c>
      <c r="C1779" s="122">
        <v>18.670000000000002</v>
      </c>
      <c r="D1779" s="122">
        <v>17.799999</v>
      </c>
      <c r="E1779" s="122">
        <v>18.5</v>
      </c>
      <c r="F1779" s="122">
        <v>15.938281</v>
      </c>
      <c r="G1779" s="197">
        <v>87400</v>
      </c>
      <c r="H1779" s="198">
        <f>IF(AND(E1778&gt;=H1778,E1779&gt;=E1778),E1778*(1+'Trading Model'!$E$13),IF(AND(E1779&lt;E1778,E1778&gt;=H1778),E1779*(1+'Trading Model'!$E$13),H1778))</f>
        <v>27.698998950000004</v>
      </c>
      <c r="I1779" s="198">
        <f>IF(K1779&gt;0,E1779*(1-'Trading Model'!E1789),IF(E1779&lt;I1778,I1778*(1-'Trading Model'!$E$14),I1778))</f>
        <v>8.9840153609188427</v>
      </c>
      <c r="J1779" s="198">
        <f t="shared" si="223"/>
        <v>0</v>
      </c>
      <c r="K1779" s="198">
        <f t="shared" si="218"/>
        <v>0</v>
      </c>
      <c r="L1779" s="198">
        <f>COUNTIF(J1779:K1779,"&lt;&gt;0")*-'Trading Model'!$E$15</f>
        <v>0</v>
      </c>
      <c r="M1779" s="198">
        <f t="shared" si="216"/>
        <v>0</v>
      </c>
      <c r="N1779" s="75">
        <f t="shared" si="219"/>
        <v>45</v>
      </c>
      <c r="O1779" s="202">
        <f t="shared" si="220"/>
        <v>0</v>
      </c>
      <c r="P1779" s="199">
        <f t="shared" si="217"/>
        <v>0</v>
      </c>
      <c r="Q1779" s="203">
        <f t="shared" si="221"/>
        <v>12.100000000001378</v>
      </c>
      <c r="R1779" s="203" t="s">
        <v>55</v>
      </c>
      <c r="S1779" s="201">
        <f t="shared" si="222"/>
        <v>3.5254558743449405E-2</v>
      </c>
    </row>
    <row r="1780" spans="1:19">
      <c r="A1780" s="196">
        <v>42550</v>
      </c>
      <c r="B1780" s="122">
        <v>18.57</v>
      </c>
      <c r="C1780" s="122">
        <v>19</v>
      </c>
      <c r="D1780" s="122">
        <v>18.34</v>
      </c>
      <c r="E1780" s="122">
        <v>18.68</v>
      </c>
      <c r="F1780" s="122">
        <v>16.093357000000001</v>
      </c>
      <c r="G1780" s="197">
        <v>64400</v>
      </c>
      <c r="H1780" s="198">
        <f>IF(AND(E1779&gt;=H1779,E1780&gt;=E1779),E1779*(1+'Trading Model'!$E$13),IF(AND(E1780&lt;E1779,E1779&gt;=H1779),E1780*(1+'Trading Model'!$E$13),H1779))</f>
        <v>27.698998950000004</v>
      </c>
      <c r="I1780" s="198">
        <f>IF(K1780&gt;0,E1780*(1-'Trading Model'!E1790),IF(E1780&lt;I1779,I1779*(1-'Trading Model'!$E$14),I1779))</f>
        <v>8.9840153609188427</v>
      </c>
      <c r="J1780" s="198">
        <f t="shared" si="223"/>
        <v>0</v>
      </c>
      <c r="K1780" s="198">
        <f t="shared" si="218"/>
        <v>0</v>
      </c>
      <c r="L1780" s="198">
        <f>COUNTIF(J1780:K1780,"&lt;&gt;0")*-'Trading Model'!$E$15</f>
        <v>0</v>
      </c>
      <c r="M1780" s="198">
        <f t="shared" si="216"/>
        <v>0</v>
      </c>
      <c r="N1780" s="75">
        <f t="shared" si="219"/>
        <v>45</v>
      </c>
      <c r="O1780" s="202">
        <f t="shared" si="220"/>
        <v>0</v>
      </c>
      <c r="P1780" s="199">
        <f t="shared" si="217"/>
        <v>0</v>
      </c>
      <c r="Q1780" s="203">
        <f t="shared" si="221"/>
        <v>12.100000000001378</v>
      </c>
      <c r="R1780" s="203" t="s">
        <v>55</v>
      </c>
      <c r="S1780" s="201">
        <f t="shared" si="222"/>
        <v>9.7297297297296303E-3</v>
      </c>
    </row>
    <row r="1781" spans="1:19">
      <c r="A1781" s="196">
        <v>42551</v>
      </c>
      <c r="B1781" s="122">
        <v>18.739999999999998</v>
      </c>
      <c r="C1781" s="122">
        <v>18.989999999999998</v>
      </c>
      <c r="D1781" s="122">
        <v>18.290001</v>
      </c>
      <c r="E1781" s="122">
        <v>18.329999999999998</v>
      </c>
      <c r="F1781" s="122">
        <v>15.79182</v>
      </c>
      <c r="G1781" s="197">
        <v>88600</v>
      </c>
      <c r="H1781" s="198">
        <f>IF(AND(E1780&gt;=H1780,E1781&gt;=E1780),E1780*(1+'Trading Model'!$E$13),IF(AND(E1781&lt;E1780,E1780&gt;=H1780),E1781*(1+'Trading Model'!$E$13),H1780))</f>
        <v>27.698998950000004</v>
      </c>
      <c r="I1781" s="198">
        <f>IF(K1781&gt;0,E1781*(1-'Trading Model'!E1791),IF(E1781&lt;I1780,I1780*(1-'Trading Model'!$E$14),I1780))</f>
        <v>8.9840153609188427</v>
      </c>
      <c r="J1781" s="198">
        <f t="shared" si="223"/>
        <v>0</v>
      </c>
      <c r="K1781" s="198">
        <f t="shared" si="218"/>
        <v>0</v>
      </c>
      <c r="L1781" s="198">
        <f>COUNTIF(J1781:K1781,"&lt;&gt;0")*-'Trading Model'!$E$15</f>
        <v>0</v>
      </c>
      <c r="M1781" s="198">
        <f t="shared" si="216"/>
        <v>0</v>
      </c>
      <c r="N1781" s="75">
        <f t="shared" si="219"/>
        <v>45</v>
      </c>
      <c r="O1781" s="202">
        <f t="shared" si="220"/>
        <v>0</v>
      </c>
      <c r="P1781" s="199">
        <f t="shared" si="217"/>
        <v>0</v>
      </c>
      <c r="Q1781" s="203">
        <f t="shared" si="221"/>
        <v>12.000000000001378</v>
      </c>
      <c r="R1781" s="203" t="s">
        <v>55</v>
      </c>
      <c r="S1781" s="201">
        <f t="shared" si="222"/>
        <v>-1.8736616702355491E-2</v>
      </c>
    </row>
    <row r="1782" spans="1:19">
      <c r="A1782" s="196">
        <v>42552</v>
      </c>
      <c r="B1782" s="122">
        <v>18.48</v>
      </c>
      <c r="C1782" s="122">
        <v>18.899999999999999</v>
      </c>
      <c r="D1782" s="122">
        <v>18.120000999999998</v>
      </c>
      <c r="E1782" s="122">
        <v>18.700001</v>
      </c>
      <c r="F1782" s="122">
        <v>16.110586000000001</v>
      </c>
      <c r="G1782" s="197">
        <v>102800</v>
      </c>
      <c r="H1782" s="198">
        <f>IF(AND(E1781&gt;=H1781,E1782&gt;=E1781),E1781*(1+'Trading Model'!$E$13),IF(AND(E1782&lt;E1781,E1781&gt;=H1781),E1782*(1+'Trading Model'!$E$13),H1781))</f>
        <v>27.698998950000004</v>
      </c>
      <c r="I1782" s="198">
        <f>IF(K1782&gt;0,E1782*(1-'Trading Model'!E1792),IF(E1782&lt;I1781,I1781*(1-'Trading Model'!$E$14),I1781))</f>
        <v>8.9840153609188427</v>
      </c>
      <c r="J1782" s="198">
        <f t="shared" si="223"/>
        <v>0</v>
      </c>
      <c r="K1782" s="198">
        <f t="shared" si="218"/>
        <v>0</v>
      </c>
      <c r="L1782" s="198">
        <f>COUNTIF(J1782:K1782,"&lt;&gt;0")*-'Trading Model'!$E$15</f>
        <v>0</v>
      </c>
      <c r="M1782" s="198">
        <f t="shared" si="216"/>
        <v>0</v>
      </c>
      <c r="N1782" s="75">
        <f t="shared" si="219"/>
        <v>45</v>
      </c>
      <c r="O1782" s="202">
        <f t="shared" si="220"/>
        <v>0</v>
      </c>
      <c r="P1782" s="199">
        <f t="shared" si="217"/>
        <v>0</v>
      </c>
      <c r="Q1782" s="203">
        <f t="shared" si="221"/>
        <v>12.000000000001378</v>
      </c>
      <c r="R1782" s="201">
        <f>E1782/B1778-1</f>
        <v>6.1293980630307665E-2</v>
      </c>
      <c r="S1782" s="201">
        <f t="shared" si="222"/>
        <v>2.0185542825968517E-2</v>
      </c>
    </row>
    <row r="1783" spans="1:19">
      <c r="A1783" s="196">
        <v>42556</v>
      </c>
      <c r="B1783" s="122">
        <v>18.469999000000001</v>
      </c>
      <c r="C1783" s="122">
        <v>18.82</v>
      </c>
      <c r="D1783" s="122">
        <v>18.049999</v>
      </c>
      <c r="E1783" s="122">
        <v>18.280000999999999</v>
      </c>
      <c r="F1783" s="122">
        <v>15.748745</v>
      </c>
      <c r="G1783" s="197">
        <v>77600</v>
      </c>
      <c r="H1783" s="198">
        <f>IF(AND(E1782&gt;=H1782,E1783&gt;=E1782),E1782*(1+'Trading Model'!$E$13),IF(AND(E1783&lt;E1782,E1782&gt;=H1782),E1783*(1+'Trading Model'!$E$13),H1782))</f>
        <v>27.698998950000004</v>
      </c>
      <c r="I1783" s="198">
        <f>IF(K1783&gt;0,E1783*(1-'Trading Model'!E1793),IF(E1783&lt;I1782,I1782*(1-'Trading Model'!$E$14),I1782))</f>
        <v>8.9840153609188427</v>
      </c>
      <c r="J1783" s="198">
        <f t="shared" si="223"/>
        <v>0</v>
      </c>
      <c r="K1783" s="198">
        <f t="shared" si="218"/>
        <v>0</v>
      </c>
      <c r="L1783" s="198">
        <f>COUNTIF(J1783:K1783,"&lt;&gt;0")*-'Trading Model'!$E$15</f>
        <v>0</v>
      </c>
      <c r="M1783" s="198">
        <f t="shared" si="216"/>
        <v>0</v>
      </c>
      <c r="N1783" s="75">
        <f t="shared" si="219"/>
        <v>45</v>
      </c>
      <c r="O1783" s="202">
        <f t="shared" si="220"/>
        <v>0</v>
      </c>
      <c r="P1783" s="199">
        <f t="shared" si="217"/>
        <v>0</v>
      </c>
      <c r="Q1783" s="203">
        <f t="shared" si="221"/>
        <v>11.900000000001379</v>
      </c>
      <c r="R1783" s="160" t="s">
        <v>55</v>
      </c>
      <c r="S1783" s="201">
        <f t="shared" si="222"/>
        <v>-2.245989184706465E-2</v>
      </c>
    </row>
    <row r="1784" spans="1:19">
      <c r="A1784" s="196">
        <v>42557</v>
      </c>
      <c r="B1784" s="122">
        <v>18.16</v>
      </c>
      <c r="C1784" s="122">
        <v>18.43</v>
      </c>
      <c r="D1784" s="122">
        <v>17.870000999999998</v>
      </c>
      <c r="E1784" s="122">
        <v>18.309999000000001</v>
      </c>
      <c r="F1784" s="122">
        <v>15.77459</v>
      </c>
      <c r="G1784" s="197">
        <v>44400</v>
      </c>
      <c r="H1784" s="198">
        <f>IF(AND(E1783&gt;=H1783,E1784&gt;=E1783),E1783*(1+'Trading Model'!$E$13),IF(AND(E1784&lt;E1783,E1783&gt;=H1783),E1784*(1+'Trading Model'!$E$13),H1783))</f>
        <v>27.698998950000004</v>
      </c>
      <c r="I1784" s="198">
        <f>IF(K1784&gt;0,E1784*(1-'Trading Model'!E1794),IF(E1784&lt;I1783,I1783*(1-'Trading Model'!$E$14),I1783))</f>
        <v>8.9840153609188427</v>
      </c>
      <c r="J1784" s="198">
        <f t="shared" si="223"/>
        <v>0</v>
      </c>
      <c r="K1784" s="198">
        <f t="shared" si="218"/>
        <v>0</v>
      </c>
      <c r="L1784" s="198">
        <f>COUNTIF(J1784:K1784,"&lt;&gt;0")*-'Trading Model'!$E$15</f>
        <v>0</v>
      </c>
      <c r="M1784" s="198">
        <f t="shared" si="216"/>
        <v>0</v>
      </c>
      <c r="N1784" s="75">
        <f t="shared" si="219"/>
        <v>45</v>
      </c>
      <c r="O1784" s="202">
        <f t="shared" si="220"/>
        <v>0</v>
      </c>
      <c r="P1784" s="199">
        <f t="shared" si="217"/>
        <v>0</v>
      </c>
      <c r="Q1784" s="203">
        <f t="shared" si="221"/>
        <v>11.900000000001379</v>
      </c>
      <c r="R1784" s="203" t="s">
        <v>55</v>
      </c>
      <c r="S1784" s="201">
        <f t="shared" si="222"/>
        <v>1.6410283566179462E-3</v>
      </c>
    </row>
    <row r="1785" spans="1:19">
      <c r="A1785" s="196">
        <v>42558</v>
      </c>
      <c r="B1785" s="122">
        <v>18.469999000000001</v>
      </c>
      <c r="C1785" s="122">
        <v>18.670000000000002</v>
      </c>
      <c r="D1785" s="122">
        <v>18.23</v>
      </c>
      <c r="E1785" s="122">
        <v>18.41</v>
      </c>
      <c r="F1785" s="122">
        <v>15.860744</v>
      </c>
      <c r="G1785" s="197">
        <v>68600</v>
      </c>
      <c r="H1785" s="198">
        <f>IF(AND(E1784&gt;=H1784,E1785&gt;=E1784),E1784*(1+'Trading Model'!$E$13),IF(AND(E1785&lt;E1784,E1784&gt;=H1784),E1785*(1+'Trading Model'!$E$13),H1784))</f>
        <v>27.698998950000004</v>
      </c>
      <c r="I1785" s="198">
        <f>IF(K1785&gt;0,E1785*(1-'Trading Model'!E1795),IF(E1785&lt;I1784,I1784*(1-'Trading Model'!$E$14),I1784))</f>
        <v>8.9840153609188427</v>
      </c>
      <c r="J1785" s="198">
        <f t="shared" si="223"/>
        <v>0</v>
      </c>
      <c r="K1785" s="198">
        <f t="shared" si="218"/>
        <v>0</v>
      </c>
      <c r="L1785" s="198">
        <f>COUNTIF(J1785:K1785,"&lt;&gt;0")*-'Trading Model'!$E$15</f>
        <v>0</v>
      </c>
      <c r="M1785" s="198">
        <f t="shared" si="216"/>
        <v>0</v>
      </c>
      <c r="N1785" s="75">
        <f t="shared" si="219"/>
        <v>45</v>
      </c>
      <c r="O1785" s="202">
        <f t="shared" si="220"/>
        <v>0</v>
      </c>
      <c r="P1785" s="199">
        <f t="shared" si="217"/>
        <v>0</v>
      </c>
      <c r="Q1785" s="203">
        <f t="shared" si="221"/>
        <v>11.900000000001379</v>
      </c>
      <c r="R1785" s="203" t="s">
        <v>55</v>
      </c>
      <c r="S1785" s="201">
        <f t="shared" si="222"/>
        <v>5.4615513632740864E-3</v>
      </c>
    </row>
    <row r="1786" spans="1:19">
      <c r="A1786" s="196">
        <v>42559</v>
      </c>
      <c r="B1786" s="122">
        <v>18.600000000000001</v>
      </c>
      <c r="C1786" s="122">
        <v>19</v>
      </c>
      <c r="D1786" s="122">
        <v>18.5</v>
      </c>
      <c r="E1786" s="122">
        <v>18.709999</v>
      </c>
      <c r="F1786" s="122">
        <v>16.119199999999999</v>
      </c>
      <c r="G1786" s="197">
        <v>77400</v>
      </c>
      <c r="H1786" s="198">
        <f>IF(AND(E1785&gt;=H1785,E1786&gt;=E1785),E1785*(1+'Trading Model'!$E$13),IF(AND(E1786&lt;E1785,E1785&gt;=H1785),E1786*(1+'Trading Model'!$E$13),H1785))</f>
        <v>27.698998950000004</v>
      </c>
      <c r="I1786" s="198">
        <f>IF(K1786&gt;0,E1786*(1-'Trading Model'!E1796),IF(E1786&lt;I1785,I1785*(1-'Trading Model'!$E$14),I1785))</f>
        <v>8.9840153609188427</v>
      </c>
      <c r="J1786" s="198">
        <f t="shared" si="223"/>
        <v>0</v>
      </c>
      <c r="K1786" s="198">
        <f t="shared" si="218"/>
        <v>0</v>
      </c>
      <c r="L1786" s="198">
        <f>COUNTIF(J1786:K1786,"&lt;&gt;0")*-'Trading Model'!$E$15</f>
        <v>0</v>
      </c>
      <c r="M1786" s="198">
        <f t="shared" si="216"/>
        <v>0</v>
      </c>
      <c r="N1786" s="75">
        <f t="shared" si="219"/>
        <v>45</v>
      </c>
      <c r="O1786" s="202">
        <f t="shared" si="220"/>
        <v>0</v>
      </c>
      <c r="P1786" s="199">
        <f t="shared" si="217"/>
        <v>0</v>
      </c>
      <c r="Q1786" s="203">
        <f t="shared" si="221"/>
        <v>11.900000000001379</v>
      </c>
      <c r="R1786" s="203" t="s">
        <v>55</v>
      </c>
      <c r="S1786" s="201">
        <f t="shared" si="222"/>
        <v>1.6295437262357382E-2</v>
      </c>
    </row>
    <row r="1787" spans="1:19">
      <c r="A1787" s="196">
        <v>42562</v>
      </c>
      <c r="B1787" s="122">
        <v>18.84</v>
      </c>
      <c r="C1787" s="122">
        <v>19.329999999999998</v>
      </c>
      <c r="D1787" s="122">
        <v>18.649999999999999</v>
      </c>
      <c r="E1787" s="122">
        <v>18.950001</v>
      </c>
      <c r="F1787" s="122">
        <v>16.325968</v>
      </c>
      <c r="G1787" s="197">
        <v>119500</v>
      </c>
      <c r="H1787" s="198">
        <f>IF(AND(E1786&gt;=H1786,E1787&gt;=E1786),E1786*(1+'Trading Model'!$E$13),IF(AND(E1787&lt;E1786,E1786&gt;=H1786),E1787*(1+'Trading Model'!$E$13),H1786))</f>
        <v>27.698998950000004</v>
      </c>
      <c r="I1787" s="198">
        <f>IF(K1787&gt;0,E1787*(1-'Trading Model'!E1797),IF(E1787&lt;I1786,I1786*(1-'Trading Model'!$E$14),I1786))</f>
        <v>8.9840153609188427</v>
      </c>
      <c r="J1787" s="198">
        <f t="shared" si="223"/>
        <v>0</v>
      </c>
      <c r="K1787" s="198">
        <f t="shared" si="218"/>
        <v>0</v>
      </c>
      <c r="L1787" s="198">
        <f>COUNTIF(J1787:K1787,"&lt;&gt;0")*-'Trading Model'!$E$15</f>
        <v>0</v>
      </c>
      <c r="M1787" s="198">
        <f t="shared" si="216"/>
        <v>0</v>
      </c>
      <c r="N1787" s="75">
        <f t="shared" si="219"/>
        <v>45</v>
      </c>
      <c r="O1787" s="202">
        <f t="shared" si="220"/>
        <v>0</v>
      </c>
      <c r="P1787" s="199">
        <f t="shared" si="217"/>
        <v>0</v>
      </c>
      <c r="Q1787" s="203">
        <f t="shared" si="221"/>
        <v>11.900000000001379</v>
      </c>
      <c r="R1787" s="201">
        <f>E1787/B1783-1</f>
        <v>2.598819848338918E-2</v>
      </c>
      <c r="S1787" s="201">
        <f t="shared" si="222"/>
        <v>1.282747262573336E-2</v>
      </c>
    </row>
    <row r="1788" spans="1:19">
      <c r="A1788" s="196">
        <v>42563</v>
      </c>
      <c r="B1788" s="122">
        <v>19.010000000000002</v>
      </c>
      <c r="C1788" s="122">
        <v>19.360001</v>
      </c>
      <c r="D1788" s="122">
        <v>18.719999000000001</v>
      </c>
      <c r="E1788" s="122">
        <v>19.02</v>
      </c>
      <c r="F1788" s="122">
        <v>16.386274</v>
      </c>
      <c r="G1788" s="197">
        <v>86000</v>
      </c>
      <c r="H1788" s="198">
        <f>IF(AND(E1787&gt;=H1787,E1788&gt;=E1787),E1787*(1+'Trading Model'!$E$13),IF(AND(E1788&lt;E1787,E1787&gt;=H1787),E1788*(1+'Trading Model'!$E$13),H1787))</f>
        <v>27.698998950000004</v>
      </c>
      <c r="I1788" s="198">
        <f>IF(K1788&gt;0,E1788*(1-'Trading Model'!E1798),IF(E1788&lt;I1787,I1787*(1-'Trading Model'!$E$14),I1787))</f>
        <v>8.9840153609188427</v>
      </c>
      <c r="J1788" s="198">
        <f t="shared" si="223"/>
        <v>0</v>
      </c>
      <c r="K1788" s="198">
        <f t="shared" si="218"/>
        <v>0</v>
      </c>
      <c r="L1788" s="198">
        <f>COUNTIF(J1788:K1788,"&lt;&gt;0")*-'Trading Model'!$E$15</f>
        <v>0</v>
      </c>
      <c r="M1788" s="198">
        <f t="shared" si="216"/>
        <v>0</v>
      </c>
      <c r="N1788" s="75">
        <f t="shared" si="219"/>
        <v>45</v>
      </c>
      <c r="O1788" s="202">
        <f t="shared" si="220"/>
        <v>0</v>
      </c>
      <c r="P1788" s="199">
        <f t="shared" si="217"/>
        <v>0</v>
      </c>
      <c r="Q1788" s="203">
        <f t="shared" si="221"/>
        <v>11.900000000001379</v>
      </c>
      <c r="R1788" s="160" t="s">
        <v>55</v>
      </c>
      <c r="S1788" s="201">
        <f t="shared" si="222"/>
        <v>3.6938784330406982E-3</v>
      </c>
    </row>
    <row r="1789" spans="1:19">
      <c r="A1789" s="196">
        <v>42564</v>
      </c>
      <c r="B1789" s="122">
        <v>18.93</v>
      </c>
      <c r="C1789" s="122">
        <v>19.459999</v>
      </c>
      <c r="D1789" s="122">
        <v>18.899999999999999</v>
      </c>
      <c r="E1789" s="122">
        <v>19.149999999999999</v>
      </c>
      <c r="F1789" s="122">
        <v>16.498276000000001</v>
      </c>
      <c r="G1789" s="197">
        <v>62400</v>
      </c>
      <c r="H1789" s="198">
        <f>IF(AND(E1788&gt;=H1788,E1789&gt;=E1788),E1788*(1+'Trading Model'!$E$13),IF(AND(E1789&lt;E1788,E1788&gt;=H1788),E1789*(1+'Trading Model'!$E$13),H1788))</f>
        <v>27.698998950000004</v>
      </c>
      <c r="I1789" s="198">
        <f>IF(K1789&gt;0,E1789*(1-'Trading Model'!E1799),IF(E1789&lt;I1788,I1788*(1-'Trading Model'!$E$14),I1788))</f>
        <v>8.9840153609188427</v>
      </c>
      <c r="J1789" s="198">
        <f t="shared" si="223"/>
        <v>0</v>
      </c>
      <c r="K1789" s="198">
        <f t="shared" si="218"/>
        <v>0</v>
      </c>
      <c r="L1789" s="198">
        <f>COUNTIF(J1789:K1789,"&lt;&gt;0")*-'Trading Model'!$E$15</f>
        <v>0</v>
      </c>
      <c r="M1789" s="198">
        <f t="shared" si="216"/>
        <v>0</v>
      </c>
      <c r="N1789" s="75">
        <f t="shared" si="219"/>
        <v>45</v>
      </c>
      <c r="O1789" s="202">
        <f t="shared" si="220"/>
        <v>0</v>
      </c>
      <c r="P1789" s="199">
        <f t="shared" si="217"/>
        <v>0</v>
      </c>
      <c r="Q1789" s="203">
        <f t="shared" si="221"/>
        <v>11.900000000001379</v>
      </c>
      <c r="R1789" s="203" t="s">
        <v>55</v>
      </c>
      <c r="S1789" s="201">
        <f t="shared" si="222"/>
        <v>6.8349106203995369E-3</v>
      </c>
    </row>
    <row r="1790" spans="1:19">
      <c r="A1790" s="196">
        <v>42565</v>
      </c>
      <c r="B1790" s="122">
        <v>19.34</v>
      </c>
      <c r="C1790" s="122">
        <v>19.700001</v>
      </c>
      <c r="D1790" s="122">
        <v>19.329999999999998</v>
      </c>
      <c r="E1790" s="122">
        <v>19.5</v>
      </c>
      <c r="F1790" s="122">
        <v>16.799809</v>
      </c>
      <c r="G1790" s="197">
        <v>115500</v>
      </c>
      <c r="H1790" s="198">
        <f>IF(AND(E1789&gt;=H1789,E1790&gt;=E1789),E1789*(1+'Trading Model'!$E$13),IF(AND(E1790&lt;E1789,E1789&gt;=H1789),E1790*(1+'Trading Model'!$E$13),H1789))</f>
        <v>27.698998950000004</v>
      </c>
      <c r="I1790" s="198">
        <f>IF(K1790&gt;0,E1790*(1-'Trading Model'!E1800),IF(E1790&lt;I1789,I1789*(1-'Trading Model'!$E$14),I1789))</f>
        <v>8.9840153609188427</v>
      </c>
      <c r="J1790" s="198">
        <f t="shared" si="223"/>
        <v>0</v>
      </c>
      <c r="K1790" s="198">
        <f t="shared" si="218"/>
        <v>0</v>
      </c>
      <c r="L1790" s="198">
        <f>COUNTIF(J1790:K1790,"&lt;&gt;0")*-'Trading Model'!$E$15</f>
        <v>0</v>
      </c>
      <c r="M1790" s="198">
        <f t="shared" si="216"/>
        <v>0</v>
      </c>
      <c r="N1790" s="75">
        <f t="shared" si="219"/>
        <v>45</v>
      </c>
      <c r="O1790" s="202">
        <f t="shared" si="220"/>
        <v>0</v>
      </c>
      <c r="P1790" s="199">
        <f t="shared" si="217"/>
        <v>0</v>
      </c>
      <c r="Q1790" s="203">
        <f t="shared" si="221"/>
        <v>11.900000000001379</v>
      </c>
      <c r="R1790" s="203" t="s">
        <v>55</v>
      </c>
      <c r="S1790" s="201">
        <f t="shared" si="222"/>
        <v>1.8276762402088753E-2</v>
      </c>
    </row>
    <row r="1791" spans="1:19">
      <c r="A1791" s="196">
        <v>42566</v>
      </c>
      <c r="B1791" s="122">
        <v>19.5</v>
      </c>
      <c r="C1791" s="122">
        <v>19.989999999999998</v>
      </c>
      <c r="D1791" s="122">
        <v>19.139999</v>
      </c>
      <c r="E1791" s="122">
        <v>19.459999</v>
      </c>
      <c r="F1791" s="122">
        <v>16.765347999999999</v>
      </c>
      <c r="G1791" s="197">
        <v>201300</v>
      </c>
      <c r="H1791" s="198">
        <f>IF(AND(E1790&gt;=H1790,E1791&gt;=E1790),E1790*(1+'Trading Model'!$E$13),IF(AND(E1791&lt;E1790,E1790&gt;=H1790),E1791*(1+'Trading Model'!$E$13),H1790))</f>
        <v>27.698998950000004</v>
      </c>
      <c r="I1791" s="198">
        <f>IF(K1791&gt;0,E1791*(1-'Trading Model'!E1801),IF(E1791&lt;I1790,I1790*(1-'Trading Model'!$E$14),I1790))</f>
        <v>8.9840153609188427</v>
      </c>
      <c r="J1791" s="198">
        <f t="shared" si="223"/>
        <v>0</v>
      </c>
      <c r="K1791" s="198">
        <f t="shared" si="218"/>
        <v>0</v>
      </c>
      <c r="L1791" s="198">
        <f>COUNTIF(J1791:K1791,"&lt;&gt;0")*-'Trading Model'!$E$15</f>
        <v>0</v>
      </c>
      <c r="M1791" s="198">
        <f t="shared" si="216"/>
        <v>0</v>
      </c>
      <c r="N1791" s="75">
        <f t="shared" si="219"/>
        <v>45</v>
      </c>
      <c r="O1791" s="202">
        <f t="shared" si="220"/>
        <v>0</v>
      </c>
      <c r="P1791" s="199">
        <f t="shared" si="217"/>
        <v>0</v>
      </c>
      <c r="Q1791" s="203">
        <f t="shared" si="221"/>
        <v>11.800000000001379</v>
      </c>
      <c r="R1791" s="203" t="s">
        <v>55</v>
      </c>
      <c r="S1791" s="201">
        <f t="shared" si="222"/>
        <v>-2.0513333333332939E-3</v>
      </c>
    </row>
    <row r="1792" spans="1:19">
      <c r="A1792" s="196">
        <v>42569</v>
      </c>
      <c r="B1792" s="122">
        <v>19.299999</v>
      </c>
      <c r="C1792" s="122">
        <v>19.399999999999999</v>
      </c>
      <c r="D1792" s="122">
        <v>18.989999999999998</v>
      </c>
      <c r="E1792" s="122">
        <v>19.239999999999998</v>
      </c>
      <c r="F1792" s="122">
        <v>16.575811000000002</v>
      </c>
      <c r="G1792" s="197">
        <v>66900</v>
      </c>
      <c r="H1792" s="198">
        <f>IF(AND(E1791&gt;=H1791,E1792&gt;=E1791),E1791*(1+'Trading Model'!$E$13),IF(AND(E1792&lt;E1791,E1791&gt;=H1791),E1792*(1+'Trading Model'!$E$13),H1791))</f>
        <v>27.698998950000004</v>
      </c>
      <c r="I1792" s="198">
        <f>IF(K1792&gt;0,E1792*(1-'Trading Model'!E1802),IF(E1792&lt;I1791,I1791*(1-'Trading Model'!$E$14),I1791))</f>
        <v>8.9840153609188427</v>
      </c>
      <c r="J1792" s="198">
        <f t="shared" si="223"/>
        <v>0</v>
      </c>
      <c r="K1792" s="198">
        <f t="shared" si="218"/>
        <v>0</v>
      </c>
      <c r="L1792" s="198">
        <f>COUNTIF(J1792:K1792,"&lt;&gt;0")*-'Trading Model'!$E$15</f>
        <v>0</v>
      </c>
      <c r="M1792" s="198">
        <f t="shared" si="216"/>
        <v>0</v>
      </c>
      <c r="N1792" s="75">
        <f t="shared" si="219"/>
        <v>45</v>
      </c>
      <c r="O1792" s="202">
        <f t="shared" si="220"/>
        <v>0</v>
      </c>
      <c r="P1792" s="199">
        <f t="shared" si="217"/>
        <v>0</v>
      </c>
      <c r="Q1792" s="203">
        <f t="shared" si="221"/>
        <v>11.70000000000138</v>
      </c>
      <c r="R1792" s="201">
        <f>E1792/B1788-1</f>
        <v>1.2098895318253478E-2</v>
      </c>
      <c r="S1792" s="201">
        <f t="shared" si="222"/>
        <v>-1.1305190714552493E-2</v>
      </c>
    </row>
    <row r="1793" spans="1:19">
      <c r="A1793" s="196">
        <v>42570</v>
      </c>
      <c r="B1793" s="122">
        <v>19.040001</v>
      </c>
      <c r="C1793" s="122">
        <v>19.379999000000002</v>
      </c>
      <c r="D1793" s="122">
        <v>19.040001</v>
      </c>
      <c r="E1793" s="122">
        <v>19.219999000000001</v>
      </c>
      <c r="F1793" s="122">
        <v>16.558579999999999</v>
      </c>
      <c r="G1793" s="197">
        <v>97800</v>
      </c>
      <c r="H1793" s="198">
        <f>IF(AND(E1792&gt;=H1792,E1793&gt;=E1792),E1792*(1+'Trading Model'!$E$13),IF(AND(E1793&lt;E1792,E1792&gt;=H1792),E1793*(1+'Trading Model'!$E$13),H1792))</f>
        <v>27.698998950000004</v>
      </c>
      <c r="I1793" s="198">
        <f>IF(K1793&gt;0,E1793*(1-'Trading Model'!E1803),IF(E1793&lt;I1792,I1792*(1-'Trading Model'!$E$14),I1792))</f>
        <v>8.9840153609188427</v>
      </c>
      <c r="J1793" s="198">
        <f t="shared" si="223"/>
        <v>0</v>
      </c>
      <c r="K1793" s="198">
        <f t="shared" si="218"/>
        <v>0</v>
      </c>
      <c r="L1793" s="198">
        <f>COUNTIF(J1793:K1793,"&lt;&gt;0")*-'Trading Model'!$E$15</f>
        <v>0</v>
      </c>
      <c r="M1793" s="198">
        <f t="shared" si="216"/>
        <v>0</v>
      </c>
      <c r="N1793" s="75">
        <f t="shared" si="219"/>
        <v>45</v>
      </c>
      <c r="O1793" s="202">
        <f t="shared" si="220"/>
        <v>0</v>
      </c>
      <c r="P1793" s="199">
        <f t="shared" si="217"/>
        <v>0</v>
      </c>
      <c r="Q1793" s="203">
        <f t="shared" si="221"/>
        <v>11.60000000000138</v>
      </c>
      <c r="R1793" s="160" t="s">
        <v>55</v>
      </c>
      <c r="S1793" s="201">
        <f t="shared" si="222"/>
        <v>-1.0395530145528298E-3</v>
      </c>
    </row>
    <row r="1794" spans="1:19">
      <c r="A1794" s="196">
        <v>42571</v>
      </c>
      <c r="B1794" s="122">
        <v>19.110001</v>
      </c>
      <c r="C1794" s="122">
        <v>19.299999</v>
      </c>
      <c r="D1794" s="122">
        <v>18.899999999999999</v>
      </c>
      <c r="E1794" s="122">
        <v>18.91</v>
      </c>
      <c r="F1794" s="122">
        <v>16.291508</v>
      </c>
      <c r="G1794" s="197">
        <v>106800</v>
      </c>
      <c r="H1794" s="198">
        <f>IF(AND(E1793&gt;=H1793,E1794&gt;=E1793),E1793*(1+'Trading Model'!$E$13),IF(AND(E1794&lt;E1793,E1793&gt;=H1793),E1794*(1+'Trading Model'!$E$13),H1793))</f>
        <v>27.698998950000004</v>
      </c>
      <c r="I1794" s="198">
        <f>IF(K1794&gt;0,E1794*(1-'Trading Model'!E1804),IF(E1794&lt;I1793,I1793*(1-'Trading Model'!$E$14),I1793))</f>
        <v>8.9840153609188427</v>
      </c>
      <c r="J1794" s="198">
        <f t="shared" si="223"/>
        <v>0</v>
      </c>
      <c r="K1794" s="198">
        <f t="shared" si="218"/>
        <v>0</v>
      </c>
      <c r="L1794" s="198">
        <f>COUNTIF(J1794:K1794,"&lt;&gt;0")*-'Trading Model'!$E$15</f>
        <v>0</v>
      </c>
      <c r="M1794" s="198">
        <f t="shared" si="216"/>
        <v>0</v>
      </c>
      <c r="N1794" s="75">
        <f t="shared" si="219"/>
        <v>45</v>
      </c>
      <c r="O1794" s="202">
        <f t="shared" si="220"/>
        <v>0</v>
      </c>
      <c r="P1794" s="199">
        <f t="shared" si="217"/>
        <v>0</v>
      </c>
      <c r="Q1794" s="203">
        <f t="shared" si="221"/>
        <v>11.50000000000138</v>
      </c>
      <c r="R1794" s="203" t="s">
        <v>55</v>
      </c>
      <c r="S1794" s="201">
        <f t="shared" si="222"/>
        <v>-1.612898106810523E-2</v>
      </c>
    </row>
    <row r="1795" spans="1:19">
      <c r="A1795" s="196">
        <v>42572</v>
      </c>
      <c r="B1795" s="122">
        <v>18.82</v>
      </c>
      <c r="C1795" s="122">
        <v>19.379999000000002</v>
      </c>
      <c r="D1795" s="122">
        <v>18.649999999999999</v>
      </c>
      <c r="E1795" s="122">
        <v>19.149999999999999</v>
      </c>
      <c r="F1795" s="122">
        <v>16.498276000000001</v>
      </c>
      <c r="G1795" s="197">
        <v>100200</v>
      </c>
      <c r="H1795" s="198">
        <f>IF(AND(E1794&gt;=H1794,E1795&gt;=E1794),E1794*(1+'Trading Model'!$E$13),IF(AND(E1795&lt;E1794,E1794&gt;=H1794),E1795*(1+'Trading Model'!$E$13),H1794))</f>
        <v>27.698998950000004</v>
      </c>
      <c r="I1795" s="198">
        <f>IF(K1795&gt;0,E1795*(1-'Trading Model'!E1805),IF(E1795&lt;I1794,I1794*(1-'Trading Model'!$E$14),I1794))</f>
        <v>8.9840153609188427</v>
      </c>
      <c r="J1795" s="198">
        <f t="shared" si="223"/>
        <v>0</v>
      </c>
      <c r="K1795" s="198">
        <f t="shared" si="218"/>
        <v>0</v>
      </c>
      <c r="L1795" s="198">
        <f>COUNTIF(J1795:K1795,"&lt;&gt;0")*-'Trading Model'!$E$15</f>
        <v>0</v>
      </c>
      <c r="M1795" s="198">
        <f t="shared" ref="M1795:M1858" si="224">SUM(J1795:L1795)</f>
        <v>0</v>
      </c>
      <c r="N1795" s="75">
        <f t="shared" si="219"/>
        <v>45</v>
      </c>
      <c r="O1795" s="202">
        <f t="shared" si="220"/>
        <v>0</v>
      </c>
      <c r="P1795" s="199">
        <f t="shared" ref="P1795:P1858" si="225">IFERROR(VLOOKUP(A1795,Dividends,2,FALSE),$U$1)</f>
        <v>0</v>
      </c>
      <c r="Q1795" s="203">
        <f t="shared" si="221"/>
        <v>11.50000000000138</v>
      </c>
      <c r="R1795" s="203" t="s">
        <v>55</v>
      </c>
      <c r="S1795" s="201">
        <f t="shared" si="222"/>
        <v>1.2691697514542577E-2</v>
      </c>
    </row>
    <row r="1796" spans="1:19">
      <c r="A1796" s="196">
        <v>42573</v>
      </c>
      <c r="B1796" s="122">
        <v>19.010000000000002</v>
      </c>
      <c r="C1796" s="122">
        <v>19.350000000000001</v>
      </c>
      <c r="D1796" s="122">
        <v>18.850000000000001</v>
      </c>
      <c r="E1796" s="122">
        <v>18.98</v>
      </c>
      <c r="F1796" s="122">
        <v>16.351811999999999</v>
      </c>
      <c r="G1796" s="197">
        <v>60600</v>
      </c>
      <c r="H1796" s="198">
        <f>IF(AND(E1795&gt;=H1795,E1796&gt;=E1795),E1795*(1+'Trading Model'!$E$13),IF(AND(E1796&lt;E1795,E1795&gt;=H1795),E1796*(1+'Trading Model'!$E$13),H1795))</f>
        <v>27.698998950000004</v>
      </c>
      <c r="I1796" s="198">
        <f>IF(K1796&gt;0,E1796*(1-'Trading Model'!E1806),IF(E1796&lt;I1795,I1795*(1-'Trading Model'!$E$14),I1795))</f>
        <v>8.9840153609188427</v>
      </c>
      <c r="J1796" s="198">
        <f t="shared" si="223"/>
        <v>0</v>
      </c>
      <c r="K1796" s="198">
        <f t="shared" ref="K1796:K1859" si="226">IF(E1796&gt;=H1796,E1796,0)</f>
        <v>0</v>
      </c>
      <c r="L1796" s="198">
        <f>COUNTIF(J1796:K1796,"&lt;&gt;0")*-'Trading Model'!$E$15</f>
        <v>0</v>
      </c>
      <c r="M1796" s="198">
        <f t="shared" si="224"/>
        <v>0</v>
      </c>
      <c r="N1796" s="75">
        <f t="shared" ref="N1796:N1859" si="227">IF(AND(J1796&lt;0,K1796&gt;0),N1795,(IF(J1796&lt;0,N1795+1,IF(K1796&gt;0,N1795+1,N1795))))</f>
        <v>45</v>
      </c>
      <c r="O1796" s="202">
        <f t="shared" ref="O1796:O1859" si="228">P1796</f>
        <v>0</v>
      </c>
      <c r="P1796" s="199">
        <f t="shared" si="225"/>
        <v>0</v>
      </c>
      <c r="Q1796" s="203">
        <f t="shared" ref="Q1796:Q1859" si="229">IF(E1796&lt;E1795,Q1795-0.1,Q1795)</f>
        <v>11.400000000001381</v>
      </c>
      <c r="R1796" s="203" t="s">
        <v>55</v>
      </c>
      <c r="S1796" s="201">
        <f t="shared" ref="S1796:S1859" si="230">E1796/E1795-1</f>
        <v>-8.8772845953001278E-3</v>
      </c>
    </row>
    <row r="1797" spans="1:19">
      <c r="A1797" s="196">
        <v>42576</v>
      </c>
      <c r="B1797" s="122">
        <v>19.129999000000002</v>
      </c>
      <c r="C1797" s="122">
        <v>19.5</v>
      </c>
      <c r="D1797" s="122">
        <v>18.739999999999998</v>
      </c>
      <c r="E1797" s="122">
        <v>18.850000000000001</v>
      </c>
      <c r="F1797" s="122">
        <v>16.239815</v>
      </c>
      <c r="G1797" s="197">
        <v>75400</v>
      </c>
      <c r="H1797" s="198">
        <f>IF(AND(E1796&gt;=H1796,E1797&gt;=E1796),E1796*(1+'Trading Model'!$E$13),IF(AND(E1797&lt;E1796,E1796&gt;=H1796),E1797*(1+'Trading Model'!$E$13),H1796))</f>
        <v>27.698998950000004</v>
      </c>
      <c r="I1797" s="198">
        <f>IF(K1797&gt;0,E1797*(1-'Trading Model'!E1807),IF(E1797&lt;I1796,I1796*(1-'Trading Model'!$E$14),I1796))</f>
        <v>8.9840153609188427</v>
      </c>
      <c r="J1797" s="198">
        <f t="shared" ref="J1797:J1860" si="231">IF(E1797&gt;=H1797,-E1797,IF(E1797&lt;=I1796,-E1797,0))</f>
        <v>0</v>
      </c>
      <c r="K1797" s="198">
        <f t="shared" si="226"/>
        <v>0</v>
      </c>
      <c r="L1797" s="198">
        <f>COUNTIF(J1797:K1797,"&lt;&gt;0")*-'Trading Model'!$E$15</f>
        <v>0</v>
      </c>
      <c r="M1797" s="198">
        <f t="shared" si="224"/>
        <v>0</v>
      </c>
      <c r="N1797" s="75">
        <f t="shared" si="227"/>
        <v>45</v>
      </c>
      <c r="O1797" s="202">
        <f t="shared" si="228"/>
        <v>0</v>
      </c>
      <c r="P1797" s="199">
        <f t="shared" si="225"/>
        <v>0</v>
      </c>
      <c r="Q1797" s="203">
        <f t="shared" si="229"/>
        <v>11.300000000001381</v>
      </c>
      <c r="R1797" s="201">
        <f>E1797/B1793-1</f>
        <v>-9.9790435935375177E-3</v>
      </c>
      <c r="S1797" s="201">
        <f t="shared" si="230"/>
        <v>-6.849315068493067E-3</v>
      </c>
    </row>
    <row r="1798" spans="1:19">
      <c r="A1798" s="196">
        <v>42577</v>
      </c>
      <c r="B1798" s="122">
        <v>18.610001</v>
      </c>
      <c r="C1798" s="122">
        <v>19.129999000000002</v>
      </c>
      <c r="D1798" s="122">
        <v>18.610001</v>
      </c>
      <c r="E1798" s="122">
        <v>18.860001</v>
      </c>
      <c r="F1798" s="122">
        <v>16.248429999999999</v>
      </c>
      <c r="G1798" s="197">
        <v>55000</v>
      </c>
      <c r="H1798" s="198">
        <f>IF(AND(E1797&gt;=H1797,E1798&gt;=E1797),E1797*(1+'Trading Model'!$E$13),IF(AND(E1798&lt;E1797,E1797&gt;=H1797),E1798*(1+'Trading Model'!$E$13),H1797))</f>
        <v>27.698998950000004</v>
      </c>
      <c r="I1798" s="198">
        <f>IF(K1798&gt;0,E1798*(1-'Trading Model'!E1808),IF(E1798&lt;I1797,I1797*(1-'Trading Model'!$E$14),I1797))</f>
        <v>8.9840153609188427</v>
      </c>
      <c r="J1798" s="198">
        <f t="shared" si="231"/>
        <v>0</v>
      </c>
      <c r="K1798" s="198">
        <f t="shared" si="226"/>
        <v>0</v>
      </c>
      <c r="L1798" s="198">
        <f>COUNTIF(J1798:K1798,"&lt;&gt;0")*-'Trading Model'!$E$15</f>
        <v>0</v>
      </c>
      <c r="M1798" s="198">
        <f t="shared" si="224"/>
        <v>0</v>
      </c>
      <c r="N1798" s="75">
        <f t="shared" si="227"/>
        <v>45</v>
      </c>
      <c r="O1798" s="202">
        <f t="shared" si="228"/>
        <v>0</v>
      </c>
      <c r="P1798" s="199">
        <f t="shared" si="225"/>
        <v>0</v>
      </c>
      <c r="Q1798" s="203">
        <f t="shared" si="229"/>
        <v>11.300000000001381</v>
      </c>
      <c r="R1798" s="160" t="s">
        <v>55</v>
      </c>
      <c r="S1798" s="201">
        <f t="shared" si="230"/>
        <v>5.3055702917759184E-4</v>
      </c>
    </row>
    <row r="1799" spans="1:19">
      <c r="A1799" s="196">
        <v>42578</v>
      </c>
      <c r="B1799" s="122">
        <v>18.860001</v>
      </c>
      <c r="C1799" s="122">
        <v>19.450001</v>
      </c>
      <c r="D1799" s="122">
        <v>18.549999</v>
      </c>
      <c r="E1799" s="122">
        <v>19.41</v>
      </c>
      <c r="F1799" s="122">
        <v>16.722270999999999</v>
      </c>
      <c r="G1799" s="197">
        <v>126700</v>
      </c>
      <c r="H1799" s="198">
        <f>IF(AND(E1798&gt;=H1798,E1799&gt;=E1798),E1798*(1+'Trading Model'!$E$13),IF(AND(E1799&lt;E1798,E1798&gt;=H1798),E1799*(1+'Trading Model'!$E$13),H1798))</f>
        <v>27.698998950000004</v>
      </c>
      <c r="I1799" s="198">
        <f>IF(K1799&gt;0,E1799*(1-'Trading Model'!E1809),IF(E1799&lt;I1798,I1798*(1-'Trading Model'!$E$14),I1798))</f>
        <v>8.9840153609188427</v>
      </c>
      <c r="J1799" s="198">
        <f t="shared" si="231"/>
        <v>0</v>
      </c>
      <c r="K1799" s="198">
        <f t="shared" si="226"/>
        <v>0</v>
      </c>
      <c r="L1799" s="198">
        <f>COUNTIF(J1799:K1799,"&lt;&gt;0")*-'Trading Model'!$E$15</f>
        <v>0</v>
      </c>
      <c r="M1799" s="198">
        <f t="shared" si="224"/>
        <v>0</v>
      </c>
      <c r="N1799" s="75">
        <f t="shared" si="227"/>
        <v>45</v>
      </c>
      <c r="O1799" s="202">
        <f t="shared" si="228"/>
        <v>0</v>
      </c>
      <c r="P1799" s="199">
        <f t="shared" si="225"/>
        <v>0</v>
      </c>
      <c r="Q1799" s="203">
        <f t="shared" si="229"/>
        <v>11.300000000001381</v>
      </c>
      <c r="R1799" s="203" t="s">
        <v>55</v>
      </c>
      <c r="S1799" s="201">
        <f t="shared" si="230"/>
        <v>2.9162193575705597E-2</v>
      </c>
    </row>
    <row r="1800" spans="1:19">
      <c r="A1800" s="196">
        <v>42579</v>
      </c>
      <c r="B1800" s="122">
        <v>19.309999000000001</v>
      </c>
      <c r="C1800" s="122">
        <v>19.309999000000001</v>
      </c>
      <c r="D1800" s="122">
        <v>18.670000000000002</v>
      </c>
      <c r="E1800" s="122">
        <v>18.780000999999999</v>
      </c>
      <c r="F1800" s="122">
        <v>16.179507999999998</v>
      </c>
      <c r="G1800" s="197">
        <v>62000</v>
      </c>
      <c r="H1800" s="198">
        <f>IF(AND(E1799&gt;=H1799,E1800&gt;=E1799),E1799*(1+'Trading Model'!$E$13),IF(AND(E1800&lt;E1799,E1799&gt;=H1799),E1800*(1+'Trading Model'!$E$13),H1799))</f>
        <v>27.698998950000004</v>
      </c>
      <c r="I1800" s="198">
        <f>IF(K1800&gt;0,E1800*(1-'Trading Model'!E1810),IF(E1800&lt;I1799,I1799*(1-'Trading Model'!$E$14),I1799))</f>
        <v>8.9840153609188427</v>
      </c>
      <c r="J1800" s="198">
        <f t="shared" si="231"/>
        <v>0</v>
      </c>
      <c r="K1800" s="198">
        <f t="shared" si="226"/>
        <v>0</v>
      </c>
      <c r="L1800" s="198">
        <f>COUNTIF(J1800:K1800,"&lt;&gt;0")*-'Trading Model'!$E$15</f>
        <v>0</v>
      </c>
      <c r="M1800" s="198">
        <f t="shared" si="224"/>
        <v>0</v>
      </c>
      <c r="N1800" s="75">
        <f t="shared" si="227"/>
        <v>45</v>
      </c>
      <c r="O1800" s="202">
        <f t="shared" si="228"/>
        <v>0</v>
      </c>
      <c r="P1800" s="199">
        <f t="shared" si="225"/>
        <v>0</v>
      </c>
      <c r="Q1800" s="203">
        <f t="shared" si="229"/>
        <v>11.200000000001381</v>
      </c>
      <c r="R1800" s="203" t="s">
        <v>55</v>
      </c>
      <c r="S1800" s="201">
        <f t="shared" si="230"/>
        <v>-3.2457444616177278E-2</v>
      </c>
    </row>
    <row r="1801" spans="1:19">
      <c r="A1801" s="196">
        <v>42580</v>
      </c>
      <c r="B1801" s="122">
        <v>18.82</v>
      </c>
      <c r="C1801" s="122">
        <v>19.010000000000002</v>
      </c>
      <c r="D1801" s="122">
        <v>18.57</v>
      </c>
      <c r="E1801" s="122">
        <v>18.91</v>
      </c>
      <c r="F1801" s="122">
        <v>16.291508</v>
      </c>
      <c r="G1801" s="197">
        <v>36500</v>
      </c>
      <c r="H1801" s="198">
        <f>IF(AND(E1800&gt;=H1800,E1801&gt;=E1800),E1800*(1+'Trading Model'!$E$13),IF(AND(E1801&lt;E1800,E1800&gt;=H1800),E1801*(1+'Trading Model'!$E$13),H1800))</f>
        <v>27.698998950000004</v>
      </c>
      <c r="I1801" s="198">
        <f>IF(K1801&gt;0,E1801*(1-'Trading Model'!E1811),IF(E1801&lt;I1800,I1800*(1-'Trading Model'!$E$14),I1800))</f>
        <v>8.9840153609188427</v>
      </c>
      <c r="J1801" s="198">
        <f t="shared" si="231"/>
        <v>0</v>
      </c>
      <c r="K1801" s="198">
        <f t="shared" si="226"/>
        <v>0</v>
      </c>
      <c r="L1801" s="198">
        <f>COUNTIF(J1801:K1801,"&lt;&gt;0")*-'Trading Model'!$E$15</f>
        <v>0</v>
      </c>
      <c r="M1801" s="198">
        <f t="shared" si="224"/>
        <v>0</v>
      </c>
      <c r="N1801" s="75">
        <f t="shared" si="227"/>
        <v>45</v>
      </c>
      <c r="O1801" s="202">
        <f t="shared" si="228"/>
        <v>0</v>
      </c>
      <c r="P1801" s="199">
        <f t="shared" si="225"/>
        <v>0</v>
      </c>
      <c r="Q1801" s="203">
        <f t="shared" si="229"/>
        <v>11.200000000001381</v>
      </c>
      <c r="R1801" s="203" t="s">
        <v>55</v>
      </c>
      <c r="S1801" s="201">
        <f t="shared" si="230"/>
        <v>6.9222041042491522E-3</v>
      </c>
    </row>
    <row r="1802" spans="1:19">
      <c r="A1802" s="196">
        <v>42583</v>
      </c>
      <c r="B1802" s="122">
        <v>18.93</v>
      </c>
      <c r="C1802" s="122">
        <v>18.950001</v>
      </c>
      <c r="D1802" s="122">
        <v>18.540001</v>
      </c>
      <c r="E1802" s="122">
        <v>18.600000000000001</v>
      </c>
      <c r="F1802" s="122">
        <v>16.024432999999998</v>
      </c>
      <c r="G1802" s="197">
        <v>40200</v>
      </c>
      <c r="H1802" s="198">
        <f>IF(AND(E1801&gt;=H1801,E1802&gt;=E1801),E1801*(1+'Trading Model'!$E$13),IF(AND(E1802&lt;E1801,E1801&gt;=H1801),E1802*(1+'Trading Model'!$E$13),H1801))</f>
        <v>27.698998950000004</v>
      </c>
      <c r="I1802" s="198">
        <f>IF(K1802&gt;0,E1802*(1-'Trading Model'!E1812),IF(E1802&lt;I1801,I1801*(1-'Trading Model'!$E$14),I1801))</f>
        <v>8.9840153609188427</v>
      </c>
      <c r="J1802" s="198">
        <f t="shared" si="231"/>
        <v>0</v>
      </c>
      <c r="K1802" s="198">
        <f t="shared" si="226"/>
        <v>0</v>
      </c>
      <c r="L1802" s="198">
        <f>COUNTIF(J1802:K1802,"&lt;&gt;0")*-'Trading Model'!$E$15</f>
        <v>0</v>
      </c>
      <c r="M1802" s="198">
        <f t="shared" si="224"/>
        <v>0</v>
      </c>
      <c r="N1802" s="75">
        <f t="shared" si="227"/>
        <v>45</v>
      </c>
      <c r="O1802" s="202">
        <f t="shared" si="228"/>
        <v>0</v>
      </c>
      <c r="P1802" s="199">
        <f t="shared" si="225"/>
        <v>0</v>
      </c>
      <c r="Q1802" s="203">
        <f t="shared" si="229"/>
        <v>11.100000000001382</v>
      </c>
      <c r="R1802" s="201">
        <f>E1802/B1798-1</f>
        <v>-5.3739921883932951E-4</v>
      </c>
      <c r="S1802" s="201">
        <f t="shared" si="230"/>
        <v>-1.6393442622950727E-2</v>
      </c>
    </row>
    <row r="1803" spans="1:19">
      <c r="A1803" s="196">
        <v>42584</v>
      </c>
      <c r="B1803" s="122">
        <v>18.66</v>
      </c>
      <c r="C1803" s="122">
        <v>18.870000999999998</v>
      </c>
      <c r="D1803" s="122">
        <v>18.200001</v>
      </c>
      <c r="E1803" s="122">
        <v>18.200001</v>
      </c>
      <c r="F1803" s="122">
        <v>15.679824</v>
      </c>
      <c r="G1803" s="197">
        <v>53500</v>
      </c>
      <c r="H1803" s="198">
        <f>IF(AND(E1802&gt;=H1802,E1803&gt;=E1802),E1802*(1+'Trading Model'!$E$13),IF(AND(E1803&lt;E1802,E1802&gt;=H1802),E1803*(1+'Trading Model'!$E$13),H1802))</f>
        <v>27.698998950000004</v>
      </c>
      <c r="I1803" s="198">
        <f>IF(K1803&gt;0,E1803*(1-'Trading Model'!E1813),IF(E1803&lt;I1802,I1802*(1-'Trading Model'!$E$14),I1802))</f>
        <v>8.9840153609188427</v>
      </c>
      <c r="J1803" s="198">
        <f t="shared" si="231"/>
        <v>0</v>
      </c>
      <c r="K1803" s="198">
        <f t="shared" si="226"/>
        <v>0</v>
      </c>
      <c r="L1803" s="198">
        <f>COUNTIF(J1803:K1803,"&lt;&gt;0")*-'Trading Model'!$E$15</f>
        <v>0</v>
      </c>
      <c r="M1803" s="198">
        <f t="shared" si="224"/>
        <v>0</v>
      </c>
      <c r="N1803" s="75">
        <f t="shared" si="227"/>
        <v>45</v>
      </c>
      <c r="O1803" s="202">
        <f t="shared" si="228"/>
        <v>0</v>
      </c>
      <c r="P1803" s="199">
        <f t="shared" si="225"/>
        <v>0</v>
      </c>
      <c r="Q1803" s="203">
        <f t="shared" si="229"/>
        <v>11.000000000001382</v>
      </c>
      <c r="R1803" s="160" t="s">
        <v>55</v>
      </c>
      <c r="S1803" s="201">
        <f t="shared" si="230"/>
        <v>-2.1505322580645192E-2</v>
      </c>
    </row>
    <row r="1804" spans="1:19">
      <c r="A1804" s="196">
        <v>42585</v>
      </c>
      <c r="B1804" s="122">
        <v>18.290001</v>
      </c>
      <c r="C1804" s="122">
        <v>18.860001</v>
      </c>
      <c r="D1804" s="122">
        <v>18.129999000000002</v>
      </c>
      <c r="E1804" s="122">
        <v>18.43</v>
      </c>
      <c r="F1804" s="122">
        <v>15.877972</v>
      </c>
      <c r="G1804" s="197">
        <v>92300</v>
      </c>
      <c r="H1804" s="198">
        <f>IF(AND(E1803&gt;=H1803,E1804&gt;=E1803),E1803*(1+'Trading Model'!$E$13),IF(AND(E1804&lt;E1803,E1803&gt;=H1803),E1804*(1+'Trading Model'!$E$13),H1803))</f>
        <v>27.698998950000004</v>
      </c>
      <c r="I1804" s="198">
        <f>IF(K1804&gt;0,E1804*(1-'Trading Model'!E1814),IF(E1804&lt;I1803,I1803*(1-'Trading Model'!$E$14),I1803))</f>
        <v>8.9840153609188427</v>
      </c>
      <c r="J1804" s="198">
        <f t="shared" si="231"/>
        <v>0</v>
      </c>
      <c r="K1804" s="198">
        <f t="shared" si="226"/>
        <v>0</v>
      </c>
      <c r="L1804" s="198">
        <f>COUNTIF(J1804:K1804,"&lt;&gt;0")*-'Trading Model'!$E$15</f>
        <v>0</v>
      </c>
      <c r="M1804" s="198">
        <f t="shared" si="224"/>
        <v>0</v>
      </c>
      <c r="N1804" s="75">
        <f t="shared" si="227"/>
        <v>45</v>
      </c>
      <c r="O1804" s="202">
        <f t="shared" si="228"/>
        <v>0</v>
      </c>
      <c r="P1804" s="199">
        <f t="shared" si="225"/>
        <v>0</v>
      </c>
      <c r="Q1804" s="203">
        <f t="shared" si="229"/>
        <v>11.000000000001382</v>
      </c>
      <c r="R1804" s="203" t="s">
        <v>55</v>
      </c>
      <c r="S1804" s="201">
        <f t="shared" si="230"/>
        <v>1.2637306997950182E-2</v>
      </c>
    </row>
    <row r="1805" spans="1:19">
      <c r="A1805" s="196">
        <v>42586</v>
      </c>
      <c r="B1805" s="122">
        <v>18.469999000000001</v>
      </c>
      <c r="C1805" s="122">
        <v>18.629999000000002</v>
      </c>
      <c r="D1805" s="122">
        <v>18.100000000000001</v>
      </c>
      <c r="E1805" s="122">
        <v>18.360001</v>
      </c>
      <c r="F1805" s="122">
        <v>15.817667999999999</v>
      </c>
      <c r="G1805" s="197">
        <v>52400</v>
      </c>
      <c r="H1805" s="198">
        <f>IF(AND(E1804&gt;=H1804,E1805&gt;=E1804),E1804*(1+'Trading Model'!$E$13),IF(AND(E1805&lt;E1804,E1804&gt;=H1804),E1805*(1+'Trading Model'!$E$13),H1804))</f>
        <v>27.698998950000004</v>
      </c>
      <c r="I1805" s="198">
        <f>IF(K1805&gt;0,E1805*(1-'Trading Model'!E1815),IF(E1805&lt;I1804,I1804*(1-'Trading Model'!$E$14),I1804))</f>
        <v>8.9840153609188427</v>
      </c>
      <c r="J1805" s="198">
        <f t="shared" si="231"/>
        <v>0</v>
      </c>
      <c r="K1805" s="198">
        <f t="shared" si="226"/>
        <v>0</v>
      </c>
      <c r="L1805" s="198">
        <f>COUNTIF(J1805:K1805,"&lt;&gt;0")*-'Trading Model'!$E$15</f>
        <v>0</v>
      </c>
      <c r="M1805" s="198">
        <f t="shared" si="224"/>
        <v>0</v>
      </c>
      <c r="N1805" s="75">
        <f t="shared" si="227"/>
        <v>45</v>
      </c>
      <c r="O1805" s="202">
        <f t="shared" si="228"/>
        <v>0</v>
      </c>
      <c r="P1805" s="199">
        <f t="shared" si="225"/>
        <v>0</v>
      </c>
      <c r="Q1805" s="203">
        <f t="shared" si="229"/>
        <v>10.900000000001382</v>
      </c>
      <c r="R1805" s="203" t="s">
        <v>55</v>
      </c>
      <c r="S1805" s="201">
        <f t="shared" si="230"/>
        <v>-3.7981009224090645E-3</v>
      </c>
    </row>
    <row r="1806" spans="1:19">
      <c r="A1806" s="196">
        <v>42587</v>
      </c>
      <c r="B1806" s="122">
        <v>18.57</v>
      </c>
      <c r="C1806" s="122">
        <v>18.57</v>
      </c>
      <c r="D1806" s="122">
        <v>18.07</v>
      </c>
      <c r="E1806" s="122">
        <v>18.219999000000001</v>
      </c>
      <c r="F1806" s="122">
        <v>15.697050000000001</v>
      </c>
      <c r="G1806" s="197">
        <v>55000</v>
      </c>
      <c r="H1806" s="198">
        <f>IF(AND(E1805&gt;=H1805,E1806&gt;=E1805),E1805*(1+'Trading Model'!$E$13),IF(AND(E1806&lt;E1805,E1805&gt;=H1805),E1806*(1+'Trading Model'!$E$13),H1805))</f>
        <v>27.698998950000004</v>
      </c>
      <c r="I1806" s="198">
        <f>IF(K1806&gt;0,E1806*(1-'Trading Model'!E1816),IF(E1806&lt;I1805,I1805*(1-'Trading Model'!$E$14),I1805))</f>
        <v>8.9840153609188427</v>
      </c>
      <c r="J1806" s="198">
        <f t="shared" si="231"/>
        <v>0</v>
      </c>
      <c r="K1806" s="198">
        <f t="shared" si="226"/>
        <v>0</v>
      </c>
      <c r="L1806" s="198">
        <f>COUNTIF(J1806:K1806,"&lt;&gt;0")*-'Trading Model'!$E$15</f>
        <v>0</v>
      </c>
      <c r="M1806" s="198">
        <f t="shared" si="224"/>
        <v>0</v>
      </c>
      <c r="N1806" s="75">
        <f t="shared" si="227"/>
        <v>45</v>
      </c>
      <c r="O1806" s="202">
        <f t="shared" si="228"/>
        <v>0</v>
      </c>
      <c r="P1806" s="199">
        <f t="shared" si="225"/>
        <v>0</v>
      </c>
      <c r="Q1806" s="203">
        <f t="shared" si="229"/>
        <v>10.800000000001383</v>
      </c>
      <c r="R1806" s="203" t="s">
        <v>55</v>
      </c>
      <c r="S1806" s="201">
        <f t="shared" si="230"/>
        <v>-7.6253808482907859E-3</v>
      </c>
    </row>
    <row r="1807" spans="1:19">
      <c r="A1807" s="196">
        <v>42590</v>
      </c>
      <c r="B1807" s="122">
        <v>18.18</v>
      </c>
      <c r="C1807" s="122">
        <v>18.510000000000002</v>
      </c>
      <c r="D1807" s="122">
        <v>18.16</v>
      </c>
      <c r="E1807" s="122">
        <v>18.34</v>
      </c>
      <c r="F1807" s="122">
        <v>15.800435999999999</v>
      </c>
      <c r="G1807" s="197">
        <v>53800</v>
      </c>
      <c r="H1807" s="198">
        <f>IF(AND(E1806&gt;=H1806,E1807&gt;=E1806),E1806*(1+'Trading Model'!$E$13),IF(AND(E1807&lt;E1806,E1806&gt;=H1806),E1807*(1+'Trading Model'!$E$13),H1806))</f>
        <v>27.698998950000004</v>
      </c>
      <c r="I1807" s="198">
        <f>IF(K1807&gt;0,E1807*(1-'Trading Model'!E1817),IF(E1807&lt;I1806,I1806*(1-'Trading Model'!$E$14),I1806))</f>
        <v>8.9840153609188427</v>
      </c>
      <c r="J1807" s="198">
        <f t="shared" si="231"/>
        <v>0</v>
      </c>
      <c r="K1807" s="198">
        <f t="shared" si="226"/>
        <v>0</v>
      </c>
      <c r="L1807" s="198">
        <f>COUNTIF(J1807:K1807,"&lt;&gt;0")*-'Trading Model'!$E$15</f>
        <v>0</v>
      </c>
      <c r="M1807" s="198">
        <f t="shared" si="224"/>
        <v>0</v>
      </c>
      <c r="N1807" s="75">
        <f t="shared" si="227"/>
        <v>45</v>
      </c>
      <c r="O1807" s="202">
        <f t="shared" si="228"/>
        <v>0</v>
      </c>
      <c r="P1807" s="199">
        <f t="shared" si="225"/>
        <v>0</v>
      </c>
      <c r="Q1807" s="203">
        <f t="shared" si="229"/>
        <v>10.800000000001383</v>
      </c>
      <c r="R1807" s="201">
        <f>E1807/B1803-1</f>
        <v>-1.7148981779206873E-2</v>
      </c>
      <c r="S1807" s="201">
        <f t="shared" si="230"/>
        <v>6.5862242912306801E-3</v>
      </c>
    </row>
    <row r="1808" spans="1:19">
      <c r="A1808" s="196">
        <v>42591</v>
      </c>
      <c r="B1808" s="122">
        <v>18.489999999999998</v>
      </c>
      <c r="C1808" s="122">
        <v>18.780000999999999</v>
      </c>
      <c r="D1808" s="122">
        <v>18.16</v>
      </c>
      <c r="E1808" s="122">
        <v>18.16</v>
      </c>
      <c r="F1808" s="122">
        <v>15.645357000000001</v>
      </c>
      <c r="G1808" s="197">
        <v>63200</v>
      </c>
      <c r="H1808" s="198">
        <f>IF(AND(E1807&gt;=H1807,E1808&gt;=E1807),E1807*(1+'Trading Model'!$E$13),IF(AND(E1808&lt;E1807,E1807&gt;=H1807),E1808*(1+'Trading Model'!$E$13),H1807))</f>
        <v>27.698998950000004</v>
      </c>
      <c r="I1808" s="198">
        <f>IF(K1808&gt;0,E1808*(1-'Trading Model'!E1818),IF(E1808&lt;I1807,I1807*(1-'Trading Model'!$E$14),I1807))</f>
        <v>8.9840153609188427</v>
      </c>
      <c r="J1808" s="198">
        <f t="shared" si="231"/>
        <v>0</v>
      </c>
      <c r="K1808" s="198">
        <f t="shared" si="226"/>
        <v>0</v>
      </c>
      <c r="L1808" s="198">
        <f>COUNTIF(J1808:K1808,"&lt;&gt;0")*-'Trading Model'!$E$15</f>
        <v>0</v>
      </c>
      <c r="M1808" s="198">
        <f t="shared" si="224"/>
        <v>0</v>
      </c>
      <c r="N1808" s="75">
        <f t="shared" si="227"/>
        <v>45</v>
      </c>
      <c r="O1808" s="202">
        <f t="shared" si="228"/>
        <v>0</v>
      </c>
      <c r="P1808" s="199">
        <f t="shared" si="225"/>
        <v>0</v>
      </c>
      <c r="Q1808" s="203">
        <f t="shared" si="229"/>
        <v>10.700000000001383</v>
      </c>
      <c r="R1808" s="160" t="s">
        <v>55</v>
      </c>
      <c r="S1808" s="201">
        <f t="shared" si="230"/>
        <v>-9.8146128680479672E-3</v>
      </c>
    </row>
    <row r="1809" spans="1:19">
      <c r="A1809" s="196">
        <v>42592</v>
      </c>
      <c r="B1809" s="122">
        <v>18.16</v>
      </c>
      <c r="C1809" s="122">
        <v>18.600000000000001</v>
      </c>
      <c r="D1809" s="122">
        <v>18.16</v>
      </c>
      <c r="E1809" s="122">
        <v>18.399999999999999</v>
      </c>
      <c r="F1809" s="122">
        <v>15.852126999999999</v>
      </c>
      <c r="G1809" s="197">
        <v>27400</v>
      </c>
      <c r="H1809" s="198">
        <f>IF(AND(E1808&gt;=H1808,E1809&gt;=E1808),E1808*(1+'Trading Model'!$E$13),IF(AND(E1809&lt;E1808,E1808&gt;=H1808),E1809*(1+'Trading Model'!$E$13),H1808))</f>
        <v>27.698998950000004</v>
      </c>
      <c r="I1809" s="198">
        <f>IF(K1809&gt;0,E1809*(1-'Trading Model'!E1819),IF(E1809&lt;I1808,I1808*(1-'Trading Model'!$E$14),I1808))</f>
        <v>8.9840153609188427</v>
      </c>
      <c r="J1809" s="198">
        <f t="shared" si="231"/>
        <v>0</v>
      </c>
      <c r="K1809" s="198">
        <f t="shared" si="226"/>
        <v>0</v>
      </c>
      <c r="L1809" s="198">
        <f>COUNTIF(J1809:K1809,"&lt;&gt;0")*-'Trading Model'!$E$15</f>
        <v>0</v>
      </c>
      <c r="M1809" s="198">
        <f t="shared" si="224"/>
        <v>0</v>
      </c>
      <c r="N1809" s="75">
        <f t="shared" si="227"/>
        <v>45</v>
      </c>
      <c r="O1809" s="202">
        <f t="shared" si="228"/>
        <v>0</v>
      </c>
      <c r="P1809" s="199">
        <f t="shared" si="225"/>
        <v>0</v>
      </c>
      <c r="Q1809" s="203">
        <f t="shared" si="229"/>
        <v>10.700000000001383</v>
      </c>
      <c r="R1809" s="203" t="s">
        <v>55</v>
      </c>
      <c r="S1809" s="201">
        <f t="shared" si="230"/>
        <v>1.3215859030836885E-2</v>
      </c>
    </row>
    <row r="1810" spans="1:19">
      <c r="A1810" s="196">
        <v>42593</v>
      </c>
      <c r="B1810" s="122">
        <v>18.290001</v>
      </c>
      <c r="C1810" s="122">
        <v>18.5</v>
      </c>
      <c r="D1810" s="122">
        <v>18.16</v>
      </c>
      <c r="E1810" s="122">
        <v>18.299999</v>
      </c>
      <c r="F1810" s="122">
        <v>15.765973000000001</v>
      </c>
      <c r="G1810" s="197">
        <v>70600</v>
      </c>
      <c r="H1810" s="198">
        <f>IF(AND(E1809&gt;=H1809,E1810&gt;=E1809),E1809*(1+'Trading Model'!$E$13),IF(AND(E1810&lt;E1809,E1809&gt;=H1809),E1810*(1+'Trading Model'!$E$13),H1809))</f>
        <v>27.698998950000004</v>
      </c>
      <c r="I1810" s="198">
        <f>IF(K1810&gt;0,E1810*(1-'Trading Model'!E1820),IF(E1810&lt;I1809,I1809*(1-'Trading Model'!$E$14),I1809))</f>
        <v>8.9840153609188427</v>
      </c>
      <c r="J1810" s="198">
        <f t="shared" si="231"/>
        <v>0</v>
      </c>
      <c r="K1810" s="198">
        <f t="shared" si="226"/>
        <v>0</v>
      </c>
      <c r="L1810" s="198">
        <f>COUNTIF(J1810:K1810,"&lt;&gt;0")*-'Trading Model'!$E$15</f>
        <v>0</v>
      </c>
      <c r="M1810" s="198">
        <f t="shared" si="224"/>
        <v>0</v>
      </c>
      <c r="N1810" s="75">
        <f t="shared" si="227"/>
        <v>45</v>
      </c>
      <c r="O1810" s="202">
        <f t="shared" si="228"/>
        <v>0</v>
      </c>
      <c r="P1810" s="199">
        <f t="shared" si="225"/>
        <v>0</v>
      </c>
      <c r="Q1810" s="203">
        <f t="shared" si="229"/>
        <v>10.600000000001383</v>
      </c>
      <c r="R1810" s="203" t="s">
        <v>55</v>
      </c>
      <c r="S1810" s="201">
        <f t="shared" si="230"/>
        <v>-5.4348369565216936E-3</v>
      </c>
    </row>
    <row r="1811" spans="1:19">
      <c r="A1811" s="196">
        <v>42594</v>
      </c>
      <c r="B1811" s="122">
        <v>18.200001</v>
      </c>
      <c r="C1811" s="122">
        <v>18.329999999999998</v>
      </c>
      <c r="D1811" s="122">
        <v>18.16</v>
      </c>
      <c r="E1811" s="122">
        <v>18.170000000000002</v>
      </c>
      <c r="F1811" s="122">
        <v>15.653975000000001</v>
      </c>
      <c r="G1811" s="197">
        <v>86200</v>
      </c>
      <c r="H1811" s="198">
        <f>IF(AND(E1810&gt;=H1810,E1811&gt;=E1810),E1810*(1+'Trading Model'!$E$13),IF(AND(E1811&lt;E1810,E1810&gt;=H1810),E1811*(1+'Trading Model'!$E$13),H1810))</f>
        <v>27.698998950000004</v>
      </c>
      <c r="I1811" s="198">
        <f>IF(K1811&gt;0,E1811*(1-'Trading Model'!E1821),IF(E1811&lt;I1810,I1810*(1-'Trading Model'!$E$14),I1810))</f>
        <v>8.9840153609188427</v>
      </c>
      <c r="J1811" s="198">
        <f t="shared" si="231"/>
        <v>0</v>
      </c>
      <c r="K1811" s="198">
        <f t="shared" si="226"/>
        <v>0</v>
      </c>
      <c r="L1811" s="198">
        <f>COUNTIF(J1811:K1811,"&lt;&gt;0")*-'Trading Model'!$E$15</f>
        <v>0</v>
      </c>
      <c r="M1811" s="198">
        <f t="shared" si="224"/>
        <v>0</v>
      </c>
      <c r="N1811" s="75">
        <f t="shared" si="227"/>
        <v>45</v>
      </c>
      <c r="O1811" s="202">
        <f t="shared" si="228"/>
        <v>0</v>
      </c>
      <c r="P1811" s="199">
        <f t="shared" si="225"/>
        <v>0</v>
      </c>
      <c r="Q1811" s="203">
        <f t="shared" si="229"/>
        <v>10.500000000001384</v>
      </c>
      <c r="R1811" s="203" t="s">
        <v>55</v>
      </c>
      <c r="S1811" s="201">
        <f t="shared" si="230"/>
        <v>-7.10377087998737E-3</v>
      </c>
    </row>
    <row r="1812" spans="1:19">
      <c r="A1812" s="196">
        <v>42597</v>
      </c>
      <c r="B1812" s="122">
        <v>18.260000000000002</v>
      </c>
      <c r="C1812" s="122">
        <v>18.27</v>
      </c>
      <c r="D1812" s="122">
        <v>18.16</v>
      </c>
      <c r="E1812" s="122">
        <v>18.16</v>
      </c>
      <c r="F1812" s="122">
        <v>15.645357000000001</v>
      </c>
      <c r="G1812" s="197">
        <v>52100</v>
      </c>
      <c r="H1812" s="198">
        <f>IF(AND(E1811&gt;=H1811,E1812&gt;=E1811),E1811*(1+'Trading Model'!$E$13),IF(AND(E1812&lt;E1811,E1811&gt;=H1811),E1812*(1+'Trading Model'!$E$13),H1811))</f>
        <v>27.698998950000004</v>
      </c>
      <c r="I1812" s="198">
        <f>IF(K1812&gt;0,E1812*(1-'Trading Model'!E1822),IF(E1812&lt;I1811,I1811*(1-'Trading Model'!$E$14),I1811))</f>
        <v>8.9840153609188427</v>
      </c>
      <c r="J1812" s="198">
        <f t="shared" si="231"/>
        <v>0</v>
      </c>
      <c r="K1812" s="198">
        <f t="shared" si="226"/>
        <v>0</v>
      </c>
      <c r="L1812" s="198">
        <f>COUNTIF(J1812:K1812,"&lt;&gt;0")*-'Trading Model'!$E$15</f>
        <v>0</v>
      </c>
      <c r="M1812" s="198">
        <f t="shared" si="224"/>
        <v>0</v>
      </c>
      <c r="N1812" s="75">
        <f t="shared" si="227"/>
        <v>45</v>
      </c>
      <c r="O1812" s="202">
        <f t="shared" si="228"/>
        <v>0</v>
      </c>
      <c r="P1812" s="199">
        <f t="shared" si="225"/>
        <v>0</v>
      </c>
      <c r="Q1812" s="203">
        <f t="shared" si="229"/>
        <v>10.400000000001384</v>
      </c>
      <c r="R1812" s="201">
        <f>E1812/B1808-1</f>
        <v>-1.7847485127095664E-2</v>
      </c>
      <c r="S1812" s="201">
        <f t="shared" si="230"/>
        <v>-5.5035773252620768E-4</v>
      </c>
    </row>
    <row r="1813" spans="1:19">
      <c r="A1813" s="196">
        <v>42598</v>
      </c>
      <c r="B1813" s="122">
        <v>18.16</v>
      </c>
      <c r="C1813" s="122">
        <v>18.25</v>
      </c>
      <c r="D1813" s="122">
        <v>18.16</v>
      </c>
      <c r="E1813" s="122">
        <v>18.170000000000002</v>
      </c>
      <c r="F1813" s="122">
        <v>15.653975000000001</v>
      </c>
      <c r="G1813" s="197">
        <v>61200</v>
      </c>
      <c r="H1813" s="198">
        <f>IF(AND(E1812&gt;=H1812,E1813&gt;=E1812),E1812*(1+'Trading Model'!$E$13),IF(AND(E1813&lt;E1812,E1812&gt;=H1812),E1813*(1+'Trading Model'!$E$13),H1812))</f>
        <v>27.698998950000004</v>
      </c>
      <c r="I1813" s="198">
        <f>IF(K1813&gt;0,E1813*(1-'Trading Model'!E1823),IF(E1813&lt;I1812,I1812*(1-'Trading Model'!$E$14),I1812))</f>
        <v>8.9840153609188427</v>
      </c>
      <c r="J1813" s="198">
        <f t="shared" si="231"/>
        <v>0</v>
      </c>
      <c r="K1813" s="198">
        <f t="shared" si="226"/>
        <v>0</v>
      </c>
      <c r="L1813" s="198">
        <f>COUNTIF(J1813:K1813,"&lt;&gt;0")*-'Trading Model'!$E$15</f>
        <v>0</v>
      </c>
      <c r="M1813" s="198">
        <f t="shared" si="224"/>
        <v>0</v>
      </c>
      <c r="N1813" s="75">
        <f t="shared" si="227"/>
        <v>45</v>
      </c>
      <c r="O1813" s="202">
        <f t="shared" si="228"/>
        <v>0</v>
      </c>
      <c r="P1813" s="199">
        <f t="shared" si="225"/>
        <v>0</v>
      </c>
      <c r="Q1813" s="203">
        <f t="shared" si="229"/>
        <v>10.400000000001384</v>
      </c>
      <c r="R1813" s="160" t="s">
        <v>55</v>
      </c>
      <c r="S1813" s="201">
        <f t="shared" si="230"/>
        <v>5.5066079295151837E-4</v>
      </c>
    </row>
    <row r="1814" spans="1:19">
      <c r="A1814" s="196">
        <v>42599</v>
      </c>
      <c r="B1814" s="122">
        <v>18.16</v>
      </c>
      <c r="C1814" s="122">
        <v>18.170000000000002</v>
      </c>
      <c r="D1814" s="122">
        <v>17.84</v>
      </c>
      <c r="E1814" s="122">
        <v>18.149999999999999</v>
      </c>
      <c r="F1814" s="122">
        <v>15.636746</v>
      </c>
      <c r="G1814" s="197">
        <v>97500</v>
      </c>
      <c r="H1814" s="198">
        <f>IF(AND(E1813&gt;=H1813,E1814&gt;=E1813),E1813*(1+'Trading Model'!$E$13),IF(AND(E1814&lt;E1813,E1813&gt;=H1813),E1814*(1+'Trading Model'!$E$13),H1813))</f>
        <v>27.698998950000004</v>
      </c>
      <c r="I1814" s="198">
        <f>IF(K1814&gt;0,E1814*(1-'Trading Model'!E1824),IF(E1814&lt;I1813,I1813*(1-'Trading Model'!$E$14),I1813))</f>
        <v>8.9840153609188427</v>
      </c>
      <c r="J1814" s="198">
        <f t="shared" si="231"/>
        <v>0</v>
      </c>
      <c r="K1814" s="198">
        <f t="shared" si="226"/>
        <v>0</v>
      </c>
      <c r="L1814" s="198">
        <f>COUNTIF(J1814:K1814,"&lt;&gt;0")*-'Trading Model'!$E$15</f>
        <v>0</v>
      </c>
      <c r="M1814" s="198">
        <f t="shared" si="224"/>
        <v>0</v>
      </c>
      <c r="N1814" s="75">
        <f t="shared" si="227"/>
        <v>45</v>
      </c>
      <c r="O1814" s="202">
        <f t="shared" si="228"/>
        <v>0</v>
      </c>
      <c r="P1814" s="199">
        <f t="shared" si="225"/>
        <v>0</v>
      </c>
      <c r="Q1814" s="203">
        <f t="shared" si="229"/>
        <v>10.300000000001384</v>
      </c>
      <c r="R1814" s="203" t="s">
        <v>55</v>
      </c>
      <c r="S1814" s="201">
        <f t="shared" si="230"/>
        <v>-1.1007154650524154E-3</v>
      </c>
    </row>
    <row r="1815" spans="1:19">
      <c r="A1815" s="196">
        <v>42600</v>
      </c>
      <c r="B1815" s="122">
        <v>18.129999000000002</v>
      </c>
      <c r="C1815" s="122">
        <v>18.200001</v>
      </c>
      <c r="D1815" s="122">
        <v>18</v>
      </c>
      <c r="E1815" s="122">
        <v>18.010000000000002</v>
      </c>
      <c r="F1815" s="122">
        <v>15.516132000000001</v>
      </c>
      <c r="G1815" s="197">
        <v>50000</v>
      </c>
      <c r="H1815" s="198">
        <f>IF(AND(E1814&gt;=H1814,E1815&gt;=E1814),E1814*(1+'Trading Model'!$E$13),IF(AND(E1815&lt;E1814,E1814&gt;=H1814),E1815*(1+'Trading Model'!$E$13),H1814))</f>
        <v>27.698998950000004</v>
      </c>
      <c r="I1815" s="198">
        <f>IF(K1815&gt;0,E1815*(1-'Trading Model'!E1825),IF(E1815&lt;I1814,I1814*(1-'Trading Model'!$E$14),I1814))</f>
        <v>8.9840153609188427</v>
      </c>
      <c r="J1815" s="198">
        <f t="shared" si="231"/>
        <v>0</v>
      </c>
      <c r="K1815" s="198">
        <f t="shared" si="226"/>
        <v>0</v>
      </c>
      <c r="L1815" s="198">
        <f>COUNTIF(J1815:K1815,"&lt;&gt;0")*-'Trading Model'!$E$15</f>
        <v>0</v>
      </c>
      <c r="M1815" s="198">
        <f t="shared" si="224"/>
        <v>0</v>
      </c>
      <c r="N1815" s="75">
        <f t="shared" si="227"/>
        <v>45</v>
      </c>
      <c r="O1815" s="202">
        <f t="shared" si="228"/>
        <v>0</v>
      </c>
      <c r="P1815" s="199">
        <f t="shared" si="225"/>
        <v>0</v>
      </c>
      <c r="Q1815" s="203">
        <f t="shared" si="229"/>
        <v>10.200000000001385</v>
      </c>
      <c r="R1815" s="203" t="s">
        <v>55</v>
      </c>
      <c r="S1815" s="201">
        <f t="shared" si="230"/>
        <v>-7.7134986225894098E-3</v>
      </c>
    </row>
    <row r="1816" spans="1:19">
      <c r="A1816" s="196">
        <v>42601</v>
      </c>
      <c r="B1816" s="122">
        <v>18.010000000000002</v>
      </c>
      <c r="C1816" s="122">
        <v>18.040001</v>
      </c>
      <c r="D1816" s="122">
        <v>17.5</v>
      </c>
      <c r="E1816" s="122">
        <v>18</v>
      </c>
      <c r="F1816" s="122">
        <v>15.507515</v>
      </c>
      <c r="G1816" s="197">
        <v>48100</v>
      </c>
      <c r="H1816" s="198">
        <f>IF(AND(E1815&gt;=H1815,E1816&gt;=E1815),E1815*(1+'Trading Model'!$E$13),IF(AND(E1816&lt;E1815,E1815&gt;=H1815),E1816*(1+'Trading Model'!$E$13),H1815))</f>
        <v>27.698998950000004</v>
      </c>
      <c r="I1816" s="198">
        <f>IF(K1816&gt;0,E1816*(1-'Trading Model'!E1826),IF(E1816&lt;I1815,I1815*(1-'Trading Model'!$E$14),I1815))</f>
        <v>8.9840153609188427</v>
      </c>
      <c r="J1816" s="198">
        <f t="shared" si="231"/>
        <v>0</v>
      </c>
      <c r="K1816" s="198">
        <f t="shared" si="226"/>
        <v>0</v>
      </c>
      <c r="L1816" s="198">
        <f>COUNTIF(J1816:K1816,"&lt;&gt;0")*-'Trading Model'!$E$15</f>
        <v>0</v>
      </c>
      <c r="M1816" s="198">
        <f t="shared" si="224"/>
        <v>0</v>
      </c>
      <c r="N1816" s="75">
        <f t="shared" si="227"/>
        <v>45</v>
      </c>
      <c r="O1816" s="202">
        <f t="shared" si="228"/>
        <v>0</v>
      </c>
      <c r="P1816" s="199">
        <f t="shared" si="225"/>
        <v>0</v>
      </c>
      <c r="Q1816" s="203">
        <f t="shared" si="229"/>
        <v>10.100000000001385</v>
      </c>
      <c r="R1816" s="203" t="s">
        <v>55</v>
      </c>
      <c r="S1816" s="201">
        <f t="shared" si="230"/>
        <v>-5.5524708495291453E-4</v>
      </c>
    </row>
    <row r="1817" spans="1:19">
      <c r="A1817" s="196">
        <v>42604</v>
      </c>
      <c r="B1817" s="122">
        <v>18.149999999999999</v>
      </c>
      <c r="C1817" s="122">
        <v>18.420000000000002</v>
      </c>
      <c r="D1817" s="122">
        <v>17.899999999999999</v>
      </c>
      <c r="E1817" s="122">
        <v>18.25</v>
      </c>
      <c r="F1817" s="122">
        <v>15.722898000000001</v>
      </c>
      <c r="G1817" s="197">
        <v>94700</v>
      </c>
      <c r="H1817" s="198">
        <f>IF(AND(E1816&gt;=H1816,E1817&gt;=E1816),E1816*(1+'Trading Model'!$E$13),IF(AND(E1817&lt;E1816,E1816&gt;=H1816),E1817*(1+'Trading Model'!$E$13),H1816))</f>
        <v>27.698998950000004</v>
      </c>
      <c r="I1817" s="198">
        <f>IF(K1817&gt;0,E1817*(1-'Trading Model'!E1827),IF(E1817&lt;I1816,I1816*(1-'Trading Model'!$E$14),I1816))</f>
        <v>8.9840153609188427</v>
      </c>
      <c r="J1817" s="198">
        <f t="shared" si="231"/>
        <v>0</v>
      </c>
      <c r="K1817" s="198">
        <f t="shared" si="226"/>
        <v>0</v>
      </c>
      <c r="L1817" s="198">
        <f>COUNTIF(J1817:K1817,"&lt;&gt;0")*-'Trading Model'!$E$15</f>
        <v>0</v>
      </c>
      <c r="M1817" s="198">
        <f t="shared" si="224"/>
        <v>0</v>
      </c>
      <c r="N1817" s="75">
        <f t="shared" si="227"/>
        <v>45</v>
      </c>
      <c r="O1817" s="202">
        <f t="shared" si="228"/>
        <v>0</v>
      </c>
      <c r="P1817" s="199">
        <f t="shared" si="225"/>
        <v>0</v>
      </c>
      <c r="Q1817" s="203">
        <f t="shared" si="229"/>
        <v>10.100000000001385</v>
      </c>
      <c r="R1817" s="201">
        <f>E1817/B1813-1</f>
        <v>4.9559471365638874E-3</v>
      </c>
      <c r="S1817" s="201">
        <f t="shared" si="230"/>
        <v>1.388888888888884E-2</v>
      </c>
    </row>
    <row r="1818" spans="1:19">
      <c r="A1818" s="196">
        <v>42605</v>
      </c>
      <c r="B1818" s="122">
        <v>18</v>
      </c>
      <c r="C1818" s="122">
        <v>18.360001</v>
      </c>
      <c r="D1818" s="122">
        <v>17.959999</v>
      </c>
      <c r="E1818" s="122">
        <v>18.079999999999998</v>
      </c>
      <c r="F1818" s="122">
        <v>15.970606999999999</v>
      </c>
      <c r="G1818" s="197">
        <v>99000</v>
      </c>
      <c r="H1818" s="198">
        <f>IF(AND(E1817&gt;=H1817,E1818&gt;=E1817),E1817*(1+'Trading Model'!$E$13),IF(AND(E1818&lt;E1817,E1817&gt;=H1817),E1818*(1+'Trading Model'!$E$13),H1817))</f>
        <v>27.698998950000004</v>
      </c>
      <c r="I1818" s="198">
        <f>IF(K1818&gt;0,E1818*(1-'Trading Model'!E1828),IF(E1818&lt;I1817,I1817*(1-'Trading Model'!$E$14),I1817))</f>
        <v>8.9840153609188427</v>
      </c>
      <c r="J1818" s="198">
        <f t="shared" si="231"/>
        <v>0</v>
      </c>
      <c r="K1818" s="198">
        <f t="shared" si="226"/>
        <v>0</v>
      </c>
      <c r="L1818" s="198">
        <f>COUNTIF(J1818:K1818,"&lt;&gt;0")*-'Trading Model'!$E$15</f>
        <v>0</v>
      </c>
      <c r="M1818" s="198">
        <f t="shared" si="224"/>
        <v>0</v>
      </c>
      <c r="N1818" s="75">
        <f t="shared" si="227"/>
        <v>45</v>
      </c>
      <c r="O1818" s="202">
        <f t="shared" si="228"/>
        <v>0.45042599999999999</v>
      </c>
      <c r="P1818" s="199">
        <f t="shared" si="225"/>
        <v>0.45042599999999999</v>
      </c>
      <c r="Q1818" s="203">
        <f t="shared" si="229"/>
        <v>10.000000000001386</v>
      </c>
      <c r="R1818" s="160" t="s">
        <v>55</v>
      </c>
      <c r="S1818" s="201">
        <f t="shared" si="230"/>
        <v>-9.3150684931507799E-3</v>
      </c>
    </row>
    <row r="1819" spans="1:19">
      <c r="A1819" s="196">
        <v>42606</v>
      </c>
      <c r="B1819" s="122">
        <v>18.100000000000001</v>
      </c>
      <c r="C1819" s="122">
        <v>18.100000000000001</v>
      </c>
      <c r="D1819" s="122">
        <v>18</v>
      </c>
      <c r="E1819" s="122">
        <v>18.040001</v>
      </c>
      <c r="F1819" s="122">
        <v>15.935276</v>
      </c>
      <c r="G1819" s="197">
        <v>50700</v>
      </c>
      <c r="H1819" s="198">
        <f>IF(AND(E1818&gt;=H1818,E1819&gt;=E1818),E1818*(1+'Trading Model'!$E$13),IF(AND(E1819&lt;E1818,E1818&gt;=H1818),E1819*(1+'Trading Model'!$E$13),H1818))</f>
        <v>27.698998950000004</v>
      </c>
      <c r="I1819" s="198">
        <f>IF(K1819&gt;0,E1819*(1-'Trading Model'!E1829),IF(E1819&lt;I1818,I1818*(1-'Trading Model'!$E$14),I1818))</f>
        <v>8.9840153609188427</v>
      </c>
      <c r="J1819" s="198">
        <f t="shared" si="231"/>
        <v>0</v>
      </c>
      <c r="K1819" s="198">
        <f t="shared" si="226"/>
        <v>0</v>
      </c>
      <c r="L1819" s="198">
        <f>COUNTIF(J1819:K1819,"&lt;&gt;0")*-'Trading Model'!$E$15</f>
        <v>0</v>
      </c>
      <c r="M1819" s="198">
        <f t="shared" si="224"/>
        <v>0</v>
      </c>
      <c r="N1819" s="75">
        <f t="shared" si="227"/>
        <v>45</v>
      </c>
      <c r="O1819" s="202">
        <f t="shared" si="228"/>
        <v>0</v>
      </c>
      <c r="P1819" s="199">
        <f t="shared" si="225"/>
        <v>0</v>
      </c>
      <c r="Q1819" s="203">
        <f t="shared" si="229"/>
        <v>9.9000000000013859</v>
      </c>
      <c r="R1819" s="203" t="s">
        <v>55</v>
      </c>
      <c r="S1819" s="201">
        <f t="shared" si="230"/>
        <v>-2.2123340707963512E-3</v>
      </c>
    </row>
    <row r="1820" spans="1:19">
      <c r="A1820" s="196">
        <v>42607</v>
      </c>
      <c r="B1820" s="122">
        <v>18.16</v>
      </c>
      <c r="C1820" s="122">
        <v>18.329999999999998</v>
      </c>
      <c r="D1820" s="122">
        <v>18.010000000000002</v>
      </c>
      <c r="E1820" s="122">
        <v>18.120000999999998</v>
      </c>
      <c r="F1820" s="122">
        <v>16.005939000000001</v>
      </c>
      <c r="G1820" s="197">
        <v>53900</v>
      </c>
      <c r="H1820" s="198">
        <f>IF(AND(E1819&gt;=H1819,E1820&gt;=E1819),E1819*(1+'Trading Model'!$E$13),IF(AND(E1820&lt;E1819,E1819&gt;=H1819),E1820*(1+'Trading Model'!$E$13),H1819))</f>
        <v>27.698998950000004</v>
      </c>
      <c r="I1820" s="198">
        <f>IF(K1820&gt;0,E1820*(1-'Trading Model'!E1830),IF(E1820&lt;I1819,I1819*(1-'Trading Model'!$E$14),I1819))</f>
        <v>8.9840153609188427</v>
      </c>
      <c r="J1820" s="198">
        <f t="shared" si="231"/>
        <v>0</v>
      </c>
      <c r="K1820" s="198">
        <f t="shared" si="226"/>
        <v>0</v>
      </c>
      <c r="L1820" s="198">
        <f>COUNTIF(J1820:K1820,"&lt;&gt;0")*-'Trading Model'!$E$15</f>
        <v>0</v>
      </c>
      <c r="M1820" s="198">
        <f t="shared" si="224"/>
        <v>0</v>
      </c>
      <c r="N1820" s="75">
        <f t="shared" si="227"/>
        <v>45</v>
      </c>
      <c r="O1820" s="202">
        <f t="shared" si="228"/>
        <v>0</v>
      </c>
      <c r="P1820" s="199">
        <f t="shared" si="225"/>
        <v>0</v>
      </c>
      <c r="Q1820" s="203">
        <f t="shared" si="229"/>
        <v>9.9000000000013859</v>
      </c>
      <c r="R1820" s="203" t="s">
        <v>55</v>
      </c>
      <c r="S1820" s="201">
        <f t="shared" si="230"/>
        <v>4.4345895546236136E-3</v>
      </c>
    </row>
    <row r="1821" spans="1:19">
      <c r="A1821" s="196">
        <v>42608</v>
      </c>
      <c r="B1821" s="122">
        <v>18.170000000000002</v>
      </c>
      <c r="C1821" s="122">
        <v>18.170000000000002</v>
      </c>
      <c r="D1821" s="122">
        <v>17.690000999999999</v>
      </c>
      <c r="E1821" s="122">
        <v>17.799999</v>
      </c>
      <c r="F1821" s="122">
        <v>15.723273000000001</v>
      </c>
      <c r="G1821" s="197">
        <v>83300</v>
      </c>
      <c r="H1821" s="198">
        <f>IF(AND(E1820&gt;=H1820,E1821&gt;=E1820),E1820*(1+'Trading Model'!$E$13),IF(AND(E1821&lt;E1820,E1820&gt;=H1820),E1821*(1+'Trading Model'!$E$13),H1820))</f>
        <v>27.698998950000004</v>
      </c>
      <c r="I1821" s="198">
        <f>IF(K1821&gt;0,E1821*(1-'Trading Model'!E1831),IF(E1821&lt;I1820,I1820*(1-'Trading Model'!$E$14),I1820))</f>
        <v>8.9840153609188427</v>
      </c>
      <c r="J1821" s="198">
        <f t="shared" si="231"/>
        <v>0</v>
      </c>
      <c r="K1821" s="198">
        <f t="shared" si="226"/>
        <v>0</v>
      </c>
      <c r="L1821" s="198">
        <f>COUNTIF(J1821:K1821,"&lt;&gt;0")*-'Trading Model'!$E$15</f>
        <v>0</v>
      </c>
      <c r="M1821" s="198">
        <f t="shared" si="224"/>
        <v>0</v>
      </c>
      <c r="N1821" s="75">
        <f t="shared" si="227"/>
        <v>45</v>
      </c>
      <c r="O1821" s="202">
        <f t="shared" si="228"/>
        <v>0</v>
      </c>
      <c r="P1821" s="199">
        <f t="shared" si="225"/>
        <v>0</v>
      </c>
      <c r="Q1821" s="203">
        <f t="shared" si="229"/>
        <v>9.8000000000013863</v>
      </c>
      <c r="R1821" s="203" t="s">
        <v>55</v>
      </c>
      <c r="S1821" s="201">
        <f t="shared" si="230"/>
        <v>-1.7660153550764113E-2</v>
      </c>
    </row>
    <row r="1822" spans="1:19">
      <c r="A1822" s="196">
        <v>42611</v>
      </c>
      <c r="B1822" s="122">
        <v>17.899999999999999</v>
      </c>
      <c r="C1822" s="122">
        <v>18.09</v>
      </c>
      <c r="D1822" s="122">
        <v>17.899999999999999</v>
      </c>
      <c r="E1822" s="122">
        <v>18</v>
      </c>
      <c r="F1822" s="122">
        <v>15.899940000000001</v>
      </c>
      <c r="G1822" s="197">
        <v>74900</v>
      </c>
      <c r="H1822" s="198">
        <f>IF(AND(E1821&gt;=H1821,E1822&gt;=E1821),E1821*(1+'Trading Model'!$E$13),IF(AND(E1822&lt;E1821,E1821&gt;=H1821),E1822*(1+'Trading Model'!$E$13),H1821))</f>
        <v>27.698998950000004</v>
      </c>
      <c r="I1822" s="198">
        <f>IF(K1822&gt;0,E1822*(1-'Trading Model'!E1832),IF(E1822&lt;I1821,I1821*(1-'Trading Model'!$E$14),I1821))</f>
        <v>8.9840153609188427</v>
      </c>
      <c r="J1822" s="198">
        <f t="shared" si="231"/>
        <v>0</v>
      </c>
      <c r="K1822" s="198">
        <f t="shared" si="226"/>
        <v>0</v>
      </c>
      <c r="L1822" s="198">
        <f>COUNTIF(J1822:K1822,"&lt;&gt;0")*-'Trading Model'!$E$15</f>
        <v>0</v>
      </c>
      <c r="M1822" s="198">
        <f t="shared" si="224"/>
        <v>0</v>
      </c>
      <c r="N1822" s="75">
        <f t="shared" si="227"/>
        <v>45</v>
      </c>
      <c r="O1822" s="202">
        <f t="shared" si="228"/>
        <v>0</v>
      </c>
      <c r="P1822" s="199">
        <f t="shared" si="225"/>
        <v>0</v>
      </c>
      <c r="Q1822" s="203">
        <f t="shared" si="229"/>
        <v>9.8000000000013863</v>
      </c>
      <c r="R1822" s="201">
        <f>E1822/B1818-1</f>
        <v>0</v>
      </c>
      <c r="S1822" s="201">
        <f t="shared" si="230"/>
        <v>1.1236011867191698E-2</v>
      </c>
    </row>
    <row r="1823" spans="1:19">
      <c r="A1823" s="196">
        <v>42612</v>
      </c>
      <c r="B1823" s="122">
        <v>17.91</v>
      </c>
      <c r="C1823" s="122">
        <v>18.27</v>
      </c>
      <c r="D1823" s="122">
        <v>17.91</v>
      </c>
      <c r="E1823" s="122">
        <v>18.18</v>
      </c>
      <c r="F1823" s="122">
        <v>16.058938999999999</v>
      </c>
      <c r="G1823" s="197">
        <v>74800</v>
      </c>
      <c r="H1823" s="198">
        <f>IF(AND(E1822&gt;=H1822,E1823&gt;=E1822),E1822*(1+'Trading Model'!$E$13),IF(AND(E1823&lt;E1822,E1822&gt;=H1822),E1823*(1+'Trading Model'!$E$13),H1822))</f>
        <v>27.698998950000004</v>
      </c>
      <c r="I1823" s="198">
        <f>IF(K1823&gt;0,E1823*(1-'Trading Model'!E1833),IF(E1823&lt;I1822,I1822*(1-'Trading Model'!$E$14),I1822))</f>
        <v>8.9840153609188427</v>
      </c>
      <c r="J1823" s="198">
        <f t="shared" si="231"/>
        <v>0</v>
      </c>
      <c r="K1823" s="198">
        <f t="shared" si="226"/>
        <v>0</v>
      </c>
      <c r="L1823" s="198">
        <f>COUNTIF(J1823:K1823,"&lt;&gt;0")*-'Trading Model'!$E$15</f>
        <v>0</v>
      </c>
      <c r="M1823" s="198">
        <f t="shared" si="224"/>
        <v>0</v>
      </c>
      <c r="N1823" s="75">
        <f t="shared" si="227"/>
        <v>45</v>
      </c>
      <c r="O1823" s="202">
        <f t="shared" si="228"/>
        <v>0</v>
      </c>
      <c r="P1823" s="199">
        <f t="shared" si="225"/>
        <v>0</v>
      </c>
      <c r="Q1823" s="203">
        <f t="shared" si="229"/>
        <v>9.8000000000013863</v>
      </c>
      <c r="R1823" s="160" t="s">
        <v>55</v>
      </c>
      <c r="S1823" s="201">
        <f t="shared" si="230"/>
        <v>1.0000000000000009E-2</v>
      </c>
    </row>
    <row r="1824" spans="1:19">
      <c r="A1824" s="196">
        <v>42613</v>
      </c>
      <c r="B1824" s="122">
        <v>18.18</v>
      </c>
      <c r="C1824" s="122">
        <v>18.18</v>
      </c>
      <c r="D1824" s="122">
        <v>17.600000000000001</v>
      </c>
      <c r="E1824" s="122">
        <v>17.639999</v>
      </c>
      <c r="F1824" s="122">
        <v>15.581939999999999</v>
      </c>
      <c r="G1824" s="197">
        <v>160400</v>
      </c>
      <c r="H1824" s="198">
        <f>IF(AND(E1823&gt;=H1823,E1824&gt;=E1823),E1823*(1+'Trading Model'!$E$13),IF(AND(E1824&lt;E1823,E1823&gt;=H1823),E1824*(1+'Trading Model'!$E$13),H1823))</f>
        <v>27.698998950000004</v>
      </c>
      <c r="I1824" s="198">
        <f>IF(K1824&gt;0,E1824*(1-'Trading Model'!E1834),IF(E1824&lt;I1823,I1823*(1-'Trading Model'!$E$14),I1823))</f>
        <v>8.9840153609188427</v>
      </c>
      <c r="J1824" s="198">
        <f t="shared" si="231"/>
        <v>0</v>
      </c>
      <c r="K1824" s="198">
        <f t="shared" si="226"/>
        <v>0</v>
      </c>
      <c r="L1824" s="198">
        <f>COUNTIF(J1824:K1824,"&lt;&gt;0")*-'Trading Model'!$E$15</f>
        <v>0</v>
      </c>
      <c r="M1824" s="198">
        <f t="shared" si="224"/>
        <v>0</v>
      </c>
      <c r="N1824" s="75">
        <f t="shared" si="227"/>
        <v>45</v>
      </c>
      <c r="O1824" s="202">
        <f t="shared" si="228"/>
        <v>0</v>
      </c>
      <c r="P1824" s="199">
        <f t="shared" si="225"/>
        <v>0</v>
      </c>
      <c r="Q1824" s="203">
        <f t="shared" si="229"/>
        <v>9.7000000000013866</v>
      </c>
      <c r="R1824" s="203" t="s">
        <v>55</v>
      </c>
      <c r="S1824" s="201">
        <f t="shared" si="230"/>
        <v>-2.9703025302530217E-2</v>
      </c>
    </row>
    <row r="1825" spans="1:19">
      <c r="A1825" s="196">
        <v>42614</v>
      </c>
      <c r="B1825" s="122">
        <v>17.620000999999998</v>
      </c>
      <c r="C1825" s="122">
        <v>18.02</v>
      </c>
      <c r="D1825" s="122">
        <v>17.610001</v>
      </c>
      <c r="E1825" s="122">
        <v>18.02</v>
      </c>
      <c r="F1825" s="122">
        <v>15.917607</v>
      </c>
      <c r="G1825" s="197">
        <v>139300</v>
      </c>
      <c r="H1825" s="198">
        <f>IF(AND(E1824&gt;=H1824,E1825&gt;=E1824),E1824*(1+'Trading Model'!$E$13),IF(AND(E1825&lt;E1824,E1824&gt;=H1824),E1825*(1+'Trading Model'!$E$13),H1824))</f>
        <v>27.698998950000004</v>
      </c>
      <c r="I1825" s="198">
        <f>IF(K1825&gt;0,E1825*(1-'Trading Model'!E1835),IF(E1825&lt;I1824,I1824*(1-'Trading Model'!$E$14),I1824))</f>
        <v>8.9840153609188427</v>
      </c>
      <c r="J1825" s="198">
        <f t="shared" si="231"/>
        <v>0</v>
      </c>
      <c r="K1825" s="198">
        <f t="shared" si="226"/>
        <v>0</v>
      </c>
      <c r="L1825" s="198">
        <f>COUNTIF(J1825:K1825,"&lt;&gt;0")*-'Trading Model'!$E$15</f>
        <v>0</v>
      </c>
      <c r="M1825" s="198">
        <f t="shared" si="224"/>
        <v>0</v>
      </c>
      <c r="N1825" s="75">
        <f t="shared" si="227"/>
        <v>45</v>
      </c>
      <c r="O1825" s="202">
        <f t="shared" si="228"/>
        <v>0</v>
      </c>
      <c r="P1825" s="199">
        <f t="shared" si="225"/>
        <v>0</v>
      </c>
      <c r="Q1825" s="203">
        <f t="shared" si="229"/>
        <v>9.7000000000013866</v>
      </c>
      <c r="R1825" s="203" t="s">
        <v>55</v>
      </c>
      <c r="S1825" s="201">
        <f t="shared" si="230"/>
        <v>2.1542008023923254E-2</v>
      </c>
    </row>
    <row r="1826" spans="1:19">
      <c r="A1826" s="196">
        <v>42615</v>
      </c>
      <c r="B1826" s="122">
        <v>17.98</v>
      </c>
      <c r="C1826" s="122">
        <v>18.110001</v>
      </c>
      <c r="D1826" s="122">
        <v>17.790001</v>
      </c>
      <c r="E1826" s="122">
        <v>17.940000999999999</v>
      </c>
      <c r="F1826" s="122">
        <v>15.846940999999999</v>
      </c>
      <c r="G1826" s="197">
        <v>62300</v>
      </c>
      <c r="H1826" s="198">
        <f>IF(AND(E1825&gt;=H1825,E1826&gt;=E1825),E1825*(1+'Trading Model'!$E$13),IF(AND(E1826&lt;E1825,E1825&gt;=H1825),E1826*(1+'Trading Model'!$E$13),H1825))</f>
        <v>27.698998950000004</v>
      </c>
      <c r="I1826" s="198">
        <f>IF(K1826&gt;0,E1826*(1-'Trading Model'!E1836),IF(E1826&lt;I1825,I1825*(1-'Trading Model'!$E$14),I1825))</f>
        <v>8.9840153609188427</v>
      </c>
      <c r="J1826" s="198">
        <f t="shared" si="231"/>
        <v>0</v>
      </c>
      <c r="K1826" s="198">
        <f t="shared" si="226"/>
        <v>0</v>
      </c>
      <c r="L1826" s="198">
        <f>COUNTIF(J1826:K1826,"&lt;&gt;0")*-'Trading Model'!$E$15</f>
        <v>0</v>
      </c>
      <c r="M1826" s="198">
        <f t="shared" si="224"/>
        <v>0</v>
      </c>
      <c r="N1826" s="75">
        <f t="shared" si="227"/>
        <v>45</v>
      </c>
      <c r="O1826" s="202">
        <f t="shared" si="228"/>
        <v>0</v>
      </c>
      <c r="P1826" s="199">
        <f t="shared" si="225"/>
        <v>0</v>
      </c>
      <c r="Q1826" s="203">
        <f t="shared" si="229"/>
        <v>9.600000000001387</v>
      </c>
      <c r="R1826" s="203" t="s">
        <v>55</v>
      </c>
      <c r="S1826" s="201">
        <f t="shared" si="230"/>
        <v>-4.4394561598224414E-3</v>
      </c>
    </row>
    <row r="1827" spans="1:19">
      <c r="A1827" s="196">
        <v>42619</v>
      </c>
      <c r="B1827" s="122">
        <v>18.260000000000002</v>
      </c>
      <c r="C1827" s="122">
        <v>19</v>
      </c>
      <c r="D1827" s="122">
        <v>18.260000000000002</v>
      </c>
      <c r="E1827" s="122">
        <v>18.790001</v>
      </c>
      <c r="F1827" s="122">
        <v>16.597771000000002</v>
      </c>
      <c r="G1827" s="197">
        <v>370500</v>
      </c>
      <c r="H1827" s="198">
        <f>IF(AND(E1826&gt;=H1826,E1827&gt;=E1826),E1826*(1+'Trading Model'!$E$13),IF(AND(E1827&lt;E1826,E1826&gt;=H1826),E1827*(1+'Trading Model'!$E$13),H1826))</f>
        <v>27.698998950000004</v>
      </c>
      <c r="I1827" s="198">
        <f>IF(K1827&gt;0,E1827*(1-'Trading Model'!E1837),IF(E1827&lt;I1826,I1826*(1-'Trading Model'!$E$14),I1826))</f>
        <v>8.9840153609188427</v>
      </c>
      <c r="J1827" s="198">
        <f t="shared" si="231"/>
        <v>0</v>
      </c>
      <c r="K1827" s="198">
        <f t="shared" si="226"/>
        <v>0</v>
      </c>
      <c r="L1827" s="198">
        <f>COUNTIF(J1827:K1827,"&lt;&gt;0")*-'Trading Model'!$E$15</f>
        <v>0</v>
      </c>
      <c r="M1827" s="198">
        <f t="shared" si="224"/>
        <v>0</v>
      </c>
      <c r="N1827" s="75">
        <f t="shared" si="227"/>
        <v>45</v>
      </c>
      <c r="O1827" s="202">
        <f t="shared" si="228"/>
        <v>0</v>
      </c>
      <c r="P1827" s="199">
        <f t="shared" si="225"/>
        <v>0</v>
      </c>
      <c r="Q1827" s="203">
        <f t="shared" si="229"/>
        <v>9.600000000001387</v>
      </c>
      <c r="R1827" s="201">
        <f>E1827/B1823-1</f>
        <v>4.9134617532105018E-2</v>
      </c>
      <c r="S1827" s="201">
        <f t="shared" si="230"/>
        <v>4.7380153434774197E-2</v>
      </c>
    </row>
    <row r="1828" spans="1:19">
      <c r="A1828" s="196">
        <v>42620</v>
      </c>
      <c r="B1828" s="122">
        <v>18.790001</v>
      </c>
      <c r="C1828" s="122">
        <v>18.989999999999998</v>
      </c>
      <c r="D1828" s="122">
        <v>18.459999</v>
      </c>
      <c r="E1828" s="122">
        <v>18.899999999999999</v>
      </c>
      <c r="F1828" s="122">
        <v>16.694936999999999</v>
      </c>
      <c r="G1828" s="197">
        <v>113900</v>
      </c>
      <c r="H1828" s="198">
        <f>IF(AND(E1827&gt;=H1827,E1828&gt;=E1827),E1827*(1+'Trading Model'!$E$13),IF(AND(E1828&lt;E1827,E1827&gt;=H1827),E1828*(1+'Trading Model'!$E$13),H1827))</f>
        <v>27.698998950000004</v>
      </c>
      <c r="I1828" s="198">
        <f>IF(K1828&gt;0,E1828*(1-'Trading Model'!E1838),IF(E1828&lt;I1827,I1827*(1-'Trading Model'!$E$14),I1827))</f>
        <v>8.9840153609188427</v>
      </c>
      <c r="J1828" s="198">
        <f t="shared" si="231"/>
        <v>0</v>
      </c>
      <c r="K1828" s="198">
        <f t="shared" si="226"/>
        <v>0</v>
      </c>
      <c r="L1828" s="198">
        <f>COUNTIF(J1828:K1828,"&lt;&gt;0")*-'Trading Model'!$E$15</f>
        <v>0</v>
      </c>
      <c r="M1828" s="198">
        <f t="shared" si="224"/>
        <v>0</v>
      </c>
      <c r="N1828" s="75">
        <f t="shared" si="227"/>
        <v>45</v>
      </c>
      <c r="O1828" s="202">
        <f t="shared" si="228"/>
        <v>0</v>
      </c>
      <c r="P1828" s="199">
        <f t="shared" si="225"/>
        <v>0</v>
      </c>
      <c r="Q1828" s="203">
        <f t="shared" si="229"/>
        <v>9.600000000001387</v>
      </c>
      <c r="R1828" s="160" t="s">
        <v>55</v>
      </c>
      <c r="S1828" s="201">
        <f t="shared" si="230"/>
        <v>5.8541242227714285E-3</v>
      </c>
    </row>
    <row r="1829" spans="1:19">
      <c r="A1829" s="196">
        <v>42621</v>
      </c>
      <c r="B1829" s="122">
        <v>18.719999000000001</v>
      </c>
      <c r="C1829" s="122">
        <v>18.889999</v>
      </c>
      <c r="D1829" s="122">
        <v>18.440000999999999</v>
      </c>
      <c r="E1829" s="122">
        <v>18.780000999999999</v>
      </c>
      <c r="F1829" s="122">
        <v>16.588937999999999</v>
      </c>
      <c r="G1829" s="197">
        <v>88000</v>
      </c>
      <c r="H1829" s="198">
        <f>IF(AND(E1828&gt;=H1828,E1829&gt;=E1828),E1828*(1+'Trading Model'!$E$13),IF(AND(E1829&lt;E1828,E1828&gt;=H1828),E1829*(1+'Trading Model'!$E$13),H1828))</f>
        <v>27.698998950000004</v>
      </c>
      <c r="I1829" s="198">
        <f>IF(K1829&gt;0,E1829*(1-'Trading Model'!E1839),IF(E1829&lt;I1828,I1828*(1-'Trading Model'!$E$14),I1828))</f>
        <v>8.9840153609188427</v>
      </c>
      <c r="J1829" s="198">
        <f t="shared" si="231"/>
        <v>0</v>
      </c>
      <c r="K1829" s="198">
        <f t="shared" si="226"/>
        <v>0</v>
      </c>
      <c r="L1829" s="198">
        <f>COUNTIF(J1829:K1829,"&lt;&gt;0")*-'Trading Model'!$E$15</f>
        <v>0</v>
      </c>
      <c r="M1829" s="198">
        <f t="shared" si="224"/>
        <v>0</v>
      </c>
      <c r="N1829" s="75">
        <f t="shared" si="227"/>
        <v>45</v>
      </c>
      <c r="O1829" s="202">
        <f t="shared" si="228"/>
        <v>0</v>
      </c>
      <c r="P1829" s="199">
        <f t="shared" si="225"/>
        <v>0</v>
      </c>
      <c r="Q1829" s="203">
        <f t="shared" si="229"/>
        <v>9.5000000000013873</v>
      </c>
      <c r="R1829" s="203" t="s">
        <v>55</v>
      </c>
      <c r="S1829" s="201">
        <f t="shared" si="230"/>
        <v>-6.3491534391534321E-3</v>
      </c>
    </row>
    <row r="1830" spans="1:19">
      <c r="A1830" s="196">
        <v>42622</v>
      </c>
      <c r="B1830" s="122">
        <v>18.469999000000001</v>
      </c>
      <c r="C1830" s="122">
        <v>18.649999999999999</v>
      </c>
      <c r="D1830" s="122">
        <v>18.010000000000002</v>
      </c>
      <c r="E1830" s="122">
        <v>18.139999</v>
      </c>
      <c r="F1830" s="122">
        <v>16.023605</v>
      </c>
      <c r="G1830" s="197">
        <v>129600</v>
      </c>
      <c r="H1830" s="198">
        <f>IF(AND(E1829&gt;=H1829,E1830&gt;=E1829),E1829*(1+'Trading Model'!$E$13),IF(AND(E1830&lt;E1829,E1829&gt;=H1829),E1830*(1+'Trading Model'!$E$13),H1829))</f>
        <v>27.698998950000004</v>
      </c>
      <c r="I1830" s="198">
        <f>IF(K1830&gt;0,E1830*(1-'Trading Model'!E1840),IF(E1830&lt;I1829,I1829*(1-'Trading Model'!$E$14),I1829))</f>
        <v>8.9840153609188427</v>
      </c>
      <c r="J1830" s="198">
        <f t="shared" si="231"/>
        <v>0</v>
      </c>
      <c r="K1830" s="198">
        <f t="shared" si="226"/>
        <v>0</v>
      </c>
      <c r="L1830" s="198">
        <f>COUNTIF(J1830:K1830,"&lt;&gt;0")*-'Trading Model'!$E$15</f>
        <v>0</v>
      </c>
      <c r="M1830" s="198">
        <f t="shared" si="224"/>
        <v>0</v>
      </c>
      <c r="N1830" s="75">
        <f t="shared" si="227"/>
        <v>45</v>
      </c>
      <c r="O1830" s="202">
        <f t="shared" si="228"/>
        <v>0</v>
      </c>
      <c r="P1830" s="199">
        <f t="shared" si="225"/>
        <v>0</v>
      </c>
      <c r="Q1830" s="203">
        <f t="shared" si="229"/>
        <v>9.4000000000013877</v>
      </c>
      <c r="R1830" s="203" t="s">
        <v>55</v>
      </c>
      <c r="S1830" s="201">
        <f t="shared" si="230"/>
        <v>-3.4078911923380528E-2</v>
      </c>
    </row>
    <row r="1831" spans="1:19">
      <c r="A1831" s="196">
        <v>42625</v>
      </c>
      <c r="B1831" s="122">
        <v>18</v>
      </c>
      <c r="C1831" s="122">
        <v>18.450001</v>
      </c>
      <c r="D1831" s="122">
        <v>18</v>
      </c>
      <c r="E1831" s="122">
        <v>18.41</v>
      </c>
      <c r="F1831" s="122">
        <v>16.262104000000001</v>
      </c>
      <c r="G1831" s="197">
        <v>92500</v>
      </c>
      <c r="H1831" s="198">
        <f>IF(AND(E1830&gt;=H1830,E1831&gt;=E1830),E1830*(1+'Trading Model'!$E$13),IF(AND(E1831&lt;E1830,E1830&gt;=H1830),E1831*(1+'Trading Model'!$E$13),H1830))</f>
        <v>27.698998950000004</v>
      </c>
      <c r="I1831" s="198">
        <f>IF(K1831&gt;0,E1831*(1-'Trading Model'!E1841),IF(E1831&lt;I1830,I1830*(1-'Trading Model'!$E$14),I1830))</f>
        <v>8.9840153609188427</v>
      </c>
      <c r="J1831" s="198">
        <f t="shared" si="231"/>
        <v>0</v>
      </c>
      <c r="K1831" s="198">
        <f t="shared" si="226"/>
        <v>0</v>
      </c>
      <c r="L1831" s="198">
        <f>COUNTIF(J1831:K1831,"&lt;&gt;0")*-'Trading Model'!$E$15</f>
        <v>0</v>
      </c>
      <c r="M1831" s="198">
        <f t="shared" si="224"/>
        <v>0</v>
      </c>
      <c r="N1831" s="75">
        <f t="shared" si="227"/>
        <v>45</v>
      </c>
      <c r="O1831" s="202">
        <f t="shared" si="228"/>
        <v>0</v>
      </c>
      <c r="P1831" s="199">
        <f t="shared" si="225"/>
        <v>0</v>
      </c>
      <c r="Q1831" s="203">
        <f t="shared" si="229"/>
        <v>9.4000000000013877</v>
      </c>
      <c r="R1831" s="203" t="s">
        <v>55</v>
      </c>
      <c r="S1831" s="201">
        <f t="shared" si="230"/>
        <v>1.4884289684911289E-2</v>
      </c>
    </row>
    <row r="1832" spans="1:19">
      <c r="A1832" s="196">
        <v>42626</v>
      </c>
      <c r="B1832" s="122">
        <v>18.170000000000002</v>
      </c>
      <c r="C1832" s="122">
        <v>18.170000000000002</v>
      </c>
      <c r="D1832" s="122">
        <v>17.899999999999999</v>
      </c>
      <c r="E1832" s="122">
        <v>18.09</v>
      </c>
      <c r="F1832" s="122">
        <v>15.979438999999999</v>
      </c>
      <c r="G1832" s="197">
        <v>51800</v>
      </c>
      <c r="H1832" s="198">
        <f>IF(AND(E1831&gt;=H1831,E1832&gt;=E1831),E1831*(1+'Trading Model'!$E$13),IF(AND(E1832&lt;E1831,E1831&gt;=H1831),E1832*(1+'Trading Model'!$E$13),H1831))</f>
        <v>27.698998950000004</v>
      </c>
      <c r="I1832" s="198">
        <f>IF(K1832&gt;0,E1832*(1-'Trading Model'!E1842),IF(E1832&lt;I1831,I1831*(1-'Trading Model'!$E$14),I1831))</f>
        <v>8.9840153609188427</v>
      </c>
      <c r="J1832" s="198">
        <f t="shared" si="231"/>
        <v>0</v>
      </c>
      <c r="K1832" s="198">
        <f t="shared" si="226"/>
        <v>0</v>
      </c>
      <c r="L1832" s="198">
        <f>COUNTIF(J1832:K1832,"&lt;&gt;0")*-'Trading Model'!$E$15</f>
        <v>0</v>
      </c>
      <c r="M1832" s="198">
        <f t="shared" si="224"/>
        <v>0</v>
      </c>
      <c r="N1832" s="75">
        <f t="shared" si="227"/>
        <v>45</v>
      </c>
      <c r="O1832" s="202">
        <f t="shared" si="228"/>
        <v>0</v>
      </c>
      <c r="P1832" s="199">
        <f t="shared" si="225"/>
        <v>0</v>
      </c>
      <c r="Q1832" s="203">
        <f t="shared" si="229"/>
        <v>9.300000000001388</v>
      </c>
      <c r="R1832" s="201">
        <f>E1832/B1828-1</f>
        <v>-3.7253909672490204E-2</v>
      </c>
      <c r="S1832" s="201">
        <f t="shared" si="230"/>
        <v>-1.738185768604017E-2</v>
      </c>
    </row>
    <row r="1833" spans="1:19">
      <c r="A1833" s="196">
        <v>42627</v>
      </c>
      <c r="B1833" s="122">
        <v>18.149999999999999</v>
      </c>
      <c r="C1833" s="122">
        <v>18.489999999999998</v>
      </c>
      <c r="D1833" s="122">
        <v>18.149999999999999</v>
      </c>
      <c r="E1833" s="122">
        <v>18.25</v>
      </c>
      <c r="F1833" s="122">
        <v>16.120771000000001</v>
      </c>
      <c r="G1833" s="197">
        <v>61200</v>
      </c>
      <c r="H1833" s="198">
        <f>IF(AND(E1832&gt;=H1832,E1833&gt;=E1832),E1832*(1+'Trading Model'!$E$13),IF(AND(E1833&lt;E1832,E1832&gt;=H1832),E1833*(1+'Trading Model'!$E$13),H1832))</f>
        <v>27.698998950000004</v>
      </c>
      <c r="I1833" s="198">
        <f>IF(K1833&gt;0,E1833*(1-'Trading Model'!E1843),IF(E1833&lt;I1832,I1832*(1-'Trading Model'!$E$14),I1832))</f>
        <v>8.9840153609188427</v>
      </c>
      <c r="J1833" s="198">
        <f t="shared" si="231"/>
        <v>0</v>
      </c>
      <c r="K1833" s="198">
        <f t="shared" si="226"/>
        <v>0</v>
      </c>
      <c r="L1833" s="198">
        <f>COUNTIF(J1833:K1833,"&lt;&gt;0")*-'Trading Model'!$E$15</f>
        <v>0</v>
      </c>
      <c r="M1833" s="198">
        <f t="shared" si="224"/>
        <v>0</v>
      </c>
      <c r="N1833" s="75">
        <f t="shared" si="227"/>
        <v>45</v>
      </c>
      <c r="O1833" s="202">
        <f t="shared" si="228"/>
        <v>0</v>
      </c>
      <c r="P1833" s="199">
        <f t="shared" si="225"/>
        <v>0</v>
      </c>
      <c r="Q1833" s="203">
        <f t="shared" si="229"/>
        <v>9.300000000001388</v>
      </c>
      <c r="R1833" s="160" t="s">
        <v>55</v>
      </c>
      <c r="S1833" s="201">
        <f t="shared" si="230"/>
        <v>8.8446655610834313E-3</v>
      </c>
    </row>
    <row r="1834" spans="1:19">
      <c r="A1834" s="196">
        <v>42628</v>
      </c>
      <c r="B1834" s="122">
        <v>18.440000999999999</v>
      </c>
      <c r="C1834" s="122">
        <v>18.629999000000002</v>
      </c>
      <c r="D1834" s="122">
        <v>18.280000999999999</v>
      </c>
      <c r="E1834" s="122">
        <v>18.52</v>
      </c>
      <c r="F1834" s="122">
        <v>16.359272000000001</v>
      </c>
      <c r="G1834" s="197">
        <v>167300</v>
      </c>
      <c r="H1834" s="198">
        <f>IF(AND(E1833&gt;=H1833,E1834&gt;=E1833),E1833*(1+'Trading Model'!$E$13),IF(AND(E1834&lt;E1833,E1833&gt;=H1833),E1834*(1+'Trading Model'!$E$13),H1833))</f>
        <v>27.698998950000004</v>
      </c>
      <c r="I1834" s="198">
        <f>IF(K1834&gt;0,E1834*(1-'Trading Model'!E1844),IF(E1834&lt;I1833,I1833*(1-'Trading Model'!$E$14),I1833))</f>
        <v>8.9840153609188427</v>
      </c>
      <c r="J1834" s="198">
        <f t="shared" si="231"/>
        <v>0</v>
      </c>
      <c r="K1834" s="198">
        <f t="shared" si="226"/>
        <v>0</v>
      </c>
      <c r="L1834" s="198">
        <f>COUNTIF(J1834:K1834,"&lt;&gt;0")*-'Trading Model'!$E$15</f>
        <v>0</v>
      </c>
      <c r="M1834" s="198">
        <f t="shared" si="224"/>
        <v>0</v>
      </c>
      <c r="N1834" s="75">
        <f t="shared" si="227"/>
        <v>45</v>
      </c>
      <c r="O1834" s="202">
        <f t="shared" si="228"/>
        <v>0</v>
      </c>
      <c r="P1834" s="199">
        <f t="shared" si="225"/>
        <v>0</v>
      </c>
      <c r="Q1834" s="203">
        <f t="shared" si="229"/>
        <v>9.300000000001388</v>
      </c>
      <c r="R1834" s="203" t="s">
        <v>55</v>
      </c>
      <c r="S1834" s="201">
        <f t="shared" si="230"/>
        <v>1.4794520547945167E-2</v>
      </c>
    </row>
    <row r="1835" spans="1:19">
      <c r="A1835" s="196">
        <v>42629</v>
      </c>
      <c r="B1835" s="122">
        <v>18.52</v>
      </c>
      <c r="C1835" s="122">
        <v>18.690000999999999</v>
      </c>
      <c r="D1835" s="122">
        <v>18.5</v>
      </c>
      <c r="E1835" s="122">
        <v>18.620000999999998</v>
      </c>
      <c r="F1835" s="122">
        <v>16.447604999999999</v>
      </c>
      <c r="G1835" s="197">
        <v>112400</v>
      </c>
      <c r="H1835" s="198">
        <f>IF(AND(E1834&gt;=H1834,E1835&gt;=E1834),E1834*(1+'Trading Model'!$E$13),IF(AND(E1835&lt;E1834,E1834&gt;=H1834),E1835*(1+'Trading Model'!$E$13),H1834))</f>
        <v>27.698998950000004</v>
      </c>
      <c r="I1835" s="198">
        <f>IF(K1835&gt;0,E1835*(1-'Trading Model'!E1845),IF(E1835&lt;I1834,I1834*(1-'Trading Model'!$E$14),I1834))</f>
        <v>8.9840153609188427</v>
      </c>
      <c r="J1835" s="198">
        <f t="shared" si="231"/>
        <v>0</v>
      </c>
      <c r="K1835" s="198">
        <f t="shared" si="226"/>
        <v>0</v>
      </c>
      <c r="L1835" s="198">
        <f>COUNTIF(J1835:K1835,"&lt;&gt;0")*-'Trading Model'!$E$15</f>
        <v>0</v>
      </c>
      <c r="M1835" s="198">
        <f t="shared" si="224"/>
        <v>0</v>
      </c>
      <c r="N1835" s="75">
        <f t="shared" si="227"/>
        <v>45</v>
      </c>
      <c r="O1835" s="202">
        <f t="shared" si="228"/>
        <v>0</v>
      </c>
      <c r="P1835" s="199">
        <f t="shared" si="225"/>
        <v>0</v>
      </c>
      <c r="Q1835" s="203">
        <f t="shared" si="229"/>
        <v>9.300000000001388</v>
      </c>
      <c r="R1835" s="203" t="s">
        <v>55</v>
      </c>
      <c r="S1835" s="201">
        <f t="shared" si="230"/>
        <v>5.399622030237472E-3</v>
      </c>
    </row>
    <row r="1836" spans="1:19">
      <c r="A1836" s="196">
        <v>42632</v>
      </c>
      <c r="B1836" s="122">
        <v>18.579999999999998</v>
      </c>
      <c r="C1836" s="122">
        <v>18.780000999999999</v>
      </c>
      <c r="D1836" s="122">
        <v>18.43</v>
      </c>
      <c r="E1836" s="122">
        <v>18.48</v>
      </c>
      <c r="F1836" s="122">
        <v>16.323937999999998</v>
      </c>
      <c r="G1836" s="197">
        <v>352700</v>
      </c>
      <c r="H1836" s="198">
        <f>IF(AND(E1835&gt;=H1835,E1836&gt;=E1835),E1835*(1+'Trading Model'!$E$13),IF(AND(E1836&lt;E1835,E1835&gt;=H1835),E1836*(1+'Trading Model'!$E$13),H1835))</f>
        <v>27.698998950000004</v>
      </c>
      <c r="I1836" s="198">
        <f>IF(K1836&gt;0,E1836*(1-'Trading Model'!E1846),IF(E1836&lt;I1835,I1835*(1-'Trading Model'!$E$14),I1835))</f>
        <v>8.9840153609188427</v>
      </c>
      <c r="J1836" s="198">
        <f t="shared" si="231"/>
        <v>0</v>
      </c>
      <c r="K1836" s="198">
        <f t="shared" si="226"/>
        <v>0</v>
      </c>
      <c r="L1836" s="198">
        <f>COUNTIF(J1836:K1836,"&lt;&gt;0")*-'Trading Model'!$E$15</f>
        <v>0</v>
      </c>
      <c r="M1836" s="198">
        <f t="shared" si="224"/>
        <v>0</v>
      </c>
      <c r="N1836" s="75">
        <f t="shared" si="227"/>
        <v>45</v>
      </c>
      <c r="O1836" s="202">
        <f t="shared" si="228"/>
        <v>0</v>
      </c>
      <c r="P1836" s="199">
        <f t="shared" si="225"/>
        <v>0</v>
      </c>
      <c r="Q1836" s="203">
        <f t="shared" si="229"/>
        <v>9.2000000000013884</v>
      </c>
      <c r="R1836" s="203" t="s">
        <v>55</v>
      </c>
      <c r="S1836" s="201">
        <f t="shared" si="230"/>
        <v>-7.5188502943688285E-3</v>
      </c>
    </row>
    <row r="1837" spans="1:19">
      <c r="A1837" s="196">
        <v>42633</v>
      </c>
      <c r="B1837" s="122">
        <v>18.620000999999998</v>
      </c>
      <c r="C1837" s="122">
        <v>18.620000999999998</v>
      </c>
      <c r="D1837" s="122">
        <v>18.399999999999999</v>
      </c>
      <c r="E1837" s="122">
        <v>18.469999000000001</v>
      </c>
      <c r="F1837" s="122">
        <v>16.315104000000002</v>
      </c>
      <c r="G1837" s="197">
        <v>150400</v>
      </c>
      <c r="H1837" s="198">
        <f>IF(AND(E1836&gt;=H1836,E1837&gt;=E1836),E1836*(1+'Trading Model'!$E$13),IF(AND(E1837&lt;E1836,E1836&gt;=H1836),E1837*(1+'Trading Model'!$E$13),H1836))</f>
        <v>27.698998950000004</v>
      </c>
      <c r="I1837" s="198">
        <f>IF(K1837&gt;0,E1837*(1-'Trading Model'!E1847),IF(E1837&lt;I1836,I1836*(1-'Trading Model'!$E$14),I1836))</f>
        <v>8.9840153609188427</v>
      </c>
      <c r="J1837" s="198">
        <f t="shared" si="231"/>
        <v>0</v>
      </c>
      <c r="K1837" s="198">
        <f t="shared" si="226"/>
        <v>0</v>
      </c>
      <c r="L1837" s="198">
        <f>COUNTIF(J1837:K1837,"&lt;&gt;0")*-'Trading Model'!$E$15</f>
        <v>0</v>
      </c>
      <c r="M1837" s="198">
        <f t="shared" si="224"/>
        <v>0</v>
      </c>
      <c r="N1837" s="75">
        <f t="shared" si="227"/>
        <v>45</v>
      </c>
      <c r="O1837" s="202">
        <f t="shared" si="228"/>
        <v>0</v>
      </c>
      <c r="P1837" s="199">
        <f t="shared" si="225"/>
        <v>0</v>
      </c>
      <c r="Q1837" s="203">
        <f t="shared" si="229"/>
        <v>9.1000000000013888</v>
      </c>
      <c r="R1837" s="201">
        <f>E1837/B1833-1</f>
        <v>1.7630798898071731E-2</v>
      </c>
      <c r="S1837" s="201">
        <f t="shared" si="230"/>
        <v>-5.4117965367961318E-4</v>
      </c>
    </row>
    <row r="1838" spans="1:19">
      <c r="A1838" s="196">
        <v>42634</v>
      </c>
      <c r="B1838" s="122">
        <v>18.52</v>
      </c>
      <c r="C1838" s="122">
        <v>18.68</v>
      </c>
      <c r="D1838" s="122">
        <v>18.389999</v>
      </c>
      <c r="E1838" s="122">
        <v>18.620000999999998</v>
      </c>
      <c r="F1838" s="122">
        <v>16.447604999999999</v>
      </c>
      <c r="G1838" s="197">
        <v>148300</v>
      </c>
      <c r="H1838" s="198">
        <f>IF(AND(E1837&gt;=H1837,E1838&gt;=E1837),E1837*(1+'Trading Model'!$E$13),IF(AND(E1838&lt;E1837,E1837&gt;=H1837),E1838*(1+'Trading Model'!$E$13),H1837))</f>
        <v>27.698998950000004</v>
      </c>
      <c r="I1838" s="198">
        <f>IF(K1838&gt;0,E1838*(1-'Trading Model'!E1848),IF(E1838&lt;I1837,I1837*(1-'Trading Model'!$E$14),I1837))</f>
        <v>8.9840153609188427</v>
      </c>
      <c r="J1838" s="198">
        <f t="shared" si="231"/>
        <v>0</v>
      </c>
      <c r="K1838" s="198">
        <f t="shared" si="226"/>
        <v>0</v>
      </c>
      <c r="L1838" s="198">
        <f>COUNTIF(J1838:K1838,"&lt;&gt;0")*-'Trading Model'!$E$15</f>
        <v>0</v>
      </c>
      <c r="M1838" s="198">
        <f t="shared" si="224"/>
        <v>0</v>
      </c>
      <c r="N1838" s="75">
        <f t="shared" si="227"/>
        <v>45</v>
      </c>
      <c r="O1838" s="202">
        <f t="shared" si="228"/>
        <v>0</v>
      </c>
      <c r="P1838" s="199">
        <f t="shared" si="225"/>
        <v>0</v>
      </c>
      <c r="Q1838" s="203">
        <f t="shared" si="229"/>
        <v>9.1000000000013888</v>
      </c>
      <c r="R1838" s="160" t="s">
        <v>55</v>
      </c>
      <c r="S1838" s="201">
        <f t="shared" si="230"/>
        <v>8.1213864711089379E-3</v>
      </c>
    </row>
    <row r="1839" spans="1:19">
      <c r="A1839" s="196">
        <v>42635</v>
      </c>
      <c r="B1839" s="122">
        <v>18.829999999999998</v>
      </c>
      <c r="C1839" s="122">
        <v>18.829999999999998</v>
      </c>
      <c r="D1839" s="122">
        <v>18.510000000000002</v>
      </c>
      <c r="E1839" s="122">
        <v>18.73</v>
      </c>
      <c r="F1839" s="122">
        <v>16.544771000000001</v>
      </c>
      <c r="G1839" s="197">
        <v>211600</v>
      </c>
      <c r="H1839" s="198">
        <f>IF(AND(E1838&gt;=H1838,E1839&gt;=E1838),E1838*(1+'Trading Model'!$E$13),IF(AND(E1839&lt;E1838,E1838&gt;=H1838),E1839*(1+'Trading Model'!$E$13),H1838))</f>
        <v>27.698998950000004</v>
      </c>
      <c r="I1839" s="198">
        <f>IF(K1839&gt;0,E1839*(1-'Trading Model'!E1849),IF(E1839&lt;I1838,I1838*(1-'Trading Model'!$E$14),I1838))</f>
        <v>8.9840153609188427</v>
      </c>
      <c r="J1839" s="198">
        <f t="shared" si="231"/>
        <v>0</v>
      </c>
      <c r="K1839" s="198">
        <f t="shared" si="226"/>
        <v>0</v>
      </c>
      <c r="L1839" s="198">
        <f>COUNTIF(J1839:K1839,"&lt;&gt;0")*-'Trading Model'!$E$15</f>
        <v>0</v>
      </c>
      <c r="M1839" s="198">
        <f t="shared" si="224"/>
        <v>0</v>
      </c>
      <c r="N1839" s="75">
        <f t="shared" si="227"/>
        <v>45</v>
      </c>
      <c r="O1839" s="202">
        <f t="shared" si="228"/>
        <v>0</v>
      </c>
      <c r="P1839" s="199">
        <f t="shared" si="225"/>
        <v>0</v>
      </c>
      <c r="Q1839" s="203">
        <f t="shared" si="229"/>
        <v>9.1000000000013888</v>
      </c>
      <c r="R1839" s="203" t="s">
        <v>55</v>
      </c>
      <c r="S1839" s="201">
        <f t="shared" si="230"/>
        <v>5.9075721854151553E-3</v>
      </c>
    </row>
    <row r="1840" spans="1:19">
      <c r="A1840" s="196">
        <v>42636</v>
      </c>
      <c r="B1840" s="122">
        <v>18.629999000000002</v>
      </c>
      <c r="C1840" s="122">
        <v>18.77</v>
      </c>
      <c r="D1840" s="122">
        <v>18.549999</v>
      </c>
      <c r="E1840" s="122">
        <v>18.719999000000001</v>
      </c>
      <c r="F1840" s="122">
        <v>16.535936</v>
      </c>
      <c r="G1840" s="197">
        <v>137000</v>
      </c>
      <c r="H1840" s="198">
        <f>IF(AND(E1839&gt;=H1839,E1840&gt;=E1839),E1839*(1+'Trading Model'!$E$13),IF(AND(E1840&lt;E1839,E1839&gt;=H1839),E1840*(1+'Trading Model'!$E$13),H1839))</f>
        <v>27.698998950000004</v>
      </c>
      <c r="I1840" s="198">
        <f>IF(K1840&gt;0,E1840*(1-'Trading Model'!E1850),IF(E1840&lt;I1839,I1839*(1-'Trading Model'!$E$14),I1839))</f>
        <v>8.9840153609188427</v>
      </c>
      <c r="J1840" s="198">
        <f t="shared" si="231"/>
        <v>0</v>
      </c>
      <c r="K1840" s="198">
        <f t="shared" si="226"/>
        <v>0</v>
      </c>
      <c r="L1840" s="198">
        <f>COUNTIF(J1840:K1840,"&lt;&gt;0")*-'Trading Model'!$E$15</f>
        <v>0</v>
      </c>
      <c r="M1840" s="198">
        <f t="shared" si="224"/>
        <v>0</v>
      </c>
      <c r="N1840" s="75">
        <f t="shared" si="227"/>
        <v>45</v>
      </c>
      <c r="O1840" s="202">
        <f t="shared" si="228"/>
        <v>0</v>
      </c>
      <c r="P1840" s="199">
        <f t="shared" si="225"/>
        <v>0</v>
      </c>
      <c r="Q1840" s="203">
        <f t="shared" si="229"/>
        <v>9.0000000000013891</v>
      </c>
      <c r="R1840" s="203" t="s">
        <v>55</v>
      </c>
      <c r="S1840" s="201">
        <f t="shared" si="230"/>
        <v>-5.3395621996787934E-4</v>
      </c>
    </row>
    <row r="1841" spans="1:19">
      <c r="A1841" s="196">
        <v>42639</v>
      </c>
      <c r="B1841" s="122">
        <v>18.59</v>
      </c>
      <c r="C1841" s="122">
        <v>18.790001</v>
      </c>
      <c r="D1841" s="122">
        <v>18.379999000000002</v>
      </c>
      <c r="E1841" s="122">
        <v>18.420000000000002</v>
      </c>
      <c r="F1841" s="122">
        <v>16.270941000000001</v>
      </c>
      <c r="G1841" s="197">
        <v>175800</v>
      </c>
      <c r="H1841" s="198">
        <f>IF(AND(E1840&gt;=H1840,E1841&gt;=E1840),E1840*(1+'Trading Model'!$E$13),IF(AND(E1841&lt;E1840,E1840&gt;=H1840),E1841*(1+'Trading Model'!$E$13),H1840))</f>
        <v>27.698998950000004</v>
      </c>
      <c r="I1841" s="198">
        <f>IF(K1841&gt;0,E1841*(1-'Trading Model'!E1851),IF(E1841&lt;I1840,I1840*(1-'Trading Model'!$E$14),I1840))</f>
        <v>8.9840153609188427</v>
      </c>
      <c r="J1841" s="198">
        <f t="shared" si="231"/>
        <v>0</v>
      </c>
      <c r="K1841" s="198">
        <f t="shared" si="226"/>
        <v>0</v>
      </c>
      <c r="L1841" s="198">
        <f>COUNTIF(J1841:K1841,"&lt;&gt;0")*-'Trading Model'!$E$15</f>
        <v>0</v>
      </c>
      <c r="M1841" s="198">
        <f t="shared" si="224"/>
        <v>0</v>
      </c>
      <c r="N1841" s="75">
        <f t="shared" si="227"/>
        <v>45</v>
      </c>
      <c r="O1841" s="202">
        <f t="shared" si="228"/>
        <v>0</v>
      </c>
      <c r="P1841" s="199">
        <f t="shared" si="225"/>
        <v>0</v>
      </c>
      <c r="Q1841" s="203">
        <f t="shared" si="229"/>
        <v>8.9000000000013895</v>
      </c>
      <c r="R1841" s="203" t="s">
        <v>55</v>
      </c>
      <c r="S1841" s="201">
        <f t="shared" si="230"/>
        <v>-1.602558846290536E-2</v>
      </c>
    </row>
    <row r="1842" spans="1:19">
      <c r="A1842" s="196">
        <v>42640</v>
      </c>
      <c r="B1842" s="122">
        <v>18.41</v>
      </c>
      <c r="C1842" s="122">
        <v>18.489999999999998</v>
      </c>
      <c r="D1842" s="122">
        <v>18.299999</v>
      </c>
      <c r="E1842" s="122">
        <v>18.32</v>
      </c>
      <c r="F1842" s="122">
        <v>16.182607999999998</v>
      </c>
      <c r="G1842" s="197">
        <v>115700</v>
      </c>
      <c r="H1842" s="198">
        <f>IF(AND(E1841&gt;=H1841,E1842&gt;=E1841),E1841*(1+'Trading Model'!$E$13),IF(AND(E1842&lt;E1841,E1841&gt;=H1841),E1842*(1+'Trading Model'!$E$13),H1841))</f>
        <v>27.698998950000004</v>
      </c>
      <c r="I1842" s="198">
        <f>IF(K1842&gt;0,E1842*(1-'Trading Model'!E1852),IF(E1842&lt;I1841,I1841*(1-'Trading Model'!$E$14),I1841))</f>
        <v>8.9840153609188427</v>
      </c>
      <c r="J1842" s="198">
        <f t="shared" si="231"/>
        <v>0</v>
      </c>
      <c r="K1842" s="198">
        <f t="shared" si="226"/>
        <v>0</v>
      </c>
      <c r="L1842" s="198">
        <f>COUNTIF(J1842:K1842,"&lt;&gt;0")*-'Trading Model'!$E$15</f>
        <v>0</v>
      </c>
      <c r="M1842" s="198">
        <f t="shared" si="224"/>
        <v>0</v>
      </c>
      <c r="N1842" s="75">
        <f t="shared" si="227"/>
        <v>45</v>
      </c>
      <c r="O1842" s="202">
        <f t="shared" si="228"/>
        <v>0</v>
      </c>
      <c r="P1842" s="199">
        <f t="shared" si="225"/>
        <v>0</v>
      </c>
      <c r="Q1842" s="203">
        <f t="shared" si="229"/>
        <v>8.8000000000013898</v>
      </c>
      <c r="R1842" s="201">
        <f>E1842/B1838-1</f>
        <v>-1.0799136069114423E-2</v>
      </c>
      <c r="S1842" s="201">
        <f t="shared" si="230"/>
        <v>-5.4288816503801351E-3</v>
      </c>
    </row>
    <row r="1843" spans="1:19">
      <c r="A1843" s="196">
        <v>42641</v>
      </c>
      <c r="B1843" s="122">
        <v>18.299999</v>
      </c>
      <c r="C1843" s="122">
        <v>18.489999999999998</v>
      </c>
      <c r="D1843" s="122">
        <v>18.25</v>
      </c>
      <c r="E1843" s="122">
        <v>18.399999999999999</v>
      </c>
      <c r="F1843" s="122">
        <v>16.253273</v>
      </c>
      <c r="G1843" s="197">
        <v>148700</v>
      </c>
      <c r="H1843" s="198">
        <f>IF(AND(E1842&gt;=H1842,E1843&gt;=E1842),E1842*(1+'Trading Model'!$E$13),IF(AND(E1843&lt;E1842,E1842&gt;=H1842),E1843*(1+'Trading Model'!$E$13),H1842))</f>
        <v>27.698998950000004</v>
      </c>
      <c r="I1843" s="198">
        <f>IF(K1843&gt;0,E1843*(1-'Trading Model'!E1853),IF(E1843&lt;I1842,I1842*(1-'Trading Model'!$E$14),I1842))</f>
        <v>8.9840153609188427</v>
      </c>
      <c r="J1843" s="198">
        <f t="shared" si="231"/>
        <v>0</v>
      </c>
      <c r="K1843" s="198">
        <f t="shared" si="226"/>
        <v>0</v>
      </c>
      <c r="L1843" s="198">
        <f>COUNTIF(J1843:K1843,"&lt;&gt;0")*-'Trading Model'!$E$15</f>
        <v>0</v>
      </c>
      <c r="M1843" s="198">
        <f t="shared" si="224"/>
        <v>0</v>
      </c>
      <c r="N1843" s="75">
        <f t="shared" si="227"/>
        <v>45</v>
      </c>
      <c r="O1843" s="202">
        <f t="shared" si="228"/>
        <v>0</v>
      </c>
      <c r="P1843" s="199">
        <f t="shared" si="225"/>
        <v>0</v>
      </c>
      <c r="Q1843" s="203">
        <f t="shared" si="229"/>
        <v>8.8000000000013898</v>
      </c>
      <c r="R1843" s="160" t="s">
        <v>55</v>
      </c>
      <c r="S1843" s="201">
        <f t="shared" si="230"/>
        <v>4.366812227074135E-3</v>
      </c>
    </row>
    <row r="1844" spans="1:19">
      <c r="A1844" s="196">
        <v>42642</v>
      </c>
      <c r="B1844" s="122">
        <v>18.25</v>
      </c>
      <c r="C1844" s="122">
        <v>18.5</v>
      </c>
      <c r="D1844" s="122">
        <v>18.25</v>
      </c>
      <c r="E1844" s="122">
        <v>18.27</v>
      </c>
      <c r="F1844" s="122">
        <v>16.138439000000002</v>
      </c>
      <c r="G1844" s="197">
        <v>186000</v>
      </c>
      <c r="H1844" s="198">
        <f>IF(AND(E1843&gt;=H1843,E1844&gt;=E1843),E1843*(1+'Trading Model'!$E$13),IF(AND(E1844&lt;E1843,E1843&gt;=H1843),E1844*(1+'Trading Model'!$E$13),H1843))</f>
        <v>27.698998950000004</v>
      </c>
      <c r="I1844" s="198">
        <f>IF(K1844&gt;0,E1844*(1-'Trading Model'!E1854),IF(E1844&lt;I1843,I1843*(1-'Trading Model'!$E$14),I1843))</f>
        <v>8.9840153609188427</v>
      </c>
      <c r="J1844" s="198">
        <f t="shared" si="231"/>
        <v>0</v>
      </c>
      <c r="K1844" s="198">
        <f t="shared" si="226"/>
        <v>0</v>
      </c>
      <c r="L1844" s="198">
        <f>COUNTIF(J1844:K1844,"&lt;&gt;0")*-'Trading Model'!$E$15</f>
        <v>0</v>
      </c>
      <c r="M1844" s="198">
        <f t="shared" si="224"/>
        <v>0</v>
      </c>
      <c r="N1844" s="75">
        <f t="shared" si="227"/>
        <v>45</v>
      </c>
      <c r="O1844" s="202">
        <f t="shared" si="228"/>
        <v>0</v>
      </c>
      <c r="P1844" s="199">
        <f t="shared" si="225"/>
        <v>0</v>
      </c>
      <c r="Q1844" s="203">
        <f t="shared" si="229"/>
        <v>8.7000000000013902</v>
      </c>
      <c r="R1844" s="203" t="s">
        <v>55</v>
      </c>
      <c r="S1844" s="201">
        <f t="shared" si="230"/>
        <v>-7.0652173913042793E-3</v>
      </c>
    </row>
    <row r="1845" spans="1:19">
      <c r="A1845" s="196">
        <v>42643</v>
      </c>
      <c r="B1845" s="122">
        <v>18.48</v>
      </c>
      <c r="C1845" s="122">
        <v>18.5</v>
      </c>
      <c r="D1845" s="122">
        <v>18.190000999999999</v>
      </c>
      <c r="E1845" s="122">
        <v>18.299999</v>
      </c>
      <c r="F1845" s="122">
        <v>16.164940000000001</v>
      </c>
      <c r="G1845" s="197">
        <v>145400</v>
      </c>
      <c r="H1845" s="198">
        <f>IF(AND(E1844&gt;=H1844,E1845&gt;=E1844),E1844*(1+'Trading Model'!$E$13),IF(AND(E1845&lt;E1844,E1844&gt;=H1844),E1845*(1+'Trading Model'!$E$13),H1844))</f>
        <v>27.698998950000004</v>
      </c>
      <c r="I1845" s="198">
        <f>IF(K1845&gt;0,E1845*(1-'Trading Model'!E1855),IF(E1845&lt;I1844,I1844*(1-'Trading Model'!$E$14),I1844))</f>
        <v>8.9840153609188427</v>
      </c>
      <c r="J1845" s="198">
        <f t="shared" si="231"/>
        <v>0</v>
      </c>
      <c r="K1845" s="198">
        <f t="shared" si="226"/>
        <v>0</v>
      </c>
      <c r="L1845" s="198">
        <f>COUNTIF(J1845:K1845,"&lt;&gt;0")*-'Trading Model'!$E$15</f>
        <v>0</v>
      </c>
      <c r="M1845" s="198">
        <f t="shared" si="224"/>
        <v>0</v>
      </c>
      <c r="N1845" s="75">
        <f t="shared" si="227"/>
        <v>45</v>
      </c>
      <c r="O1845" s="202">
        <f t="shared" si="228"/>
        <v>0</v>
      </c>
      <c r="P1845" s="199">
        <f t="shared" si="225"/>
        <v>0</v>
      </c>
      <c r="Q1845" s="203">
        <f t="shared" si="229"/>
        <v>8.7000000000013902</v>
      </c>
      <c r="R1845" s="203" t="s">
        <v>55</v>
      </c>
      <c r="S1845" s="201">
        <f t="shared" si="230"/>
        <v>1.6419813902572855E-3</v>
      </c>
    </row>
    <row r="1846" spans="1:19">
      <c r="A1846" s="196">
        <v>42646</v>
      </c>
      <c r="B1846" s="122">
        <v>18.299999</v>
      </c>
      <c r="C1846" s="122">
        <v>18.57</v>
      </c>
      <c r="D1846" s="122">
        <v>18.209999</v>
      </c>
      <c r="E1846" s="122">
        <v>18.450001</v>
      </c>
      <c r="F1846" s="122">
        <v>16.297440999999999</v>
      </c>
      <c r="G1846" s="197">
        <v>213600</v>
      </c>
      <c r="H1846" s="198">
        <f>IF(AND(E1845&gt;=H1845,E1846&gt;=E1845),E1845*(1+'Trading Model'!$E$13),IF(AND(E1846&lt;E1845,E1845&gt;=H1845),E1846*(1+'Trading Model'!$E$13),H1845))</f>
        <v>27.698998950000004</v>
      </c>
      <c r="I1846" s="198">
        <f>IF(K1846&gt;0,E1846*(1-'Trading Model'!E1856),IF(E1846&lt;I1845,I1845*(1-'Trading Model'!$E$14),I1845))</f>
        <v>8.9840153609188427</v>
      </c>
      <c r="J1846" s="198">
        <f t="shared" si="231"/>
        <v>0</v>
      </c>
      <c r="K1846" s="198">
        <f t="shared" si="226"/>
        <v>0</v>
      </c>
      <c r="L1846" s="198">
        <f>COUNTIF(J1846:K1846,"&lt;&gt;0")*-'Trading Model'!$E$15</f>
        <v>0</v>
      </c>
      <c r="M1846" s="198">
        <f t="shared" si="224"/>
        <v>0</v>
      </c>
      <c r="N1846" s="75">
        <f t="shared" si="227"/>
        <v>45</v>
      </c>
      <c r="O1846" s="202">
        <f t="shared" si="228"/>
        <v>0</v>
      </c>
      <c r="P1846" s="199">
        <f t="shared" si="225"/>
        <v>0</v>
      </c>
      <c r="Q1846" s="203">
        <f t="shared" si="229"/>
        <v>8.7000000000013902</v>
      </c>
      <c r="R1846" s="203" t="s">
        <v>55</v>
      </c>
      <c r="S1846" s="201">
        <f t="shared" si="230"/>
        <v>8.1968310490072582E-3</v>
      </c>
    </row>
    <row r="1847" spans="1:19">
      <c r="A1847" s="196">
        <v>42647</v>
      </c>
      <c r="B1847" s="122">
        <v>18.399999999999999</v>
      </c>
      <c r="C1847" s="122">
        <v>18.760000000000002</v>
      </c>
      <c r="D1847" s="122">
        <v>18.290001</v>
      </c>
      <c r="E1847" s="122">
        <v>18.739999999999998</v>
      </c>
      <c r="F1847" s="122">
        <v>16.553604</v>
      </c>
      <c r="G1847" s="197">
        <v>277200</v>
      </c>
      <c r="H1847" s="198">
        <f>IF(AND(E1846&gt;=H1846,E1847&gt;=E1846),E1846*(1+'Trading Model'!$E$13),IF(AND(E1847&lt;E1846,E1846&gt;=H1846),E1847*(1+'Trading Model'!$E$13),H1846))</f>
        <v>27.698998950000004</v>
      </c>
      <c r="I1847" s="198">
        <f>IF(K1847&gt;0,E1847*(1-'Trading Model'!E1857),IF(E1847&lt;I1846,I1846*(1-'Trading Model'!$E$14),I1846))</f>
        <v>8.9840153609188427</v>
      </c>
      <c r="J1847" s="198">
        <f t="shared" si="231"/>
        <v>0</v>
      </c>
      <c r="K1847" s="198">
        <f t="shared" si="226"/>
        <v>0</v>
      </c>
      <c r="L1847" s="198">
        <f>COUNTIF(J1847:K1847,"&lt;&gt;0")*-'Trading Model'!$E$15</f>
        <v>0</v>
      </c>
      <c r="M1847" s="198">
        <f t="shared" si="224"/>
        <v>0</v>
      </c>
      <c r="N1847" s="75">
        <f t="shared" si="227"/>
        <v>45</v>
      </c>
      <c r="O1847" s="202">
        <f t="shared" si="228"/>
        <v>0</v>
      </c>
      <c r="P1847" s="199">
        <f t="shared" si="225"/>
        <v>0</v>
      </c>
      <c r="Q1847" s="203">
        <f t="shared" si="229"/>
        <v>8.7000000000013902</v>
      </c>
      <c r="R1847" s="201">
        <f>E1847/B1843-1</f>
        <v>2.4043771805670522E-2</v>
      </c>
      <c r="S1847" s="201">
        <f t="shared" si="230"/>
        <v>1.5718102129099965E-2</v>
      </c>
    </row>
    <row r="1848" spans="1:19">
      <c r="A1848" s="196">
        <v>42648</v>
      </c>
      <c r="B1848" s="122">
        <v>18.920000000000002</v>
      </c>
      <c r="C1848" s="122">
        <v>18.920000000000002</v>
      </c>
      <c r="D1848" s="122">
        <v>18.610001</v>
      </c>
      <c r="E1848" s="122">
        <v>18.719999000000001</v>
      </c>
      <c r="F1848" s="122">
        <v>16.535936</v>
      </c>
      <c r="G1848" s="197">
        <v>321300</v>
      </c>
      <c r="H1848" s="198">
        <f>IF(AND(E1847&gt;=H1847,E1848&gt;=E1847),E1847*(1+'Trading Model'!$E$13),IF(AND(E1848&lt;E1847,E1847&gt;=H1847),E1848*(1+'Trading Model'!$E$13),H1847))</f>
        <v>27.698998950000004</v>
      </c>
      <c r="I1848" s="198">
        <f>IF(K1848&gt;0,E1848*(1-'Trading Model'!E1858),IF(E1848&lt;I1847,I1847*(1-'Trading Model'!$E$14),I1847))</f>
        <v>8.9840153609188427</v>
      </c>
      <c r="J1848" s="198">
        <f t="shared" si="231"/>
        <v>0</v>
      </c>
      <c r="K1848" s="198">
        <f t="shared" si="226"/>
        <v>0</v>
      </c>
      <c r="L1848" s="198">
        <f>COUNTIF(J1848:K1848,"&lt;&gt;0")*-'Trading Model'!$E$15</f>
        <v>0</v>
      </c>
      <c r="M1848" s="198">
        <f t="shared" si="224"/>
        <v>0</v>
      </c>
      <c r="N1848" s="75">
        <f t="shared" si="227"/>
        <v>45</v>
      </c>
      <c r="O1848" s="202">
        <f t="shared" si="228"/>
        <v>0</v>
      </c>
      <c r="P1848" s="199">
        <f t="shared" si="225"/>
        <v>0</v>
      </c>
      <c r="Q1848" s="203">
        <f t="shared" si="229"/>
        <v>8.6000000000013905</v>
      </c>
      <c r="R1848" s="160" t="s">
        <v>55</v>
      </c>
      <c r="S1848" s="201">
        <f t="shared" si="230"/>
        <v>-1.0672892209176998E-3</v>
      </c>
    </row>
    <row r="1849" spans="1:19">
      <c r="A1849" s="196">
        <v>42649</v>
      </c>
      <c r="B1849" s="122">
        <v>18.57</v>
      </c>
      <c r="C1849" s="122">
        <v>18.780000999999999</v>
      </c>
      <c r="D1849" s="122">
        <v>18.48</v>
      </c>
      <c r="E1849" s="122">
        <v>18.739999999999998</v>
      </c>
      <c r="F1849" s="122">
        <v>16.553604</v>
      </c>
      <c r="G1849" s="197">
        <v>220700</v>
      </c>
      <c r="H1849" s="198">
        <f>IF(AND(E1848&gt;=H1848,E1849&gt;=E1848),E1848*(1+'Trading Model'!$E$13),IF(AND(E1849&lt;E1848,E1848&gt;=H1848),E1849*(1+'Trading Model'!$E$13),H1848))</f>
        <v>27.698998950000004</v>
      </c>
      <c r="I1849" s="198">
        <f>IF(K1849&gt;0,E1849*(1-'Trading Model'!E1859),IF(E1849&lt;I1848,I1848*(1-'Trading Model'!$E$14),I1848))</f>
        <v>8.9840153609188427</v>
      </c>
      <c r="J1849" s="198">
        <f t="shared" si="231"/>
        <v>0</v>
      </c>
      <c r="K1849" s="198">
        <f t="shared" si="226"/>
        <v>0</v>
      </c>
      <c r="L1849" s="198">
        <f>COUNTIF(J1849:K1849,"&lt;&gt;0")*-'Trading Model'!$E$15</f>
        <v>0</v>
      </c>
      <c r="M1849" s="198">
        <f t="shared" si="224"/>
        <v>0</v>
      </c>
      <c r="N1849" s="75">
        <f t="shared" si="227"/>
        <v>45</v>
      </c>
      <c r="O1849" s="202">
        <f t="shared" si="228"/>
        <v>0</v>
      </c>
      <c r="P1849" s="199">
        <f t="shared" si="225"/>
        <v>0</v>
      </c>
      <c r="Q1849" s="203">
        <f t="shared" si="229"/>
        <v>8.6000000000013905</v>
      </c>
      <c r="R1849" s="203" t="s">
        <v>55</v>
      </c>
      <c r="S1849" s="201">
        <f t="shared" si="230"/>
        <v>1.0684295442535685E-3</v>
      </c>
    </row>
    <row r="1850" spans="1:19">
      <c r="A1850" s="196">
        <v>42650</v>
      </c>
      <c r="B1850" s="122">
        <v>18.700001</v>
      </c>
      <c r="C1850" s="122">
        <v>18.899999999999999</v>
      </c>
      <c r="D1850" s="122">
        <v>18.639999</v>
      </c>
      <c r="E1850" s="122">
        <v>18.739999999999998</v>
      </c>
      <c r="F1850" s="122">
        <v>16.553604</v>
      </c>
      <c r="G1850" s="197">
        <v>264900</v>
      </c>
      <c r="H1850" s="198">
        <f>IF(AND(E1849&gt;=H1849,E1850&gt;=E1849),E1849*(1+'Trading Model'!$E$13),IF(AND(E1850&lt;E1849,E1849&gt;=H1849),E1850*(1+'Trading Model'!$E$13),H1849))</f>
        <v>27.698998950000004</v>
      </c>
      <c r="I1850" s="198">
        <f>IF(K1850&gt;0,E1850*(1-'Trading Model'!E1860),IF(E1850&lt;I1849,I1849*(1-'Trading Model'!$E$14),I1849))</f>
        <v>8.9840153609188427</v>
      </c>
      <c r="J1850" s="198">
        <f t="shared" si="231"/>
        <v>0</v>
      </c>
      <c r="K1850" s="198">
        <f t="shared" si="226"/>
        <v>0</v>
      </c>
      <c r="L1850" s="198">
        <f>COUNTIF(J1850:K1850,"&lt;&gt;0")*-'Trading Model'!$E$15</f>
        <v>0</v>
      </c>
      <c r="M1850" s="198">
        <f t="shared" si="224"/>
        <v>0</v>
      </c>
      <c r="N1850" s="75">
        <f t="shared" si="227"/>
        <v>45</v>
      </c>
      <c r="O1850" s="202">
        <f t="shared" si="228"/>
        <v>0</v>
      </c>
      <c r="P1850" s="199">
        <f t="shared" si="225"/>
        <v>0</v>
      </c>
      <c r="Q1850" s="203">
        <f t="shared" si="229"/>
        <v>8.6000000000013905</v>
      </c>
      <c r="R1850" s="203" t="s">
        <v>55</v>
      </c>
      <c r="S1850" s="201">
        <f t="shared" si="230"/>
        <v>0</v>
      </c>
    </row>
    <row r="1851" spans="1:19">
      <c r="A1851" s="196">
        <v>42653</v>
      </c>
      <c r="B1851" s="122">
        <v>18.75</v>
      </c>
      <c r="C1851" s="122">
        <v>18.75</v>
      </c>
      <c r="D1851" s="122">
        <v>18.52</v>
      </c>
      <c r="E1851" s="122">
        <v>18.670000000000002</v>
      </c>
      <c r="F1851" s="122">
        <v>16.491773999999999</v>
      </c>
      <c r="G1851" s="197">
        <v>631900</v>
      </c>
      <c r="H1851" s="198">
        <f>IF(AND(E1850&gt;=H1850,E1851&gt;=E1850),E1850*(1+'Trading Model'!$E$13),IF(AND(E1851&lt;E1850,E1850&gt;=H1850),E1851*(1+'Trading Model'!$E$13),H1850))</f>
        <v>27.698998950000004</v>
      </c>
      <c r="I1851" s="198">
        <f>IF(K1851&gt;0,E1851*(1-'Trading Model'!E1861),IF(E1851&lt;I1850,I1850*(1-'Trading Model'!$E$14),I1850))</f>
        <v>8.9840153609188427</v>
      </c>
      <c r="J1851" s="198">
        <f t="shared" si="231"/>
        <v>0</v>
      </c>
      <c r="K1851" s="198">
        <f t="shared" si="226"/>
        <v>0</v>
      </c>
      <c r="L1851" s="198">
        <f>COUNTIF(J1851:K1851,"&lt;&gt;0")*-'Trading Model'!$E$15</f>
        <v>0</v>
      </c>
      <c r="M1851" s="198">
        <f t="shared" si="224"/>
        <v>0</v>
      </c>
      <c r="N1851" s="75">
        <f t="shared" si="227"/>
        <v>45</v>
      </c>
      <c r="O1851" s="202">
        <f t="shared" si="228"/>
        <v>0</v>
      </c>
      <c r="P1851" s="199">
        <f t="shared" si="225"/>
        <v>0</v>
      </c>
      <c r="Q1851" s="203">
        <f t="shared" si="229"/>
        <v>8.5000000000013909</v>
      </c>
      <c r="R1851" s="203" t="s">
        <v>55</v>
      </c>
      <c r="S1851" s="201">
        <f t="shared" si="230"/>
        <v>-3.7353255069368929E-3</v>
      </c>
    </row>
    <row r="1852" spans="1:19">
      <c r="A1852" s="196">
        <v>42654</v>
      </c>
      <c r="B1852" s="122">
        <v>18.66</v>
      </c>
      <c r="C1852" s="122">
        <v>18.690000999999999</v>
      </c>
      <c r="D1852" s="122">
        <v>18.530000999999999</v>
      </c>
      <c r="E1852" s="122">
        <v>18.690000999999999</v>
      </c>
      <c r="F1852" s="122">
        <v>16.509437999999999</v>
      </c>
      <c r="G1852" s="197">
        <v>102800</v>
      </c>
      <c r="H1852" s="198">
        <f>IF(AND(E1851&gt;=H1851,E1852&gt;=E1851),E1851*(1+'Trading Model'!$E$13),IF(AND(E1852&lt;E1851,E1851&gt;=H1851),E1852*(1+'Trading Model'!$E$13),H1851))</f>
        <v>27.698998950000004</v>
      </c>
      <c r="I1852" s="198">
        <f>IF(K1852&gt;0,E1852*(1-'Trading Model'!E1862),IF(E1852&lt;I1851,I1851*(1-'Trading Model'!$E$14),I1851))</f>
        <v>8.9840153609188427</v>
      </c>
      <c r="J1852" s="198">
        <f t="shared" si="231"/>
        <v>0</v>
      </c>
      <c r="K1852" s="198">
        <f t="shared" si="226"/>
        <v>0</v>
      </c>
      <c r="L1852" s="198">
        <f>COUNTIF(J1852:K1852,"&lt;&gt;0")*-'Trading Model'!$E$15</f>
        <v>0</v>
      </c>
      <c r="M1852" s="198">
        <f t="shared" si="224"/>
        <v>0</v>
      </c>
      <c r="N1852" s="75">
        <f t="shared" si="227"/>
        <v>45</v>
      </c>
      <c r="O1852" s="202">
        <f t="shared" si="228"/>
        <v>0</v>
      </c>
      <c r="P1852" s="199">
        <f t="shared" si="225"/>
        <v>0</v>
      </c>
      <c r="Q1852" s="203">
        <f t="shared" si="229"/>
        <v>8.5000000000013909</v>
      </c>
      <c r="R1852" s="201">
        <f>E1852/B1848-1</f>
        <v>-1.215639534883739E-2</v>
      </c>
      <c r="S1852" s="201">
        <f t="shared" si="230"/>
        <v>1.0712908409211686E-3</v>
      </c>
    </row>
    <row r="1853" spans="1:19">
      <c r="A1853" s="196">
        <v>42655</v>
      </c>
      <c r="B1853" s="122">
        <v>18.73</v>
      </c>
      <c r="C1853" s="122">
        <v>18.77</v>
      </c>
      <c r="D1853" s="122">
        <v>18.350000000000001</v>
      </c>
      <c r="E1853" s="122">
        <v>18.450001</v>
      </c>
      <c r="F1853" s="122">
        <v>16.297440999999999</v>
      </c>
      <c r="G1853" s="197">
        <v>105300</v>
      </c>
      <c r="H1853" s="198">
        <f>IF(AND(E1852&gt;=H1852,E1853&gt;=E1852),E1852*(1+'Trading Model'!$E$13),IF(AND(E1853&lt;E1852,E1852&gt;=H1852),E1853*(1+'Trading Model'!$E$13),H1852))</f>
        <v>27.698998950000004</v>
      </c>
      <c r="I1853" s="198">
        <f>IF(K1853&gt;0,E1853*(1-'Trading Model'!E1863),IF(E1853&lt;I1852,I1852*(1-'Trading Model'!$E$14),I1852))</f>
        <v>8.9840153609188427</v>
      </c>
      <c r="J1853" s="198">
        <f t="shared" si="231"/>
        <v>0</v>
      </c>
      <c r="K1853" s="198">
        <f t="shared" si="226"/>
        <v>0</v>
      </c>
      <c r="L1853" s="198">
        <f>COUNTIF(J1853:K1853,"&lt;&gt;0")*-'Trading Model'!$E$15</f>
        <v>0</v>
      </c>
      <c r="M1853" s="198">
        <f t="shared" si="224"/>
        <v>0</v>
      </c>
      <c r="N1853" s="75">
        <f t="shared" si="227"/>
        <v>45</v>
      </c>
      <c r="O1853" s="202">
        <f t="shared" si="228"/>
        <v>0</v>
      </c>
      <c r="P1853" s="199">
        <f t="shared" si="225"/>
        <v>0</v>
      </c>
      <c r="Q1853" s="203">
        <f t="shared" si="229"/>
        <v>8.4000000000013912</v>
      </c>
      <c r="R1853" s="160" t="s">
        <v>55</v>
      </c>
      <c r="S1853" s="201">
        <f t="shared" si="230"/>
        <v>-1.2841090805720046E-2</v>
      </c>
    </row>
    <row r="1854" spans="1:19">
      <c r="A1854" s="196">
        <v>42656</v>
      </c>
      <c r="B1854" s="122">
        <v>18.41</v>
      </c>
      <c r="C1854" s="122">
        <v>18.530000999999999</v>
      </c>
      <c r="D1854" s="122">
        <v>18.23</v>
      </c>
      <c r="E1854" s="122">
        <v>18.469999000000001</v>
      </c>
      <c r="F1854" s="122">
        <v>16.315104000000002</v>
      </c>
      <c r="G1854" s="197">
        <v>197900</v>
      </c>
      <c r="H1854" s="198">
        <f>IF(AND(E1853&gt;=H1853,E1854&gt;=E1853),E1853*(1+'Trading Model'!$E$13),IF(AND(E1854&lt;E1853,E1853&gt;=H1853),E1854*(1+'Trading Model'!$E$13),H1853))</f>
        <v>27.698998950000004</v>
      </c>
      <c r="I1854" s="198">
        <f>IF(K1854&gt;0,E1854*(1-'Trading Model'!E1864),IF(E1854&lt;I1853,I1853*(1-'Trading Model'!$E$14),I1853))</f>
        <v>8.9840153609188427</v>
      </c>
      <c r="J1854" s="198">
        <f t="shared" si="231"/>
        <v>0</v>
      </c>
      <c r="K1854" s="198">
        <f t="shared" si="226"/>
        <v>0</v>
      </c>
      <c r="L1854" s="198">
        <f>COUNTIF(J1854:K1854,"&lt;&gt;0")*-'Trading Model'!$E$15</f>
        <v>0</v>
      </c>
      <c r="M1854" s="198">
        <f t="shared" si="224"/>
        <v>0</v>
      </c>
      <c r="N1854" s="75">
        <f t="shared" si="227"/>
        <v>45</v>
      </c>
      <c r="O1854" s="202">
        <f t="shared" si="228"/>
        <v>0</v>
      </c>
      <c r="P1854" s="199">
        <f t="shared" si="225"/>
        <v>0</v>
      </c>
      <c r="Q1854" s="203">
        <f t="shared" si="229"/>
        <v>8.4000000000013912</v>
      </c>
      <c r="R1854" s="203" t="s">
        <v>55</v>
      </c>
      <c r="S1854" s="201">
        <f t="shared" si="230"/>
        <v>1.0839023802764469E-3</v>
      </c>
    </row>
    <row r="1855" spans="1:19">
      <c r="A1855" s="196">
        <v>42657</v>
      </c>
      <c r="B1855" s="122">
        <v>18.469999000000001</v>
      </c>
      <c r="C1855" s="122">
        <v>18.549999</v>
      </c>
      <c r="D1855" s="122">
        <v>18.450001</v>
      </c>
      <c r="E1855" s="122">
        <v>18.510000000000002</v>
      </c>
      <c r="F1855" s="122">
        <v>16.350436999999999</v>
      </c>
      <c r="G1855" s="197">
        <v>132400</v>
      </c>
      <c r="H1855" s="198">
        <f>IF(AND(E1854&gt;=H1854,E1855&gt;=E1854),E1854*(1+'Trading Model'!$E$13),IF(AND(E1855&lt;E1854,E1854&gt;=H1854),E1855*(1+'Trading Model'!$E$13),H1854))</f>
        <v>27.698998950000004</v>
      </c>
      <c r="I1855" s="198">
        <f>IF(K1855&gt;0,E1855*(1-'Trading Model'!E1865),IF(E1855&lt;I1854,I1854*(1-'Trading Model'!$E$14),I1854))</f>
        <v>8.9840153609188427</v>
      </c>
      <c r="J1855" s="198">
        <f t="shared" si="231"/>
        <v>0</v>
      </c>
      <c r="K1855" s="198">
        <f t="shared" si="226"/>
        <v>0</v>
      </c>
      <c r="L1855" s="198">
        <f>COUNTIF(J1855:K1855,"&lt;&gt;0")*-'Trading Model'!$E$15</f>
        <v>0</v>
      </c>
      <c r="M1855" s="198">
        <f t="shared" si="224"/>
        <v>0</v>
      </c>
      <c r="N1855" s="75">
        <f t="shared" si="227"/>
        <v>45</v>
      </c>
      <c r="O1855" s="202">
        <f t="shared" si="228"/>
        <v>0</v>
      </c>
      <c r="P1855" s="199">
        <f t="shared" si="225"/>
        <v>0</v>
      </c>
      <c r="Q1855" s="203">
        <f t="shared" si="229"/>
        <v>8.4000000000013912</v>
      </c>
      <c r="R1855" s="203" t="s">
        <v>55</v>
      </c>
      <c r="S1855" s="201">
        <f t="shared" si="230"/>
        <v>2.1657283251612647E-3</v>
      </c>
    </row>
    <row r="1856" spans="1:19">
      <c r="A1856" s="196">
        <v>42660</v>
      </c>
      <c r="B1856" s="122">
        <v>18.43</v>
      </c>
      <c r="C1856" s="122">
        <v>18.549999</v>
      </c>
      <c r="D1856" s="122">
        <v>18.170000000000002</v>
      </c>
      <c r="E1856" s="122">
        <v>18.32</v>
      </c>
      <c r="F1856" s="122">
        <v>16.182607999999998</v>
      </c>
      <c r="G1856" s="197">
        <v>521800</v>
      </c>
      <c r="H1856" s="198">
        <f>IF(AND(E1855&gt;=H1855,E1856&gt;=E1855),E1855*(1+'Trading Model'!$E$13),IF(AND(E1856&lt;E1855,E1855&gt;=H1855),E1856*(1+'Trading Model'!$E$13),H1855))</f>
        <v>27.698998950000004</v>
      </c>
      <c r="I1856" s="198">
        <f>IF(K1856&gt;0,E1856*(1-'Trading Model'!E1866),IF(E1856&lt;I1855,I1855*(1-'Trading Model'!$E$14),I1855))</f>
        <v>8.9840153609188427</v>
      </c>
      <c r="J1856" s="198">
        <f t="shared" si="231"/>
        <v>0</v>
      </c>
      <c r="K1856" s="198">
        <f t="shared" si="226"/>
        <v>0</v>
      </c>
      <c r="L1856" s="198">
        <f>COUNTIF(J1856:K1856,"&lt;&gt;0")*-'Trading Model'!$E$15</f>
        <v>0</v>
      </c>
      <c r="M1856" s="198">
        <f t="shared" si="224"/>
        <v>0</v>
      </c>
      <c r="N1856" s="75">
        <f t="shared" si="227"/>
        <v>45</v>
      </c>
      <c r="O1856" s="202">
        <f t="shared" si="228"/>
        <v>0</v>
      </c>
      <c r="P1856" s="199">
        <f t="shared" si="225"/>
        <v>0</v>
      </c>
      <c r="Q1856" s="203">
        <f t="shared" si="229"/>
        <v>8.3000000000013916</v>
      </c>
      <c r="R1856" s="203" t="s">
        <v>55</v>
      </c>
      <c r="S1856" s="201">
        <f t="shared" si="230"/>
        <v>-1.0264721772015206E-2</v>
      </c>
    </row>
    <row r="1857" spans="1:19">
      <c r="A1857" s="196">
        <v>42661</v>
      </c>
      <c r="B1857" s="122">
        <v>18.540001</v>
      </c>
      <c r="C1857" s="122">
        <v>18.540001</v>
      </c>
      <c r="D1857" s="122">
        <v>18.100000000000001</v>
      </c>
      <c r="E1857" s="122">
        <v>18.120000999999998</v>
      </c>
      <c r="F1857" s="122">
        <v>16.005939000000001</v>
      </c>
      <c r="G1857" s="197">
        <v>690800</v>
      </c>
      <c r="H1857" s="198">
        <f>IF(AND(E1856&gt;=H1856,E1857&gt;=E1856),E1856*(1+'Trading Model'!$E$13),IF(AND(E1857&lt;E1856,E1856&gt;=H1856),E1857*(1+'Trading Model'!$E$13),H1856))</f>
        <v>27.698998950000004</v>
      </c>
      <c r="I1857" s="198">
        <f>IF(K1857&gt;0,E1857*(1-'Trading Model'!E1867),IF(E1857&lt;I1856,I1856*(1-'Trading Model'!$E$14),I1856))</f>
        <v>8.9840153609188427</v>
      </c>
      <c r="J1857" s="198">
        <f t="shared" si="231"/>
        <v>0</v>
      </c>
      <c r="K1857" s="198">
        <f t="shared" si="226"/>
        <v>0</v>
      </c>
      <c r="L1857" s="198">
        <f>COUNTIF(J1857:K1857,"&lt;&gt;0")*-'Trading Model'!$E$15</f>
        <v>0</v>
      </c>
      <c r="M1857" s="198">
        <f t="shared" si="224"/>
        <v>0</v>
      </c>
      <c r="N1857" s="75">
        <f t="shared" si="227"/>
        <v>45</v>
      </c>
      <c r="O1857" s="202">
        <f t="shared" si="228"/>
        <v>0</v>
      </c>
      <c r="P1857" s="199">
        <f t="shared" si="225"/>
        <v>0</v>
      </c>
      <c r="Q1857" s="203">
        <f t="shared" si="229"/>
        <v>8.200000000001392</v>
      </c>
      <c r="R1857" s="201">
        <f>E1857/B1853-1</f>
        <v>-3.2568019220502009E-2</v>
      </c>
      <c r="S1857" s="201">
        <f t="shared" si="230"/>
        <v>-1.0916975982532828E-2</v>
      </c>
    </row>
    <row r="1858" spans="1:19">
      <c r="A1858" s="196">
        <v>42662</v>
      </c>
      <c r="B1858" s="122">
        <v>18.079999999999998</v>
      </c>
      <c r="C1858" s="122">
        <v>18.239999999999998</v>
      </c>
      <c r="D1858" s="122">
        <v>17.760000000000002</v>
      </c>
      <c r="E1858" s="122">
        <v>18.059999000000001</v>
      </c>
      <c r="F1858" s="122">
        <v>15.952938</v>
      </c>
      <c r="G1858" s="197">
        <v>944600</v>
      </c>
      <c r="H1858" s="198">
        <f>IF(AND(E1857&gt;=H1857,E1858&gt;=E1857),E1857*(1+'Trading Model'!$E$13),IF(AND(E1858&lt;E1857,E1857&gt;=H1857),E1858*(1+'Trading Model'!$E$13),H1857))</f>
        <v>27.698998950000004</v>
      </c>
      <c r="I1858" s="198">
        <f>IF(K1858&gt;0,E1858*(1-'Trading Model'!E1868),IF(E1858&lt;I1857,I1857*(1-'Trading Model'!$E$14),I1857))</f>
        <v>8.9840153609188427</v>
      </c>
      <c r="J1858" s="198">
        <f t="shared" si="231"/>
        <v>0</v>
      </c>
      <c r="K1858" s="198">
        <f t="shared" si="226"/>
        <v>0</v>
      </c>
      <c r="L1858" s="198">
        <f>COUNTIF(J1858:K1858,"&lt;&gt;0")*-'Trading Model'!$E$15</f>
        <v>0</v>
      </c>
      <c r="M1858" s="198">
        <f t="shared" si="224"/>
        <v>0</v>
      </c>
      <c r="N1858" s="75">
        <f t="shared" si="227"/>
        <v>45</v>
      </c>
      <c r="O1858" s="202">
        <f t="shared" si="228"/>
        <v>0</v>
      </c>
      <c r="P1858" s="199">
        <f t="shared" si="225"/>
        <v>0</v>
      </c>
      <c r="Q1858" s="203">
        <f t="shared" si="229"/>
        <v>8.1000000000013923</v>
      </c>
      <c r="R1858" s="160" t="s">
        <v>55</v>
      </c>
      <c r="S1858" s="201">
        <f t="shared" si="230"/>
        <v>-3.3113684706749247E-3</v>
      </c>
    </row>
    <row r="1859" spans="1:19">
      <c r="A1859" s="196">
        <v>42663</v>
      </c>
      <c r="B1859" s="122">
        <v>17.989999999999998</v>
      </c>
      <c r="C1859" s="122">
        <v>18.5</v>
      </c>
      <c r="D1859" s="122">
        <v>17.940000999999999</v>
      </c>
      <c r="E1859" s="122">
        <v>18.41</v>
      </c>
      <c r="F1859" s="122">
        <v>16.262104000000001</v>
      </c>
      <c r="G1859" s="197">
        <v>1001700</v>
      </c>
      <c r="H1859" s="198">
        <f>IF(AND(E1858&gt;=H1858,E1859&gt;=E1858),E1858*(1+'Trading Model'!$E$13),IF(AND(E1859&lt;E1858,E1858&gt;=H1858),E1859*(1+'Trading Model'!$E$13),H1858))</f>
        <v>27.698998950000004</v>
      </c>
      <c r="I1859" s="198">
        <f>IF(K1859&gt;0,E1859*(1-'Trading Model'!E1869),IF(E1859&lt;I1858,I1858*(1-'Trading Model'!$E$14),I1858))</f>
        <v>8.9840153609188427</v>
      </c>
      <c r="J1859" s="198">
        <f t="shared" si="231"/>
        <v>0</v>
      </c>
      <c r="K1859" s="198">
        <f t="shared" si="226"/>
        <v>0</v>
      </c>
      <c r="L1859" s="198">
        <f>COUNTIF(J1859:K1859,"&lt;&gt;0")*-'Trading Model'!$E$15</f>
        <v>0</v>
      </c>
      <c r="M1859" s="198">
        <f t="shared" ref="M1859:M1922" si="232">SUM(J1859:L1859)</f>
        <v>0</v>
      </c>
      <c r="N1859" s="75">
        <f t="shared" si="227"/>
        <v>45</v>
      </c>
      <c r="O1859" s="202">
        <f t="shared" si="228"/>
        <v>0</v>
      </c>
      <c r="P1859" s="199">
        <f t="shared" ref="P1859:P1922" si="233">IFERROR(VLOOKUP(A1859,Dividends,2,FALSE),$U$1)</f>
        <v>0</v>
      </c>
      <c r="Q1859" s="203">
        <f t="shared" si="229"/>
        <v>8.1000000000013923</v>
      </c>
      <c r="R1859" s="203" t="s">
        <v>55</v>
      </c>
      <c r="S1859" s="201">
        <f t="shared" si="230"/>
        <v>1.9379901405309985E-2</v>
      </c>
    </row>
    <row r="1860" spans="1:19">
      <c r="A1860" s="196">
        <v>42664</v>
      </c>
      <c r="B1860" s="122">
        <v>18.43</v>
      </c>
      <c r="C1860" s="122">
        <v>18.82</v>
      </c>
      <c r="D1860" s="122">
        <v>18.100000000000001</v>
      </c>
      <c r="E1860" s="122">
        <v>18.719999000000001</v>
      </c>
      <c r="F1860" s="122">
        <v>16.535936</v>
      </c>
      <c r="G1860" s="197">
        <v>397100</v>
      </c>
      <c r="H1860" s="198">
        <f>IF(AND(E1859&gt;=H1859,E1860&gt;=E1859),E1859*(1+'Trading Model'!$E$13),IF(AND(E1860&lt;E1859,E1859&gt;=H1859),E1860*(1+'Trading Model'!$E$13),H1859))</f>
        <v>27.698998950000004</v>
      </c>
      <c r="I1860" s="198">
        <f>IF(K1860&gt;0,E1860*(1-'Trading Model'!E1870),IF(E1860&lt;I1859,I1859*(1-'Trading Model'!$E$14),I1859))</f>
        <v>8.9840153609188427</v>
      </c>
      <c r="J1860" s="198">
        <f t="shared" si="231"/>
        <v>0</v>
      </c>
      <c r="K1860" s="198">
        <f t="shared" ref="K1860:K1923" si="234">IF(E1860&gt;=H1860,E1860,0)</f>
        <v>0</v>
      </c>
      <c r="L1860" s="198">
        <f>COUNTIF(J1860:K1860,"&lt;&gt;0")*-'Trading Model'!$E$15</f>
        <v>0</v>
      </c>
      <c r="M1860" s="198">
        <f t="shared" si="232"/>
        <v>0</v>
      </c>
      <c r="N1860" s="75">
        <f t="shared" ref="N1860:N1923" si="235">IF(AND(J1860&lt;0,K1860&gt;0),N1859,(IF(J1860&lt;0,N1859+1,IF(K1860&gt;0,N1859+1,N1859))))</f>
        <v>45</v>
      </c>
      <c r="O1860" s="202">
        <f t="shared" ref="O1860:O1923" si="236">P1860</f>
        <v>0</v>
      </c>
      <c r="P1860" s="199">
        <f t="shared" si="233"/>
        <v>0</v>
      </c>
      <c r="Q1860" s="203">
        <f t="shared" ref="Q1860:Q1923" si="237">IF(E1860&lt;E1859,Q1859-0.1,Q1859)</f>
        <v>8.1000000000013923</v>
      </c>
      <c r="R1860" s="203" t="s">
        <v>55</v>
      </c>
      <c r="S1860" s="201">
        <f t="shared" ref="S1860:S1923" si="238">E1860/E1859-1</f>
        <v>1.6838620315046349E-2</v>
      </c>
    </row>
    <row r="1861" spans="1:19">
      <c r="A1861" s="196">
        <v>42667</v>
      </c>
      <c r="B1861" s="122">
        <v>18.860001</v>
      </c>
      <c r="C1861" s="122">
        <v>18.920000000000002</v>
      </c>
      <c r="D1861" s="122">
        <v>18.48</v>
      </c>
      <c r="E1861" s="122">
        <v>18.709999</v>
      </c>
      <c r="F1861" s="122">
        <v>16.527103</v>
      </c>
      <c r="G1861" s="197">
        <v>62700</v>
      </c>
      <c r="H1861" s="198">
        <f>IF(AND(E1860&gt;=H1860,E1861&gt;=E1860),E1860*(1+'Trading Model'!$E$13),IF(AND(E1861&lt;E1860,E1860&gt;=H1860),E1861*(1+'Trading Model'!$E$13),H1860))</f>
        <v>27.698998950000004</v>
      </c>
      <c r="I1861" s="198">
        <f>IF(K1861&gt;0,E1861*(1-'Trading Model'!E1871),IF(E1861&lt;I1860,I1860*(1-'Trading Model'!$E$14),I1860))</f>
        <v>8.9840153609188427</v>
      </c>
      <c r="J1861" s="198">
        <f t="shared" ref="J1861:J1924" si="239">IF(E1861&gt;=H1861,-E1861,IF(E1861&lt;=I1860,-E1861,0))</f>
        <v>0</v>
      </c>
      <c r="K1861" s="198">
        <f t="shared" si="234"/>
        <v>0</v>
      </c>
      <c r="L1861" s="198">
        <f>COUNTIF(J1861:K1861,"&lt;&gt;0")*-'Trading Model'!$E$15</f>
        <v>0</v>
      </c>
      <c r="M1861" s="198">
        <f t="shared" si="232"/>
        <v>0</v>
      </c>
      <c r="N1861" s="75">
        <f t="shared" si="235"/>
        <v>45</v>
      </c>
      <c r="O1861" s="202">
        <f t="shared" si="236"/>
        <v>0</v>
      </c>
      <c r="P1861" s="199">
        <f t="shared" si="233"/>
        <v>0</v>
      </c>
      <c r="Q1861" s="203">
        <f t="shared" si="237"/>
        <v>8.0000000000013927</v>
      </c>
      <c r="R1861" s="203" t="s">
        <v>55</v>
      </c>
      <c r="S1861" s="201">
        <f t="shared" si="238"/>
        <v>-5.3418806272376163E-4</v>
      </c>
    </row>
    <row r="1862" spans="1:19">
      <c r="A1862" s="196">
        <v>42668</v>
      </c>
      <c r="B1862" s="122">
        <v>18.600000000000001</v>
      </c>
      <c r="C1862" s="122">
        <v>18.739999999999998</v>
      </c>
      <c r="D1862" s="122">
        <v>18.52</v>
      </c>
      <c r="E1862" s="122">
        <v>18.600000000000001</v>
      </c>
      <c r="F1862" s="122">
        <v>16.429936999999999</v>
      </c>
      <c r="G1862" s="197">
        <v>51000</v>
      </c>
      <c r="H1862" s="198">
        <f>IF(AND(E1861&gt;=H1861,E1862&gt;=E1861),E1861*(1+'Trading Model'!$E$13),IF(AND(E1862&lt;E1861,E1861&gt;=H1861),E1862*(1+'Trading Model'!$E$13),H1861))</f>
        <v>27.698998950000004</v>
      </c>
      <c r="I1862" s="198">
        <f>IF(K1862&gt;0,E1862*(1-'Trading Model'!E1872),IF(E1862&lt;I1861,I1861*(1-'Trading Model'!$E$14),I1861))</f>
        <v>8.9840153609188427</v>
      </c>
      <c r="J1862" s="198">
        <f t="shared" si="239"/>
        <v>0</v>
      </c>
      <c r="K1862" s="198">
        <f t="shared" si="234"/>
        <v>0</v>
      </c>
      <c r="L1862" s="198">
        <f>COUNTIF(J1862:K1862,"&lt;&gt;0")*-'Trading Model'!$E$15</f>
        <v>0</v>
      </c>
      <c r="M1862" s="198">
        <f t="shared" si="232"/>
        <v>0</v>
      </c>
      <c r="N1862" s="75">
        <f t="shared" si="235"/>
        <v>45</v>
      </c>
      <c r="O1862" s="202">
        <f t="shared" si="236"/>
        <v>0</v>
      </c>
      <c r="P1862" s="199">
        <f t="shared" si="233"/>
        <v>0</v>
      </c>
      <c r="Q1862" s="203">
        <f t="shared" si="237"/>
        <v>7.900000000001393</v>
      </c>
      <c r="R1862" s="201">
        <f>E1862/B1858-1</f>
        <v>2.8761061946902755E-2</v>
      </c>
      <c r="S1862" s="201">
        <f t="shared" si="238"/>
        <v>-5.8791558460263849E-3</v>
      </c>
    </row>
    <row r="1863" spans="1:19">
      <c r="A1863" s="196">
        <v>42669</v>
      </c>
      <c r="B1863" s="122">
        <v>18.620000999999998</v>
      </c>
      <c r="C1863" s="122">
        <v>18.73</v>
      </c>
      <c r="D1863" s="122">
        <v>18.370000999999998</v>
      </c>
      <c r="E1863" s="122">
        <v>18.629999000000002</v>
      </c>
      <c r="F1863" s="122">
        <v>16.456436</v>
      </c>
      <c r="G1863" s="197">
        <v>104300</v>
      </c>
      <c r="H1863" s="198">
        <f>IF(AND(E1862&gt;=H1862,E1863&gt;=E1862),E1862*(1+'Trading Model'!$E$13),IF(AND(E1863&lt;E1862,E1862&gt;=H1862),E1863*(1+'Trading Model'!$E$13),H1862))</f>
        <v>27.698998950000004</v>
      </c>
      <c r="I1863" s="198">
        <f>IF(K1863&gt;0,E1863*(1-'Trading Model'!E1873),IF(E1863&lt;I1862,I1862*(1-'Trading Model'!$E$14),I1862))</f>
        <v>8.9840153609188427</v>
      </c>
      <c r="J1863" s="198">
        <f t="shared" si="239"/>
        <v>0</v>
      </c>
      <c r="K1863" s="198">
        <f t="shared" si="234"/>
        <v>0</v>
      </c>
      <c r="L1863" s="198">
        <f>COUNTIF(J1863:K1863,"&lt;&gt;0")*-'Trading Model'!$E$15</f>
        <v>0</v>
      </c>
      <c r="M1863" s="198">
        <f t="shared" si="232"/>
        <v>0</v>
      </c>
      <c r="N1863" s="75">
        <f t="shared" si="235"/>
        <v>45</v>
      </c>
      <c r="O1863" s="202">
        <f t="shared" si="236"/>
        <v>0</v>
      </c>
      <c r="P1863" s="199">
        <f t="shared" si="233"/>
        <v>0</v>
      </c>
      <c r="Q1863" s="203">
        <f t="shared" si="237"/>
        <v>7.900000000001393</v>
      </c>
      <c r="R1863" s="160" t="s">
        <v>55</v>
      </c>
      <c r="S1863" s="201">
        <f t="shared" si="238"/>
        <v>1.6128494623655065E-3</v>
      </c>
    </row>
    <row r="1864" spans="1:19">
      <c r="A1864" s="196">
        <v>42670</v>
      </c>
      <c r="B1864" s="122">
        <v>18.68</v>
      </c>
      <c r="C1864" s="122">
        <v>18.68</v>
      </c>
      <c r="D1864" s="122">
        <v>18.510000000000002</v>
      </c>
      <c r="E1864" s="122">
        <v>18.649999999999999</v>
      </c>
      <c r="F1864" s="122">
        <v>16.474104000000001</v>
      </c>
      <c r="G1864" s="197">
        <v>39500</v>
      </c>
      <c r="H1864" s="198">
        <f>IF(AND(E1863&gt;=H1863,E1864&gt;=E1863),E1863*(1+'Trading Model'!$E$13),IF(AND(E1864&lt;E1863,E1863&gt;=H1863),E1864*(1+'Trading Model'!$E$13),H1863))</f>
        <v>27.698998950000004</v>
      </c>
      <c r="I1864" s="198">
        <f>IF(K1864&gt;0,E1864*(1-'Trading Model'!E1874),IF(E1864&lt;I1863,I1863*(1-'Trading Model'!$E$14),I1863))</f>
        <v>8.9840153609188427</v>
      </c>
      <c r="J1864" s="198">
        <f t="shared" si="239"/>
        <v>0</v>
      </c>
      <c r="K1864" s="198">
        <f t="shared" si="234"/>
        <v>0</v>
      </c>
      <c r="L1864" s="198">
        <f>COUNTIF(J1864:K1864,"&lt;&gt;0")*-'Trading Model'!$E$15</f>
        <v>0</v>
      </c>
      <c r="M1864" s="198">
        <f t="shared" si="232"/>
        <v>0</v>
      </c>
      <c r="N1864" s="75">
        <f t="shared" si="235"/>
        <v>45</v>
      </c>
      <c r="O1864" s="202">
        <f t="shared" si="236"/>
        <v>0</v>
      </c>
      <c r="P1864" s="199">
        <f t="shared" si="233"/>
        <v>0</v>
      </c>
      <c r="Q1864" s="203">
        <f t="shared" si="237"/>
        <v>7.900000000001393</v>
      </c>
      <c r="R1864" s="203" t="s">
        <v>55</v>
      </c>
      <c r="S1864" s="201">
        <f t="shared" si="238"/>
        <v>1.0735910399135573E-3</v>
      </c>
    </row>
    <row r="1865" spans="1:19">
      <c r="A1865" s="196">
        <v>42671</v>
      </c>
      <c r="B1865" s="122">
        <v>18.649999999999999</v>
      </c>
      <c r="C1865" s="122">
        <v>18.850000000000001</v>
      </c>
      <c r="D1865" s="122">
        <v>18.629999000000002</v>
      </c>
      <c r="E1865" s="122">
        <v>18.670000000000002</v>
      </c>
      <c r="F1865" s="122">
        <v>16.491773999999999</v>
      </c>
      <c r="G1865" s="197">
        <v>53400</v>
      </c>
      <c r="H1865" s="198">
        <f>IF(AND(E1864&gt;=H1864,E1865&gt;=E1864),E1864*(1+'Trading Model'!$E$13),IF(AND(E1865&lt;E1864,E1864&gt;=H1864),E1865*(1+'Trading Model'!$E$13),H1864))</f>
        <v>27.698998950000004</v>
      </c>
      <c r="I1865" s="198">
        <f>IF(K1865&gt;0,E1865*(1-'Trading Model'!E1875),IF(E1865&lt;I1864,I1864*(1-'Trading Model'!$E$14),I1864))</f>
        <v>8.9840153609188427</v>
      </c>
      <c r="J1865" s="198">
        <f t="shared" si="239"/>
        <v>0</v>
      </c>
      <c r="K1865" s="198">
        <f t="shared" si="234"/>
        <v>0</v>
      </c>
      <c r="L1865" s="198">
        <f>COUNTIF(J1865:K1865,"&lt;&gt;0")*-'Trading Model'!$E$15</f>
        <v>0</v>
      </c>
      <c r="M1865" s="198">
        <f t="shared" si="232"/>
        <v>0</v>
      </c>
      <c r="N1865" s="75">
        <f t="shared" si="235"/>
        <v>45</v>
      </c>
      <c r="O1865" s="202">
        <f t="shared" si="236"/>
        <v>0</v>
      </c>
      <c r="P1865" s="199">
        <f t="shared" si="233"/>
        <v>0</v>
      </c>
      <c r="Q1865" s="203">
        <f t="shared" si="237"/>
        <v>7.900000000001393</v>
      </c>
      <c r="R1865" s="203" t="s">
        <v>55</v>
      </c>
      <c r="S1865" s="201">
        <f t="shared" si="238"/>
        <v>1.0723860589814116E-3</v>
      </c>
    </row>
    <row r="1866" spans="1:19">
      <c r="A1866" s="196">
        <v>42674</v>
      </c>
      <c r="B1866" s="122">
        <v>18.649999999999999</v>
      </c>
      <c r="C1866" s="122">
        <v>18.82</v>
      </c>
      <c r="D1866" s="122">
        <v>18.610001</v>
      </c>
      <c r="E1866" s="122">
        <v>18.82</v>
      </c>
      <c r="F1866" s="122">
        <v>16.624269000000002</v>
      </c>
      <c r="G1866" s="197">
        <v>76000</v>
      </c>
      <c r="H1866" s="198">
        <f>IF(AND(E1865&gt;=H1865,E1866&gt;=E1865),E1865*(1+'Trading Model'!$E$13),IF(AND(E1866&lt;E1865,E1865&gt;=H1865),E1866*(1+'Trading Model'!$E$13),H1865))</f>
        <v>27.698998950000004</v>
      </c>
      <c r="I1866" s="198">
        <f>IF(K1866&gt;0,E1866*(1-'Trading Model'!E1876),IF(E1866&lt;I1865,I1865*(1-'Trading Model'!$E$14),I1865))</f>
        <v>8.9840153609188427</v>
      </c>
      <c r="J1866" s="198">
        <f t="shared" si="239"/>
        <v>0</v>
      </c>
      <c r="K1866" s="198">
        <f t="shared" si="234"/>
        <v>0</v>
      </c>
      <c r="L1866" s="198">
        <f>COUNTIF(J1866:K1866,"&lt;&gt;0")*-'Trading Model'!$E$15</f>
        <v>0</v>
      </c>
      <c r="M1866" s="198">
        <f t="shared" si="232"/>
        <v>0</v>
      </c>
      <c r="N1866" s="75">
        <f t="shared" si="235"/>
        <v>45</v>
      </c>
      <c r="O1866" s="202">
        <f t="shared" si="236"/>
        <v>0</v>
      </c>
      <c r="P1866" s="199">
        <f t="shared" si="233"/>
        <v>0</v>
      </c>
      <c r="Q1866" s="203">
        <f t="shared" si="237"/>
        <v>7.900000000001393</v>
      </c>
      <c r="R1866" s="203" t="s">
        <v>55</v>
      </c>
      <c r="S1866" s="201">
        <f t="shared" si="238"/>
        <v>8.0342795929297939E-3</v>
      </c>
    </row>
    <row r="1867" spans="1:19">
      <c r="A1867" s="196">
        <v>42675</v>
      </c>
      <c r="B1867" s="122">
        <v>18.719999000000001</v>
      </c>
      <c r="C1867" s="122">
        <v>18.98</v>
      </c>
      <c r="D1867" s="122">
        <v>18.700001</v>
      </c>
      <c r="E1867" s="122">
        <v>18.709999</v>
      </c>
      <c r="F1867" s="122">
        <v>16.527103</v>
      </c>
      <c r="G1867" s="197">
        <v>137600</v>
      </c>
      <c r="H1867" s="198">
        <f>IF(AND(E1866&gt;=H1866,E1867&gt;=E1866),E1866*(1+'Trading Model'!$E$13),IF(AND(E1867&lt;E1866,E1866&gt;=H1866),E1867*(1+'Trading Model'!$E$13),H1866))</f>
        <v>27.698998950000004</v>
      </c>
      <c r="I1867" s="198">
        <f>IF(K1867&gt;0,E1867*(1-'Trading Model'!E1877),IF(E1867&lt;I1866,I1866*(1-'Trading Model'!$E$14),I1866))</f>
        <v>8.9840153609188427</v>
      </c>
      <c r="J1867" s="198">
        <f t="shared" si="239"/>
        <v>0</v>
      </c>
      <c r="K1867" s="198">
        <f t="shared" si="234"/>
        <v>0</v>
      </c>
      <c r="L1867" s="198">
        <f>COUNTIF(J1867:K1867,"&lt;&gt;0")*-'Trading Model'!$E$15</f>
        <v>0</v>
      </c>
      <c r="M1867" s="198">
        <f t="shared" si="232"/>
        <v>0</v>
      </c>
      <c r="N1867" s="75">
        <f t="shared" si="235"/>
        <v>45</v>
      </c>
      <c r="O1867" s="202">
        <f t="shared" si="236"/>
        <v>0</v>
      </c>
      <c r="P1867" s="199">
        <f t="shared" si="233"/>
        <v>0</v>
      </c>
      <c r="Q1867" s="203">
        <f t="shared" si="237"/>
        <v>7.8000000000013934</v>
      </c>
      <c r="R1867" s="201">
        <f>E1867/B1863-1</f>
        <v>4.8334046813425235E-3</v>
      </c>
      <c r="S1867" s="201">
        <f t="shared" si="238"/>
        <v>-5.8448990435706616E-3</v>
      </c>
    </row>
    <row r="1868" spans="1:19">
      <c r="A1868" s="196">
        <v>42676</v>
      </c>
      <c r="B1868" s="122">
        <v>18.790001</v>
      </c>
      <c r="C1868" s="122">
        <v>18.790001</v>
      </c>
      <c r="D1868" s="122">
        <v>18.420000000000002</v>
      </c>
      <c r="E1868" s="122">
        <v>18.420000000000002</v>
      </c>
      <c r="F1868" s="122">
        <v>16.270941000000001</v>
      </c>
      <c r="G1868" s="197">
        <v>199600</v>
      </c>
      <c r="H1868" s="198">
        <f>IF(AND(E1867&gt;=H1867,E1868&gt;=E1867),E1867*(1+'Trading Model'!$E$13),IF(AND(E1868&lt;E1867,E1867&gt;=H1867),E1868*(1+'Trading Model'!$E$13),H1867))</f>
        <v>27.698998950000004</v>
      </c>
      <c r="I1868" s="198">
        <f>IF(K1868&gt;0,E1868*(1-'Trading Model'!E1878),IF(E1868&lt;I1867,I1867*(1-'Trading Model'!$E$14),I1867))</f>
        <v>8.9840153609188427</v>
      </c>
      <c r="J1868" s="198">
        <f t="shared" si="239"/>
        <v>0</v>
      </c>
      <c r="K1868" s="198">
        <f t="shared" si="234"/>
        <v>0</v>
      </c>
      <c r="L1868" s="198">
        <f>COUNTIF(J1868:K1868,"&lt;&gt;0")*-'Trading Model'!$E$15</f>
        <v>0</v>
      </c>
      <c r="M1868" s="198">
        <f t="shared" si="232"/>
        <v>0</v>
      </c>
      <c r="N1868" s="75">
        <f t="shared" si="235"/>
        <v>45</v>
      </c>
      <c r="O1868" s="202">
        <f t="shared" si="236"/>
        <v>0</v>
      </c>
      <c r="P1868" s="199">
        <f t="shared" si="233"/>
        <v>0</v>
      </c>
      <c r="Q1868" s="203">
        <f t="shared" si="237"/>
        <v>7.7000000000013937</v>
      </c>
      <c r="R1868" s="160" t="s">
        <v>55</v>
      </c>
      <c r="S1868" s="201">
        <f t="shared" si="238"/>
        <v>-1.5499680144290706E-2</v>
      </c>
    </row>
    <row r="1869" spans="1:19">
      <c r="A1869" s="196">
        <v>42677</v>
      </c>
      <c r="B1869" s="122">
        <v>18.629999000000002</v>
      </c>
      <c r="C1869" s="122">
        <v>18.719999000000001</v>
      </c>
      <c r="D1869" s="122">
        <v>18.18</v>
      </c>
      <c r="E1869" s="122">
        <v>18.43</v>
      </c>
      <c r="F1869" s="122">
        <v>16.279772000000001</v>
      </c>
      <c r="G1869" s="197">
        <v>98400</v>
      </c>
      <c r="H1869" s="198">
        <f>IF(AND(E1868&gt;=H1868,E1869&gt;=E1868),E1868*(1+'Trading Model'!$E$13),IF(AND(E1869&lt;E1868,E1868&gt;=H1868),E1869*(1+'Trading Model'!$E$13),H1868))</f>
        <v>27.698998950000004</v>
      </c>
      <c r="I1869" s="198">
        <f>IF(K1869&gt;0,E1869*(1-'Trading Model'!E1879),IF(E1869&lt;I1868,I1868*(1-'Trading Model'!$E$14),I1868))</f>
        <v>8.9840153609188427</v>
      </c>
      <c r="J1869" s="198">
        <f t="shared" si="239"/>
        <v>0</v>
      </c>
      <c r="K1869" s="198">
        <f t="shared" si="234"/>
        <v>0</v>
      </c>
      <c r="L1869" s="198">
        <f>COUNTIF(J1869:K1869,"&lt;&gt;0")*-'Trading Model'!$E$15</f>
        <v>0</v>
      </c>
      <c r="M1869" s="198">
        <f t="shared" si="232"/>
        <v>0</v>
      </c>
      <c r="N1869" s="75">
        <f t="shared" si="235"/>
        <v>45</v>
      </c>
      <c r="O1869" s="202">
        <f t="shared" si="236"/>
        <v>0</v>
      </c>
      <c r="P1869" s="199">
        <f t="shared" si="233"/>
        <v>0</v>
      </c>
      <c r="Q1869" s="203">
        <f t="shared" si="237"/>
        <v>7.7000000000013937</v>
      </c>
      <c r="R1869" s="203" t="s">
        <v>55</v>
      </c>
      <c r="S1869" s="201">
        <f t="shared" si="238"/>
        <v>5.4288816503800241E-4</v>
      </c>
    </row>
    <row r="1870" spans="1:19">
      <c r="A1870" s="196">
        <v>42678</v>
      </c>
      <c r="B1870" s="122">
        <v>18.450001</v>
      </c>
      <c r="C1870" s="122">
        <v>18.450001</v>
      </c>
      <c r="D1870" s="122">
        <v>18.200001</v>
      </c>
      <c r="E1870" s="122">
        <v>18.200001</v>
      </c>
      <c r="F1870" s="122">
        <v>16.076606999999999</v>
      </c>
      <c r="G1870" s="197">
        <v>161200</v>
      </c>
      <c r="H1870" s="198">
        <f>IF(AND(E1869&gt;=H1869,E1870&gt;=E1869),E1869*(1+'Trading Model'!$E$13),IF(AND(E1870&lt;E1869,E1869&gt;=H1869),E1870*(1+'Trading Model'!$E$13),H1869))</f>
        <v>27.698998950000004</v>
      </c>
      <c r="I1870" s="198">
        <f>IF(K1870&gt;0,E1870*(1-'Trading Model'!E1880),IF(E1870&lt;I1869,I1869*(1-'Trading Model'!$E$14),I1869))</f>
        <v>8.9840153609188427</v>
      </c>
      <c r="J1870" s="198">
        <f t="shared" si="239"/>
        <v>0</v>
      </c>
      <c r="K1870" s="198">
        <f t="shared" si="234"/>
        <v>0</v>
      </c>
      <c r="L1870" s="198">
        <f>COUNTIF(J1870:K1870,"&lt;&gt;0")*-'Trading Model'!$E$15</f>
        <v>0</v>
      </c>
      <c r="M1870" s="198">
        <f t="shared" si="232"/>
        <v>0</v>
      </c>
      <c r="N1870" s="75">
        <f t="shared" si="235"/>
        <v>45</v>
      </c>
      <c r="O1870" s="202">
        <f t="shared" si="236"/>
        <v>0</v>
      </c>
      <c r="P1870" s="199">
        <f t="shared" si="233"/>
        <v>0</v>
      </c>
      <c r="Q1870" s="203">
        <f t="shared" si="237"/>
        <v>7.6000000000013941</v>
      </c>
      <c r="R1870" s="203" t="s">
        <v>55</v>
      </c>
      <c r="S1870" s="201">
        <f t="shared" si="238"/>
        <v>-1.2479598480737875E-2</v>
      </c>
    </row>
    <row r="1871" spans="1:19">
      <c r="A1871" s="196">
        <v>42681</v>
      </c>
      <c r="B1871" s="122">
        <v>18.420000000000002</v>
      </c>
      <c r="C1871" s="122">
        <v>18.66</v>
      </c>
      <c r="D1871" s="122">
        <v>18.27</v>
      </c>
      <c r="E1871" s="122">
        <v>18.459999</v>
      </c>
      <c r="F1871" s="122">
        <v>16.306270999999999</v>
      </c>
      <c r="G1871" s="197">
        <v>82800</v>
      </c>
      <c r="H1871" s="198">
        <f>IF(AND(E1870&gt;=H1870,E1871&gt;=E1870),E1870*(1+'Trading Model'!$E$13),IF(AND(E1871&lt;E1870,E1870&gt;=H1870),E1871*(1+'Trading Model'!$E$13),H1870))</f>
        <v>27.698998950000004</v>
      </c>
      <c r="I1871" s="198">
        <f>IF(K1871&gt;0,E1871*(1-'Trading Model'!E1881),IF(E1871&lt;I1870,I1870*(1-'Trading Model'!$E$14),I1870))</f>
        <v>8.9840153609188427</v>
      </c>
      <c r="J1871" s="198">
        <f t="shared" si="239"/>
        <v>0</v>
      </c>
      <c r="K1871" s="198">
        <f t="shared" si="234"/>
        <v>0</v>
      </c>
      <c r="L1871" s="198">
        <f>COUNTIF(J1871:K1871,"&lt;&gt;0")*-'Trading Model'!$E$15</f>
        <v>0</v>
      </c>
      <c r="M1871" s="198">
        <f t="shared" si="232"/>
        <v>0</v>
      </c>
      <c r="N1871" s="75">
        <f t="shared" si="235"/>
        <v>45</v>
      </c>
      <c r="O1871" s="202">
        <f t="shared" si="236"/>
        <v>0</v>
      </c>
      <c r="P1871" s="199">
        <f t="shared" si="233"/>
        <v>0</v>
      </c>
      <c r="Q1871" s="203">
        <f t="shared" si="237"/>
        <v>7.6000000000013941</v>
      </c>
      <c r="R1871" s="203" t="s">
        <v>55</v>
      </c>
      <c r="S1871" s="201">
        <f t="shared" si="238"/>
        <v>1.4285603610681097E-2</v>
      </c>
    </row>
    <row r="1872" spans="1:19">
      <c r="A1872" s="196">
        <v>42682</v>
      </c>
      <c r="B1872" s="122">
        <v>18.329999999999998</v>
      </c>
      <c r="C1872" s="122">
        <v>18.639999</v>
      </c>
      <c r="D1872" s="122">
        <v>18.329999999999998</v>
      </c>
      <c r="E1872" s="122">
        <v>18.540001</v>
      </c>
      <c r="F1872" s="122">
        <v>16.376937999999999</v>
      </c>
      <c r="G1872" s="197">
        <v>73500</v>
      </c>
      <c r="H1872" s="198">
        <f>IF(AND(E1871&gt;=H1871,E1872&gt;=E1871),E1871*(1+'Trading Model'!$E$13),IF(AND(E1872&lt;E1871,E1871&gt;=H1871),E1872*(1+'Trading Model'!$E$13),H1871))</f>
        <v>27.698998950000004</v>
      </c>
      <c r="I1872" s="198">
        <f>IF(K1872&gt;0,E1872*(1-'Trading Model'!E1882),IF(E1872&lt;I1871,I1871*(1-'Trading Model'!$E$14),I1871))</f>
        <v>8.9840153609188427</v>
      </c>
      <c r="J1872" s="198">
        <f t="shared" si="239"/>
        <v>0</v>
      </c>
      <c r="K1872" s="198">
        <f t="shared" si="234"/>
        <v>0</v>
      </c>
      <c r="L1872" s="198">
        <f>COUNTIF(J1872:K1872,"&lt;&gt;0")*-'Trading Model'!$E$15</f>
        <v>0</v>
      </c>
      <c r="M1872" s="198">
        <f t="shared" si="232"/>
        <v>0</v>
      </c>
      <c r="N1872" s="75">
        <f t="shared" si="235"/>
        <v>45</v>
      </c>
      <c r="O1872" s="202">
        <f t="shared" si="236"/>
        <v>0</v>
      </c>
      <c r="P1872" s="199">
        <f t="shared" si="233"/>
        <v>0</v>
      </c>
      <c r="Q1872" s="203">
        <f t="shared" si="237"/>
        <v>7.6000000000013941</v>
      </c>
      <c r="R1872" s="201">
        <f>E1872/B1868-1</f>
        <v>-1.3304948733105393E-2</v>
      </c>
      <c r="S1872" s="201">
        <f t="shared" si="238"/>
        <v>4.3338030516686388E-3</v>
      </c>
    </row>
    <row r="1873" spans="1:19">
      <c r="A1873" s="196">
        <v>42683</v>
      </c>
      <c r="B1873" s="122">
        <v>17.75</v>
      </c>
      <c r="C1873" s="122">
        <v>18.620000999999998</v>
      </c>
      <c r="D1873" s="122">
        <v>17.75</v>
      </c>
      <c r="E1873" s="122">
        <v>18.379999000000002</v>
      </c>
      <c r="F1873" s="122">
        <v>16.235600999999999</v>
      </c>
      <c r="G1873" s="197">
        <v>90700</v>
      </c>
      <c r="H1873" s="198">
        <f>IF(AND(E1872&gt;=H1872,E1873&gt;=E1872),E1872*(1+'Trading Model'!$E$13),IF(AND(E1873&lt;E1872,E1872&gt;=H1872),E1873*(1+'Trading Model'!$E$13),H1872))</f>
        <v>27.698998950000004</v>
      </c>
      <c r="I1873" s="198">
        <f>IF(K1873&gt;0,E1873*(1-'Trading Model'!E1883),IF(E1873&lt;I1872,I1872*(1-'Trading Model'!$E$14),I1872))</f>
        <v>8.9840153609188427</v>
      </c>
      <c r="J1873" s="198">
        <f t="shared" si="239"/>
        <v>0</v>
      </c>
      <c r="K1873" s="198">
        <f t="shared" si="234"/>
        <v>0</v>
      </c>
      <c r="L1873" s="198">
        <f>COUNTIF(J1873:K1873,"&lt;&gt;0")*-'Trading Model'!$E$15</f>
        <v>0</v>
      </c>
      <c r="M1873" s="198">
        <f t="shared" si="232"/>
        <v>0</v>
      </c>
      <c r="N1873" s="75">
        <f t="shared" si="235"/>
        <v>45</v>
      </c>
      <c r="O1873" s="202">
        <f t="shared" si="236"/>
        <v>0</v>
      </c>
      <c r="P1873" s="199">
        <f t="shared" si="233"/>
        <v>0</v>
      </c>
      <c r="Q1873" s="203">
        <f t="shared" si="237"/>
        <v>7.5000000000013944</v>
      </c>
      <c r="R1873" s="160" t="s">
        <v>55</v>
      </c>
      <c r="S1873" s="201">
        <f t="shared" si="238"/>
        <v>-8.6300966218932906E-3</v>
      </c>
    </row>
    <row r="1874" spans="1:19">
      <c r="A1874" s="196">
        <v>42684</v>
      </c>
      <c r="B1874" s="122">
        <v>18.440000999999999</v>
      </c>
      <c r="C1874" s="122">
        <v>18.559999000000001</v>
      </c>
      <c r="D1874" s="122">
        <v>18.010000000000002</v>
      </c>
      <c r="E1874" s="122">
        <v>18.100000000000001</v>
      </c>
      <c r="F1874" s="122">
        <v>15.988275</v>
      </c>
      <c r="G1874" s="197">
        <v>61700</v>
      </c>
      <c r="H1874" s="198">
        <f>IF(AND(E1873&gt;=H1873,E1874&gt;=E1873),E1873*(1+'Trading Model'!$E$13),IF(AND(E1874&lt;E1873,E1873&gt;=H1873),E1874*(1+'Trading Model'!$E$13),H1873))</f>
        <v>27.698998950000004</v>
      </c>
      <c r="I1874" s="198">
        <f>IF(K1874&gt;0,E1874*(1-'Trading Model'!E1884),IF(E1874&lt;I1873,I1873*(1-'Trading Model'!$E$14),I1873))</f>
        <v>8.9840153609188427</v>
      </c>
      <c r="J1874" s="198">
        <f t="shared" si="239"/>
        <v>0</v>
      </c>
      <c r="K1874" s="198">
        <f t="shared" si="234"/>
        <v>0</v>
      </c>
      <c r="L1874" s="198">
        <f>COUNTIF(J1874:K1874,"&lt;&gt;0")*-'Trading Model'!$E$15</f>
        <v>0</v>
      </c>
      <c r="M1874" s="198">
        <f t="shared" si="232"/>
        <v>0</v>
      </c>
      <c r="N1874" s="75">
        <f t="shared" si="235"/>
        <v>45</v>
      </c>
      <c r="O1874" s="202">
        <f t="shared" si="236"/>
        <v>0</v>
      </c>
      <c r="P1874" s="199">
        <f t="shared" si="233"/>
        <v>0</v>
      </c>
      <c r="Q1874" s="203">
        <f t="shared" si="237"/>
        <v>7.4000000000013948</v>
      </c>
      <c r="R1874" s="203" t="s">
        <v>55</v>
      </c>
      <c r="S1874" s="201">
        <f t="shared" si="238"/>
        <v>-1.5233896367458977E-2</v>
      </c>
    </row>
    <row r="1875" spans="1:19">
      <c r="A1875" s="196">
        <v>42685</v>
      </c>
      <c r="B1875" s="122">
        <v>17.940000999999999</v>
      </c>
      <c r="C1875" s="122">
        <v>18.059999000000001</v>
      </c>
      <c r="D1875" s="122">
        <v>17.34</v>
      </c>
      <c r="E1875" s="122">
        <v>17.870000999999998</v>
      </c>
      <c r="F1875" s="122">
        <v>15.785106000000001</v>
      </c>
      <c r="G1875" s="197">
        <v>157200</v>
      </c>
      <c r="H1875" s="198">
        <f>IF(AND(E1874&gt;=H1874,E1875&gt;=E1874),E1874*(1+'Trading Model'!$E$13),IF(AND(E1875&lt;E1874,E1874&gt;=H1874),E1875*(1+'Trading Model'!$E$13),H1874))</f>
        <v>27.698998950000004</v>
      </c>
      <c r="I1875" s="198">
        <f>IF(K1875&gt;0,E1875*(1-'Trading Model'!E1885),IF(E1875&lt;I1874,I1874*(1-'Trading Model'!$E$14),I1874))</f>
        <v>8.9840153609188427</v>
      </c>
      <c r="J1875" s="198">
        <f t="shared" si="239"/>
        <v>0</v>
      </c>
      <c r="K1875" s="198">
        <f t="shared" si="234"/>
        <v>0</v>
      </c>
      <c r="L1875" s="198">
        <f>COUNTIF(J1875:K1875,"&lt;&gt;0")*-'Trading Model'!$E$15</f>
        <v>0</v>
      </c>
      <c r="M1875" s="198">
        <f t="shared" si="232"/>
        <v>0</v>
      </c>
      <c r="N1875" s="75">
        <f t="shared" si="235"/>
        <v>45</v>
      </c>
      <c r="O1875" s="202">
        <f t="shared" si="236"/>
        <v>0</v>
      </c>
      <c r="P1875" s="199">
        <f t="shared" si="233"/>
        <v>0</v>
      </c>
      <c r="Q1875" s="203">
        <f t="shared" si="237"/>
        <v>7.3000000000013952</v>
      </c>
      <c r="R1875" s="203" t="s">
        <v>55</v>
      </c>
      <c r="S1875" s="201">
        <f t="shared" si="238"/>
        <v>-1.2707127071823421E-2</v>
      </c>
    </row>
    <row r="1876" spans="1:19">
      <c r="A1876" s="196">
        <v>42688</v>
      </c>
      <c r="B1876" s="122">
        <v>17.850000000000001</v>
      </c>
      <c r="C1876" s="122">
        <v>17.98</v>
      </c>
      <c r="D1876" s="122">
        <v>17.299999</v>
      </c>
      <c r="E1876" s="122">
        <v>17.399999999999999</v>
      </c>
      <c r="F1876" s="122">
        <v>15.369942</v>
      </c>
      <c r="G1876" s="197">
        <v>291900</v>
      </c>
      <c r="H1876" s="198">
        <f>IF(AND(E1875&gt;=H1875,E1876&gt;=E1875),E1875*(1+'Trading Model'!$E$13),IF(AND(E1876&lt;E1875,E1875&gt;=H1875),E1876*(1+'Trading Model'!$E$13),H1875))</f>
        <v>27.698998950000004</v>
      </c>
      <c r="I1876" s="198">
        <f>IF(K1876&gt;0,E1876*(1-'Trading Model'!E1886),IF(E1876&lt;I1875,I1875*(1-'Trading Model'!$E$14),I1875))</f>
        <v>8.9840153609188427</v>
      </c>
      <c r="J1876" s="198">
        <f t="shared" si="239"/>
        <v>0</v>
      </c>
      <c r="K1876" s="198">
        <f t="shared" si="234"/>
        <v>0</v>
      </c>
      <c r="L1876" s="198">
        <f>COUNTIF(J1876:K1876,"&lt;&gt;0")*-'Trading Model'!$E$15</f>
        <v>0</v>
      </c>
      <c r="M1876" s="198">
        <f t="shared" si="232"/>
        <v>0</v>
      </c>
      <c r="N1876" s="75">
        <f t="shared" si="235"/>
        <v>45</v>
      </c>
      <c r="O1876" s="202">
        <f t="shared" si="236"/>
        <v>0</v>
      </c>
      <c r="P1876" s="199">
        <f t="shared" si="233"/>
        <v>0</v>
      </c>
      <c r="Q1876" s="203">
        <f t="shared" si="237"/>
        <v>7.2000000000013955</v>
      </c>
      <c r="R1876" s="203" t="s">
        <v>55</v>
      </c>
      <c r="S1876" s="201">
        <f t="shared" si="238"/>
        <v>-2.630111772237731E-2</v>
      </c>
    </row>
    <row r="1877" spans="1:19">
      <c r="A1877" s="196">
        <v>42689</v>
      </c>
      <c r="B1877" s="122">
        <v>17.549999</v>
      </c>
      <c r="C1877" s="122">
        <v>17.879999000000002</v>
      </c>
      <c r="D1877" s="122">
        <v>17.399999999999999</v>
      </c>
      <c r="E1877" s="122">
        <v>17.739999999999998</v>
      </c>
      <c r="F1877" s="122">
        <v>15.670272000000001</v>
      </c>
      <c r="G1877" s="197">
        <v>55200</v>
      </c>
      <c r="H1877" s="198">
        <f>IF(AND(E1876&gt;=H1876,E1877&gt;=E1876),E1876*(1+'Trading Model'!$E$13),IF(AND(E1877&lt;E1876,E1876&gt;=H1876),E1877*(1+'Trading Model'!$E$13),H1876))</f>
        <v>27.698998950000004</v>
      </c>
      <c r="I1877" s="198">
        <f>IF(K1877&gt;0,E1877*(1-'Trading Model'!E1887),IF(E1877&lt;I1876,I1876*(1-'Trading Model'!$E$14),I1876))</f>
        <v>8.9840153609188427</v>
      </c>
      <c r="J1877" s="198">
        <f t="shared" si="239"/>
        <v>0</v>
      </c>
      <c r="K1877" s="198">
        <f t="shared" si="234"/>
        <v>0</v>
      </c>
      <c r="L1877" s="198">
        <f>COUNTIF(J1877:K1877,"&lt;&gt;0")*-'Trading Model'!$E$15</f>
        <v>0</v>
      </c>
      <c r="M1877" s="198">
        <f t="shared" si="232"/>
        <v>0</v>
      </c>
      <c r="N1877" s="75">
        <f t="shared" si="235"/>
        <v>45</v>
      </c>
      <c r="O1877" s="202">
        <f t="shared" si="236"/>
        <v>0</v>
      </c>
      <c r="P1877" s="199">
        <f t="shared" si="233"/>
        <v>0</v>
      </c>
      <c r="Q1877" s="203">
        <f t="shared" si="237"/>
        <v>7.2000000000013955</v>
      </c>
      <c r="R1877" s="201">
        <f>E1877/B1873-1</f>
        <v>-5.6338028169022891E-4</v>
      </c>
      <c r="S1877" s="201">
        <f t="shared" si="238"/>
        <v>1.9540229885057547E-2</v>
      </c>
    </row>
    <row r="1878" spans="1:19">
      <c r="A1878" s="196">
        <v>42690</v>
      </c>
      <c r="B1878" s="122">
        <v>17.700001</v>
      </c>
      <c r="C1878" s="122">
        <v>17.77</v>
      </c>
      <c r="D1878" s="122">
        <v>17.559999000000001</v>
      </c>
      <c r="E1878" s="122">
        <v>17.77</v>
      </c>
      <c r="F1878" s="122">
        <v>15.696774</v>
      </c>
      <c r="G1878" s="197">
        <v>35300</v>
      </c>
      <c r="H1878" s="198">
        <f>IF(AND(E1877&gt;=H1877,E1878&gt;=E1877),E1877*(1+'Trading Model'!$E$13),IF(AND(E1878&lt;E1877,E1877&gt;=H1877),E1878*(1+'Trading Model'!$E$13),H1877))</f>
        <v>27.698998950000004</v>
      </c>
      <c r="I1878" s="198">
        <f>IF(K1878&gt;0,E1878*(1-'Trading Model'!E1888),IF(E1878&lt;I1877,I1877*(1-'Trading Model'!$E$14),I1877))</f>
        <v>8.9840153609188427</v>
      </c>
      <c r="J1878" s="198">
        <f t="shared" si="239"/>
        <v>0</v>
      </c>
      <c r="K1878" s="198">
        <f t="shared" si="234"/>
        <v>0</v>
      </c>
      <c r="L1878" s="198">
        <f>COUNTIF(J1878:K1878,"&lt;&gt;0")*-'Trading Model'!$E$15</f>
        <v>0</v>
      </c>
      <c r="M1878" s="198">
        <f t="shared" si="232"/>
        <v>0</v>
      </c>
      <c r="N1878" s="75">
        <f t="shared" si="235"/>
        <v>45</v>
      </c>
      <c r="O1878" s="202">
        <f t="shared" si="236"/>
        <v>0</v>
      </c>
      <c r="P1878" s="199">
        <f t="shared" si="233"/>
        <v>0</v>
      </c>
      <c r="Q1878" s="203">
        <f t="shared" si="237"/>
        <v>7.2000000000013955</v>
      </c>
      <c r="R1878" s="160" t="s">
        <v>55</v>
      </c>
      <c r="S1878" s="201">
        <f t="shared" si="238"/>
        <v>1.6910935738445598E-3</v>
      </c>
    </row>
    <row r="1879" spans="1:19">
      <c r="A1879" s="196">
        <v>42691</v>
      </c>
      <c r="B1879" s="122">
        <v>17.829999999999998</v>
      </c>
      <c r="C1879" s="122">
        <v>18.139999</v>
      </c>
      <c r="D1879" s="122">
        <v>17.709999</v>
      </c>
      <c r="E1879" s="122">
        <v>18.02</v>
      </c>
      <c r="F1879" s="122">
        <v>15.917607</v>
      </c>
      <c r="G1879" s="197">
        <v>53000</v>
      </c>
      <c r="H1879" s="198">
        <f>IF(AND(E1878&gt;=H1878,E1879&gt;=E1878),E1878*(1+'Trading Model'!$E$13),IF(AND(E1879&lt;E1878,E1878&gt;=H1878),E1879*(1+'Trading Model'!$E$13),H1878))</f>
        <v>27.698998950000004</v>
      </c>
      <c r="I1879" s="198">
        <f>IF(K1879&gt;0,E1879*(1-'Trading Model'!E1889),IF(E1879&lt;I1878,I1878*(1-'Trading Model'!$E$14),I1878))</f>
        <v>8.9840153609188427</v>
      </c>
      <c r="J1879" s="198">
        <f t="shared" si="239"/>
        <v>0</v>
      </c>
      <c r="K1879" s="198">
        <f t="shared" si="234"/>
        <v>0</v>
      </c>
      <c r="L1879" s="198">
        <f>COUNTIF(J1879:K1879,"&lt;&gt;0")*-'Trading Model'!$E$15</f>
        <v>0</v>
      </c>
      <c r="M1879" s="198">
        <f t="shared" si="232"/>
        <v>0</v>
      </c>
      <c r="N1879" s="75">
        <f t="shared" si="235"/>
        <v>45</v>
      </c>
      <c r="O1879" s="202">
        <f t="shared" si="236"/>
        <v>0</v>
      </c>
      <c r="P1879" s="199">
        <f t="shared" si="233"/>
        <v>0</v>
      </c>
      <c r="Q1879" s="203">
        <f t="shared" si="237"/>
        <v>7.2000000000013955</v>
      </c>
      <c r="R1879" s="203" t="s">
        <v>55</v>
      </c>
      <c r="S1879" s="201">
        <f t="shared" si="238"/>
        <v>1.4068655036578503E-2</v>
      </c>
    </row>
    <row r="1880" spans="1:19">
      <c r="A1880" s="196">
        <v>42692</v>
      </c>
      <c r="B1880" s="122">
        <v>18.02</v>
      </c>
      <c r="C1880" s="122">
        <v>18.25</v>
      </c>
      <c r="D1880" s="122">
        <v>17.950001</v>
      </c>
      <c r="E1880" s="122">
        <v>17.959999</v>
      </c>
      <c r="F1880" s="122">
        <v>15.864604999999999</v>
      </c>
      <c r="G1880" s="197">
        <v>151400</v>
      </c>
      <c r="H1880" s="198">
        <f>IF(AND(E1879&gt;=H1879,E1880&gt;=E1879),E1879*(1+'Trading Model'!$E$13),IF(AND(E1880&lt;E1879,E1879&gt;=H1879),E1880*(1+'Trading Model'!$E$13),H1879))</f>
        <v>27.698998950000004</v>
      </c>
      <c r="I1880" s="198">
        <f>IF(K1880&gt;0,E1880*(1-'Trading Model'!E1890),IF(E1880&lt;I1879,I1879*(1-'Trading Model'!$E$14),I1879))</f>
        <v>8.9840153609188427</v>
      </c>
      <c r="J1880" s="198">
        <f t="shared" si="239"/>
        <v>0</v>
      </c>
      <c r="K1880" s="198">
        <f t="shared" si="234"/>
        <v>0</v>
      </c>
      <c r="L1880" s="198">
        <f>COUNTIF(J1880:K1880,"&lt;&gt;0")*-'Trading Model'!$E$15</f>
        <v>0</v>
      </c>
      <c r="M1880" s="198">
        <f t="shared" si="232"/>
        <v>0</v>
      </c>
      <c r="N1880" s="75">
        <f t="shared" si="235"/>
        <v>45</v>
      </c>
      <c r="O1880" s="202">
        <f t="shared" si="236"/>
        <v>0</v>
      </c>
      <c r="P1880" s="199">
        <f t="shared" si="233"/>
        <v>0</v>
      </c>
      <c r="Q1880" s="203">
        <f t="shared" si="237"/>
        <v>7.1000000000013959</v>
      </c>
      <c r="R1880" s="203" t="s">
        <v>55</v>
      </c>
      <c r="S1880" s="201">
        <f t="shared" si="238"/>
        <v>-3.3296892341841966E-3</v>
      </c>
    </row>
    <row r="1881" spans="1:19">
      <c r="A1881" s="196">
        <v>42695</v>
      </c>
      <c r="B1881" s="122">
        <v>18.120000999999998</v>
      </c>
      <c r="C1881" s="122">
        <v>18.459999</v>
      </c>
      <c r="D1881" s="122">
        <v>18</v>
      </c>
      <c r="E1881" s="122">
        <v>18.459999</v>
      </c>
      <c r="F1881" s="122">
        <v>16.306270999999999</v>
      </c>
      <c r="G1881" s="197">
        <v>76300</v>
      </c>
      <c r="H1881" s="198">
        <f>IF(AND(E1880&gt;=H1880,E1881&gt;=E1880),E1880*(1+'Trading Model'!$E$13),IF(AND(E1881&lt;E1880,E1880&gt;=H1880),E1881*(1+'Trading Model'!$E$13),H1880))</f>
        <v>27.698998950000004</v>
      </c>
      <c r="I1881" s="198">
        <f>IF(K1881&gt;0,E1881*(1-'Trading Model'!E1891),IF(E1881&lt;I1880,I1880*(1-'Trading Model'!$E$14),I1880))</f>
        <v>8.9840153609188427</v>
      </c>
      <c r="J1881" s="198">
        <f t="shared" si="239"/>
        <v>0</v>
      </c>
      <c r="K1881" s="198">
        <f t="shared" si="234"/>
        <v>0</v>
      </c>
      <c r="L1881" s="198">
        <f>COUNTIF(J1881:K1881,"&lt;&gt;0")*-'Trading Model'!$E$15</f>
        <v>0</v>
      </c>
      <c r="M1881" s="198">
        <f t="shared" si="232"/>
        <v>0</v>
      </c>
      <c r="N1881" s="75">
        <f t="shared" si="235"/>
        <v>45</v>
      </c>
      <c r="O1881" s="202">
        <f t="shared" si="236"/>
        <v>0</v>
      </c>
      <c r="P1881" s="199">
        <f t="shared" si="233"/>
        <v>0</v>
      </c>
      <c r="Q1881" s="203">
        <f t="shared" si="237"/>
        <v>7.1000000000013959</v>
      </c>
      <c r="R1881" s="203" t="s">
        <v>55</v>
      </c>
      <c r="S1881" s="201">
        <f t="shared" si="238"/>
        <v>2.7839645202652807E-2</v>
      </c>
    </row>
    <row r="1882" spans="1:19">
      <c r="A1882" s="196">
        <v>42696</v>
      </c>
      <c r="B1882" s="122">
        <v>18.5</v>
      </c>
      <c r="C1882" s="122">
        <v>18.77</v>
      </c>
      <c r="D1882" s="122">
        <v>18.190000999999999</v>
      </c>
      <c r="E1882" s="122">
        <v>18.34</v>
      </c>
      <c r="F1882" s="122">
        <v>16.200271999999998</v>
      </c>
      <c r="G1882" s="197">
        <v>113700</v>
      </c>
      <c r="H1882" s="198">
        <f>IF(AND(E1881&gt;=H1881,E1882&gt;=E1881),E1881*(1+'Trading Model'!$E$13),IF(AND(E1882&lt;E1881,E1881&gt;=H1881),E1882*(1+'Trading Model'!$E$13),H1881))</f>
        <v>27.698998950000004</v>
      </c>
      <c r="I1882" s="198">
        <f>IF(K1882&gt;0,E1882*(1-'Trading Model'!E1892),IF(E1882&lt;I1881,I1881*(1-'Trading Model'!$E$14),I1881))</f>
        <v>8.9840153609188427</v>
      </c>
      <c r="J1882" s="198">
        <f t="shared" si="239"/>
        <v>0</v>
      </c>
      <c r="K1882" s="198">
        <f t="shared" si="234"/>
        <v>0</v>
      </c>
      <c r="L1882" s="198">
        <f>COUNTIF(J1882:K1882,"&lt;&gt;0")*-'Trading Model'!$E$15</f>
        <v>0</v>
      </c>
      <c r="M1882" s="198">
        <f t="shared" si="232"/>
        <v>0</v>
      </c>
      <c r="N1882" s="75">
        <f t="shared" si="235"/>
        <v>45</v>
      </c>
      <c r="O1882" s="202">
        <f t="shared" si="236"/>
        <v>0</v>
      </c>
      <c r="P1882" s="199">
        <f t="shared" si="233"/>
        <v>0</v>
      </c>
      <c r="Q1882" s="203">
        <f t="shared" si="237"/>
        <v>7.0000000000013962</v>
      </c>
      <c r="R1882" s="201">
        <f>E1882/B1878-1</f>
        <v>3.6158133550387994E-2</v>
      </c>
      <c r="S1882" s="201">
        <f t="shared" si="238"/>
        <v>-6.5004878927674703E-3</v>
      </c>
    </row>
    <row r="1883" spans="1:19">
      <c r="A1883" s="196">
        <v>42697</v>
      </c>
      <c r="B1883" s="122">
        <v>18.299999</v>
      </c>
      <c r="C1883" s="122">
        <v>18.649999999999999</v>
      </c>
      <c r="D1883" s="122">
        <v>17.73</v>
      </c>
      <c r="E1883" s="122">
        <v>17.950001</v>
      </c>
      <c r="F1883" s="122">
        <v>15.855775</v>
      </c>
      <c r="G1883" s="197">
        <v>62200</v>
      </c>
      <c r="H1883" s="198">
        <f>IF(AND(E1882&gt;=H1882,E1883&gt;=E1882),E1882*(1+'Trading Model'!$E$13),IF(AND(E1883&lt;E1882,E1882&gt;=H1882),E1883*(1+'Trading Model'!$E$13),H1882))</f>
        <v>27.698998950000004</v>
      </c>
      <c r="I1883" s="198">
        <f>IF(K1883&gt;0,E1883*(1-'Trading Model'!E1893),IF(E1883&lt;I1882,I1882*(1-'Trading Model'!$E$14),I1882))</f>
        <v>8.9840153609188427</v>
      </c>
      <c r="J1883" s="198">
        <f t="shared" si="239"/>
        <v>0</v>
      </c>
      <c r="K1883" s="198">
        <f t="shared" si="234"/>
        <v>0</v>
      </c>
      <c r="L1883" s="198">
        <f>COUNTIF(J1883:K1883,"&lt;&gt;0")*-'Trading Model'!$E$15</f>
        <v>0</v>
      </c>
      <c r="M1883" s="198">
        <f t="shared" si="232"/>
        <v>0</v>
      </c>
      <c r="N1883" s="75">
        <f t="shared" si="235"/>
        <v>45</v>
      </c>
      <c r="O1883" s="202">
        <f t="shared" si="236"/>
        <v>0</v>
      </c>
      <c r="P1883" s="199">
        <f t="shared" si="233"/>
        <v>0</v>
      </c>
      <c r="Q1883" s="203">
        <f t="shared" si="237"/>
        <v>6.9000000000013966</v>
      </c>
      <c r="R1883" s="160" t="s">
        <v>55</v>
      </c>
      <c r="S1883" s="201">
        <f t="shared" si="238"/>
        <v>-2.126494002181023E-2</v>
      </c>
    </row>
    <row r="1884" spans="1:19">
      <c r="A1884" s="196">
        <v>42699</v>
      </c>
      <c r="B1884" s="122">
        <v>17.940000999999999</v>
      </c>
      <c r="C1884" s="122">
        <v>18.149999999999999</v>
      </c>
      <c r="D1884" s="122">
        <v>17.799999</v>
      </c>
      <c r="E1884" s="122">
        <v>18.149999999999999</v>
      </c>
      <c r="F1884" s="122">
        <v>16.032437999999999</v>
      </c>
      <c r="G1884" s="197">
        <v>44500</v>
      </c>
      <c r="H1884" s="198">
        <f>IF(AND(E1883&gt;=H1883,E1884&gt;=E1883),E1883*(1+'Trading Model'!$E$13),IF(AND(E1884&lt;E1883,E1883&gt;=H1883),E1884*(1+'Trading Model'!$E$13),H1883))</f>
        <v>27.698998950000004</v>
      </c>
      <c r="I1884" s="198">
        <f>IF(K1884&gt;0,E1884*(1-'Trading Model'!E1894),IF(E1884&lt;I1883,I1883*(1-'Trading Model'!$E$14),I1883))</f>
        <v>8.9840153609188427</v>
      </c>
      <c r="J1884" s="198">
        <f t="shared" si="239"/>
        <v>0</v>
      </c>
      <c r="K1884" s="198">
        <f t="shared" si="234"/>
        <v>0</v>
      </c>
      <c r="L1884" s="198">
        <f>COUNTIF(J1884:K1884,"&lt;&gt;0")*-'Trading Model'!$E$15</f>
        <v>0</v>
      </c>
      <c r="M1884" s="198">
        <f t="shared" si="232"/>
        <v>0</v>
      </c>
      <c r="N1884" s="75">
        <f t="shared" si="235"/>
        <v>45</v>
      </c>
      <c r="O1884" s="202">
        <f t="shared" si="236"/>
        <v>0</v>
      </c>
      <c r="P1884" s="199">
        <f t="shared" si="233"/>
        <v>0</v>
      </c>
      <c r="Q1884" s="203">
        <f t="shared" si="237"/>
        <v>6.9000000000013966</v>
      </c>
      <c r="R1884" s="203" t="s">
        <v>55</v>
      </c>
      <c r="S1884" s="201">
        <f t="shared" si="238"/>
        <v>1.1142004950305928E-2</v>
      </c>
    </row>
    <row r="1885" spans="1:19">
      <c r="A1885" s="196">
        <v>42702</v>
      </c>
      <c r="B1885" s="122">
        <v>18.149999999999999</v>
      </c>
      <c r="C1885" s="122">
        <v>18.700001</v>
      </c>
      <c r="D1885" s="122">
        <v>18.129999000000002</v>
      </c>
      <c r="E1885" s="122">
        <v>18.459999</v>
      </c>
      <c r="F1885" s="122">
        <v>16.306270999999999</v>
      </c>
      <c r="G1885" s="197">
        <v>74700</v>
      </c>
      <c r="H1885" s="198">
        <f>IF(AND(E1884&gt;=H1884,E1885&gt;=E1884),E1884*(1+'Trading Model'!$E$13),IF(AND(E1885&lt;E1884,E1884&gt;=H1884),E1885*(1+'Trading Model'!$E$13),H1884))</f>
        <v>27.698998950000004</v>
      </c>
      <c r="I1885" s="198">
        <f>IF(K1885&gt;0,E1885*(1-'Trading Model'!E1895),IF(E1885&lt;I1884,I1884*(1-'Trading Model'!$E$14),I1884))</f>
        <v>8.9840153609188427</v>
      </c>
      <c r="J1885" s="198">
        <f t="shared" si="239"/>
        <v>0</v>
      </c>
      <c r="K1885" s="198">
        <f t="shared" si="234"/>
        <v>0</v>
      </c>
      <c r="L1885" s="198">
        <f>COUNTIF(J1885:K1885,"&lt;&gt;0")*-'Trading Model'!$E$15</f>
        <v>0</v>
      </c>
      <c r="M1885" s="198">
        <f t="shared" si="232"/>
        <v>0</v>
      </c>
      <c r="N1885" s="75">
        <f t="shared" si="235"/>
        <v>45</v>
      </c>
      <c r="O1885" s="202">
        <f t="shared" si="236"/>
        <v>0</v>
      </c>
      <c r="P1885" s="199">
        <f t="shared" si="233"/>
        <v>0</v>
      </c>
      <c r="Q1885" s="203">
        <f t="shared" si="237"/>
        <v>6.9000000000013966</v>
      </c>
      <c r="R1885" s="203" t="s">
        <v>55</v>
      </c>
      <c r="S1885" s="201">
        <f t="shared" si="238"/>
        <v>1.7079834710743924E-2</v>
      </c>
    </row>
    <row r="1886" spans="1:19">
      <c r="A1886" s="196">
        <v>42703</v>
      </c>
      <c r="B1886" s="122">
        <v>18.450001</v>
      </c>
      <c r="C1886" s="122">
        <v>18.709999</v>
      </c>
      <c r="D1886" s="122">
        <v>18.219999000000001</v>
      </c>
      <c r="E1886" s="122">
        <v>18.440000999999999</v>
      </c>
      <c r="F1886" s="122">
        <v>16.288605</v>
      </c>
      <c r="G1886" s="197">
        <v>144100</v>
      </c>
      <c r="H1886" s="198">
        <f>IF(AND(E1885&gt;=H1885,E1886&gt;=E1885),E1885*(1+'Trading Model'!$E$13),IF(AND(E1886&lt;E1885,E1885&gt;=H1885),E1886*(1+'Trading Model'!$E$13),H1885))</f>
        <v>27.698998950000004</v>
      </c>
      <c r="I1886" s="198">
        <f>IF(K1886&gt;0,E1886*(1-'Trading Model'!E1896),IF(E1886&lt;I1885,I1885*(1-'Trading Model'!$E$14),I1885))</f>
        <v>8.9840153609188427</v>
      </c>
      <c r="J1886" s="198">
        <f t="shared" si="239"/>
        <v>0</v>
      </c>
      <c r="K1886" s="198">
        <f t="shared" si="234"/>
        <v>0</v>
      </c>
      <c r="L1886" s="198">
        <f>COUNTIF(J1886:K1886,"&lt;&gt;0")*-'Trading Model'!$E$15</f>
        <v>0</v>
      </c>
      <c r="M1886" s="198">
        <f t="shared" si="232"/>
        <v>0</v>
      </c>
      <c r="N1886" s="75">
        <f t="shared" si="235"/>
        <v>45</v>
      </c>
      <c r="O1886" s="202">
        <f t="shared" si="236"/>
        <v>0</v>
      </c>
      <c r="P1886" s="199">
        <f t="shared" si="233"/>
        <v>0</v>
      </c>
      <c r="Q1886" s="203">
        <f t="shared" si="237"/>
        <v>6.8000000000013969</v>
      </c>
      <c r="R1886" s="203" t="s">
        <v>55</v>
      </c>
      <c r="S1886" s="201">
        <f t="shared" si="238"/>
        <v>-1.0833153349575353E-3</v>
      </c>
    </row>
    <row r="1887" spans="1:19">
      <c r="A1887" s="196">
        <v>42704</v>
      </c>
      <c r="B1887" s="122">
        <v>18.450001</v>
      </c>
      <c r="C1887" s="122">
        <v>18.75</v>
      </c>
      <c r="D1887" s="122">
        <v>17.829999999999998</v>
      </c>
      <c r="E1887" s="122">
        <v>18</v>
      </c>
      <c r="F1887" s="122">
        <v>15.899940000000001</v>
      </c>
      <c r="G1887" s="197">
        <v>268100</v>
      </c>
      <c r="H1887" s="198">
        <f>IF(AND(E1886&gt;=H1886,E1887&gt;=E1886),E1886*(1+'Trading Model'!$E$13),IF(AND(E1887&lt;E1886,E1886&gt;=H1886),E1887*(1+'Trading Model'!$E$13),H1886))</f>
        <v>27.698998950000004</v>
      </c>
      <c r="I1887" s="198">
        <f>IF(K1887&gt;0,E1887*(1-'Trading Model'!E1897),IF(E1887&lt;I1886,I1886*(1-'Trading Model'!$E$14),I1886))</f>
        <v>8.9840153609188427</v>
      </c>
      <c r="J1887" s="198">
        <f t="shared" si="239"/>
        <v>0</v>
      </c>
      <c r="K1887" s="198">
        <f t="shared" si="234"/>
        <v>0</v>
      </c>
      <c r="L1887" s="198">
        <f>COUNTIF(J1887:K1887,"&lt;&gt;0")*-'Trading Model'!$E$15</f>
        <v>0</v>
      </c>
      <c r="M1887" s="198">
        <f t="shared" si="232"/>
        <v>0</v>
      </c>
      <c r="N1887" s="75">
        <f t="shared" si="235"/>
        <v>45</v>
      </c>
      <c r="O1887" s="202">
        <f t="shared" si="236"/>
        <v>0</v>
      </c>
      <c r="P1887" s="199">
        <f t="shared" si="233"/>
        <v>0</v>
      </c>
      <c r="Q1887" s="203">
        <f t="shared" si="237"/>
        <v>6.7000000000013973</v>
      </c>
      <c r="R1887" s="201">
        <f>E1887/B1883-1</f>
        <v>-1.6393388873955694E-2</v>
      </c>
      <c r="S1887" s="201">
        <f t="shared" si="238"/>
        <v>-2.3861224302536566E-2</v>
      </c>
    </row>
    <row r="1888" spans="1:19">
      <c r="A1888" s="196">
        <v>42705</v>
      </c>
      <c r="B1888" s="122">
        <v>17.93</v>
      </c>
      <c r="C1888" s="122">
        <v>18.700001</v>
      </c>
      <c r="D1888" s="122">
        <v>17.93</v>
      </c>
      <c r="E1888" s="122">
        <v>18.5</v>
      </c>
      <c r="F1888" s="122">
        <v>16.341604</v>
      </c>
      <c r="G1888" s="197">
        <v>238400</v>
      </c>
      <c r="H1888" s="198">
        <f>IF(AND(E1887&gt;=H1887,E1888&gt;=E1887),E1887*(1+'Trading Model'!$E$13),IF(AND(E1888&lt;E1887,E1887&gt;=H1887),E1888*(1+'Trading Model'!$E$13),H1887))</f>
        <v>27.698998950000004</v>
      </c>
      <c r="I1888" s="198">
        <f>IF(K1888&gt;0,E1888*(1-'Trading Model'!E1898),IF(E1888&lt;I1887,I1887*(1-'Trading Model'!$E$14),I1887))</f>
        <v>8.9840153609188427</v>
      </c>
      <c r="J1888" s="198">
        <f t="shared" si="239"/>
        <v>0</v>
      </c>
      <c r="K1888" s="198">
        <f t="shared" si="234"/>
        <v>0</v>
      </c>
      <c r="L1888" s="198">
        <f>COUNTIF(J1888:K1888,"&lt;&gt;0")*-'Trading Model'!$E$15</f>
        <v>0</v>
      </c>
      <c r="M1888" s="198">
        <f t="shared" si="232"/>
        <v>0</v>
      </c>
      <c r="N1888" s="75">
        <f t="shared" si="235"/>
        <v>45</v>
      </c>
      <c r="O1888" s="202">
        <f t="shared" si="236"/>
        <v>0</v>
      </c>
      <c r="P1888" s="199">
        <f t="shared" si="233"/>
        <v>0</v>
      </c>
      <c r="Q1888" s="203">
        <f t="shared" si="237"/>
        <v>6.7000000000013973</v>
      </c>
      <c r="R1888" s="160" t="s">
        <v>55</v>
      </c>
      <c r="S1888" s="201">
        <f t="shared" si="238"/>
        <v>2.7777777777777679E-2</v>
      </c>
    </row>
    <row r="1889" spans="1:19">
      <c r="A1889" s="196">
        <v>42706</v>
      </c>
      <c r="B1889" s="122">
        <v>18.190000999999999</v>
      </c>
      <c r="C1889" s="122">
        <v>18.950001</v>
      </c>
      <c r="D1889" s="122">
        <v>17.870000999999998</v>
      </c>
      <c r="E1889" s="122">
        <v>18.549999</v>
      </c>
      <c r="F1889" s="122">
        <v>16.385773</v>
      </c>
      <c r="G1889" s="197">
        <v>303700</v>
      </c>
      <c r="H1889" s="198">
        <f>IF(AND(E1888&gt;=H1888,E1889&gt;=E1888),E1888*(1+'Trading Model'!$E$13),IF(AND(E1889&lt;E1888,E1888&gt;=H1888),E1889*(1+'Trading Model'!$E$13),H1888))</f>
        <v>27.698998950000004</v>
      </c>
      <c r="I1889" s="198">
        <f>IF(K1889&gt;0,E1889*(1-'Trading Model'!E1899),IF(E1889&lt;I1888,I1888*(1-'Trading Model'!$E$14),I1888))</f>
        <v>8.9840153609188427</v>
      </c>
      <c r="J1889" s="198">
        <f t="shared" si="239"/>
        <v>0</v>
      </c>
      <c r="K1889" s="198">
        <f t="shared" si="234"/>
        <v>0</v>
      </c>
      <c r="L1889" s="198">
        <f>COUNTIF(J1889:K1889,"&lt;&gt;0")*-'Trading Model'!$E$15</f>
        <v>0</v>
      </c>
      <c r="M1889" s="198">
        <f t="shared" si="232"/>
        <v>0</v>
      </c>
      <c r="N1889" s="75">
        <f t="shared" si="235"/>
        <v>45</v>
      </c>
      <c r="O1889" s="202">
        <f t="shared" si="236"/>
        <v>0</v>
      </c>
      <c r="P1889" s="199">
        <f t="shared" si="233"/>
        <v>0</v>
      </c>
      <c r="Q1889" s="203">
        <f t="shared" si="237"/>
        <v>6.7000000000013973</v>
      </c>
      <c r="R1889" s="203" t="s">
        <v>55</v>
      </c>
      <c r="S1889" s="201">
        <f t="shared" si="238"/>
        <v>2.7026486486485535E-3</v>
      </c>
    </row>
    <row r="1890" spans="1:19">
      <c r="A1890" s="196">
        <v>42709</v>
      </c>
      <c r="B1890" s="122">
        <v>18.649999999999999</v>
      </c>
      <c r="C1890" s="122">
        <v>18.77</v>
      </c>
      <c r="D1890" s="122">
        <v>18.34</v>
      </c>
      <c r="E1890" s="122">
        <v>18.549999</v>
      </c>
      <c r="F1890" s="122">
        <v>16.385773</v>
      </c>
      <c r="G1890" s="197">
        <v>207900</v>
      </c>
      <c r="H1890" s="198">
        <f>IF(AND(E1889&gt;=H1889,E1890&gt;=E1889),E1889*(1+'Trading Model'!$E$13),IF(AND(E1890&lt;E1889,E1889&gt;=H1889),E1890*(1+'Trading Model'!$E$13),H1889))</f>
        <v>27.698998950000004</v>
      </c>
      <c r="I1890" s="198">
        <f>IF(K1890&gt;0,E1890*(1-'Trading Model'!E1900),IF(E1890&lt;I1889,I1889*(1-'Trading Model'!$E$14),I1889))</f>
        <v>8.9840153609188427</v>
      </c>
      <c r="J1890" s="198">
        <f t="shared" si="239"/>
        <v>0</v>
      </c>
      <c r="K1890" s="198">
        <f t="shared" si="234"/>
        <v>0</v>
      </c>
      <c r="L1890" s="198">
        <f>COUNTIF(J1890:K1890,"&lt;&gt;0")*-'Trading Model'!$E$15</f>
        <v>0</v>
      </c>
      <c r="M1890" s="198">
        <f t="shared" si="232"/>
        <v>0</v>
      </c>
      <c r="N1890" s="75">
        <f t="shared" si="235"/>
        <v>45</v>
      </c>
      <c r="O1890" s="202">
        <f t="shared" si="236"/>
        <v>0</v>
      </c>
      <c r="P1890" s="199">
        <f t="shared" si="233"/>
        <v>0</v>
      </c>
      <c r="Q1890" s="203">
        <f t="shared" si="237"/>
        <v>6.7000000000013973</v>
      </c>
      <c r="R1890" s="203" t="s">
        <v>55</v>
      </c>
      <c r="S1890" s="201">
        <f t="shared" si="238"/>
        <v>0</v>
      </c>
    </row>
    <row r="1891" spans="1:19">
      <c r="A1891" s="196">
        <v>42710</v>
      </c>
      <c r="B1891" s="122">
        <v>18.629999000000002</v>
      </c>
      <c r="C1891" s="122">
        <v>18.629999000000002</v>
      </c>
      <c r="D1891" s="122">
        <v>18.260000000000002</v>
      </c>
      <c r="E1891" s="122">
        <v>18.260000000000002</v>
      </c>
      <c r="F1891" s="122">
        <v>16.129605999999999</v>
      </c>
      <c r="G1891" s="197">
        <v>45200</v>
      </c>
      <c r="H1891" s="198">
        <f>IF(AND(E1890&gt;=H1890,E1891&gt;=E1890),E1890*(1+'Trading Model'!$E$13),IF(AND(E1891&lt;E1890,E1890&gt;=H1890),E1891*(1+'Trading Model'!$E$13),H1890))</f>
        <v>27.698998950000004</v>
      </c>
      <c r="I1891" s="198">
        <f>IF(K1891&gt;0,E1891*(1-'Trading Model'!E1901),IF(E1891&lt;I1890,I1890*(1-'Trading Model'!$E$14),I1890))</f>
        <v>8.9840153609188427</v>
      </c>
      <c r="J1891" s="198">
        <f t="shared" si="239"/>
        <v>0</v>
      </c>
      <c r="K1891" s="198">
        <f t="shared" si="234"/>
        <v>0</v>
      </c>
      <c r="L1891" s="198">
        <f>COUNTIF(J1891:K1891,"&lt;&gt;0")*-'Trading Model'!$E$15</f>
        <v>0</v>
      </c>
      <c r="M1891" s="198">
        <f t="shared" si="232"/>
        <v>0</v>
      </c>
      <c r="N1891" s="75">
        <f t="shared" si="235"/>
        <v>45</v>
      </c>
      <c r="O1891" s="202">
        <f t="shared" si="236"/>
        <v>0</v>
      </c>
      <c r="P1891" s="199">
        <f t="shared" si="233"/>
        <v>0</v>
      </c>
      <c r="Q1891" s="203">
        <f t="shared" si="237"/>
        <v>6.6000000000013976</v>
      </c>
      <c r="R1891" s="203" t="s">
        <v>55</v>
      </c>
      <c r="S1891" s="201">
        <f t="shared" si="238"/>
        <v>-1.5633370115006429E-2</v>
      </c>
    </row>
    <row r="1892" spans="1:19">
      <c r="A1892" s="196">
        <v>42711</v>
      </c>
      <c r="B1892" s="122">
        <v>18.41</v>
      </c>
      <c r="C1892" s="122">
        <v>18.459999</v>
      </c>
      <c r="D1892" s="122">
        <v>18.010000000000002</v>
      </c>
      <c r="E1892" s="122">
        <v>18.370000999999998</v>
      </c>
      <c r="F1892" s="122">
        <v>16.226772</v>
      </c>
      <c r="G1892" s="197">
        <v>48900</v>
      </c>
      <c r="H1892" s="198">
        <f>IF(AND(E1891&gt;=H1891,E1892&gt;=E1891),E1891*(1+'Trading Model'!$E$13),IF(AND(E1892&lt;E1891,E1891&gt;=H1891),E1892*(1+'Trading Model'!$E$13),H1891))</f>
        <v>27.698998950000004</v>
      </c>
      <c r="I1892" s="198">
        <f>IF(K1892&gt;0,E1892*(1-'Trading Model'!E1902),IF(E1892&lt;I1891,I1891*(1-'Trading Model'!$E$14),I1891))</f>
        <v>8.9840153609188427</v>
      </c>
      <c r="J1892" s="198">
        <f t="shared" si="239"/>
        <v>0</v>
      </c>
      <c r="K1892" s="198">
        <f t="shared" si="234"/>
        <v>0</v>
      </c>
      <c r="L1892" s="198">
        <f>COUNTIF(J1892:K1892,"&lt;&gt;0")*-'Trading Model'!$E$15</f>
        <v>0</v>
      </c>
      <c r="M1892" s="198">
        <f t="shared" si="232"/>
        <v>0</v>
      </c>
      <c r="N1892" s="75">
        <f t="shared" si="235"/>
        <v>45</v>
      </c>
      <c r="O1892" s="202">
        <f t="shared" si="236"/>
        <v>0</v>
      </c>
      <c r="P1892" s="199">
        <f t="shared" si="233"/>
        <v>0</v>
      </c>
      <c r="Q1892" s="203">
        <f t="shared" si="237"/>
        <v>6.6000000000013976</v>
      </c>
      <c r="R1892" s="201">
        <f>E1892/B1888-1</f>
        <v>2.4539933073061793E-2</v>
      </c>
      <c r="S1892" s="201">
        <f t="shared" si="238"/>
        <v>6.024151150054502E-3</v>
      </c>
    </row>
    <row r="1893" spans="1:19">
      <c r="A1893" s="196">
        <v>42712</v>
      </c>
      <c r="B1893" s="122">
        <v>18.34</v>
      </c>
      <c r="C1893" s="122">
        <v>18.48</v>
      </c>
      <c r="D1893" s="122">
        <v>18.149999999999999</v>
      </c>
      <c r="E1893" s="122">
        <v>18.25</v>
      </c>
      <c r="F1893" s="122">
        <v>16.120771000000001</v>
      </c>
      <c r="G1893" s="197">
        <v>90300</v>
      </c>
      <c r="H1893" s="198">
        <f>IF(AND(E1892&gt;=H1892,E1893&gt;=E1892),E1892*(1+'Trading Model'!$E$13),IF(AND(E1893&lt;E1892,E1892&gt;=H1892),E1893*(1+'Trading Model'!$E$13),H1892))</f>
        <v>27.698998950000004</v>
      </c>
      <c r="I1893" s="198">
        <f>IF(K1893&gt;0,E1893*(1-'Trading Model'!E1903),IF(E1893&lt;I1892,I1892*(1-'Trading Model'!$E$14),I1892))</f>
        <v>8.9840153609188427</v>
      </c>
      <c r="J1893" s="198">
        <f t="shared" si="239"/>
        <v>0</v>
      </c>
      <c r="K1893" s="198">
        <f t="shared" si="234"/>
        <v>0</v>
      </c>
      <c r="L1893" s="198">
        <f>COUNTIF(J1893:K1893,"&lt;&gt;0")*-'Trading Model'!$E$15</f>
        <v>0</v>
      </c>
      <c r="M1893" s="198">
        <f t="shared" si="232"/>
        <v>0</v>
      </c>
      <c r="N1893" s="75">
        <f t="shared" si="235"/>
        <v>45</v>
      </c>
      <c r="O1893" s="202">
        <f t="shared" si="236"/>
        <v>0</v>
      </c>
      <c r="P1893" s="199">
        <f t="shared" si="233"/>
        <v>0</v>
      </c>
      <c r="Q1893" s="203">
        <f t="shared" si="237"/>
        <v>6.500000000001398</v>
      </c>
      <c r="R1893" s="160" t="s">
        <v>55</v>
      </c>
      <c r="S1893" s="201">
        <f t="shared" si="238"/>
        <v>-6.5324438469001045E-3</v>
      </c>
    </row>
    <row r="1894" spans="1:19">
      <c r="A1894" s="196">
        <v>42713</v>
      </c>
      <c r="B1894" s="122">
        <v>18.139999</v>
      </c>
      <c r="C1894" s="122">
        <v>18.200001</v>
      </c>
      <c r="D1894" s="122">
        <v>17.68</v>
      </c>
      <c r="E1894" s="122">
        <v>18.110001</v>
      </c>
      <c r="F1894" s="122">
        <v>15.997107</v>
      </c>
      <c r="G1894" s="197">
        <v>58000</v>
      </c>
      <c r="H1894" s="198">
        <f>IF(AND(E1893&gt;=H1893,E1894&gt;=E1893),E1893*(1+'Trading Model'!$E$13),IF(AND(E1894&lt;E1893,E1893&gt;=H1893),E1894*(1+'Trading Model'!$E$13),H1893))</f>
        <v>27.698998950000004</v>
      </c>
      <c r="I1894" s="198">
        <f>IF(K1894&gt;0,E1894*(1-'Trading Model'!E1904),IF(E1894&lt;I1893,I1893*(1-'Trading Model'!$E$14),I1893))</f>
        <v>8.9840153609188427</v>
      </c>
      <c r="J1894" s="198">
        <f t="shared" si="239"/>
        <v>0</v>
      </c>
      <c r="K1894" s="198">
        <f t="shared" si="234"/>
        <v>0</v>
      </c>
      <c r="L1894" s="198">
        <f>COUNTIF(J1894:K1894,"&lt;&gt;0")*-'Trading Model'!$E$15</f>
        <v>0</v>
      </c>
      <c r="M1894" s="198">
        <f t="shared" si="232"/>
        <v>0</v>
      </c>
      <c r="N1894" s="75">
        <f t="shared" si="235"/>
        <v>45</v>
      </c>
      <c r="O1894" s="202">
        <f t="shared" si="236"/>
        <v>0</v>
      </c>
      <c r="P1894" s="199">
        <f t="shared" si="233"/>
        <v>0</v>
      </c>
      <c r="Q1894" s="203">
        <f t="shared" si="237"/>
        <v>6.4000000000013983</v>
      </c>
      <c r="R1894" s="203" t="s">
        <v>55</v>
      </c>
      <c r="S1894" s="201">
        <f t="shared" si="238"/>
        <v>-7.6711780821917541E-3</v>
      </c>
    </row>
    <row r="1895" spans="1:19">
      <c r="A1895" s="196">
        <v>42716</v>
      </c>
      <c r="B1895" s="122">
        <v>18.18</v>
      </c>
      <c r="C1895" s="122">
        <v>18.43</v>
      </c>
      <c r="D1895" s="122">
        <v>17.84</v>
      </c>
      <c r="E1895" s="122">
        <v>17.989999999999998</v>
      </c>
      <c r="F1895" s="122">
        <v>15.891106000000001</v>
      </c>
      <c r="G1895" s="197">
        <v>45800</v>
      </c>
      <c r="H1895" s="198">
        <f>IF(AND(E1894&gt;=H1894,E1895&gt;=E1894),E1894*(1+'Trading Model'!$E$13),IF(AND(E1895&lt;E1894,E1894&gt;=H1894),E1895*(1+'Trading Model'!$E$13),H1894))</f>
        <v>27.698998950000004</v>
      </c>
      <c r="I1895" s="198">
        <f>IF(K1895&gt;0,E1895*(1-'Trading Model'!E1905),IF(E1895&lt;I1894,I1894*(1-'Trading Model'!$E$14),I1894))</f>
        <v>8.9840153609188427</v>
      </c>
      <c r="J1895" s="198">
        <f t="shared" si="239"/>
        <v>0</v>
      </c>
      <c r="K1895" s="198">
        <f t="shared" si="234"/>
        <v>0</v>
      </c>
      <c r="L1895" s="198">
        <f>COUNTIF(J1895:K1895,"&lt;&gt;0")*-'Trading Model'!$E$15</f>
        <v>0</v>
      </c>
      <c r="M1895" s="198">
        <f t="shared" si="232"/>
        <v>0</v>
      </c>
      <c r="N1895" s="75">
        <f t="shared" si="235"/>
        <v>45</v>
      </c>
      <c r="O1895" s="202">
        <f t="shared" si="236"/>
        <v>0</v>
      </c>
      <c r="P1895" s="199">
        <f t="shared" si="233"/>
        <v>0</v>
      </c>
      <c r="Q1895" s="203">
        <f t="shared" si="237"/>
        <v>6.3000000000013987</v>
      </c>
      <c r="R1895" s="203" t="s">
        <v>55</v>
      </c>
      <c r="S1895" s="201">
        <f t="shared" si="238"/>
        <v>-6.6262282370941339E-3</v>
      </c>
    </row>
    <row r="1896" spans="1:19">
      <c r="A1896" s="196">
        <v>42717</v>
      </c>
      <c r="B1896" s="122">
        <v>18.129999000000002</v>
      </c>
      <c r="C1896" s="122">
        <v>18.25</v>
      </c>
      <c r="D1896" s="122">
        <v>17.68</v>
      </c>
      <c r="E1896" s="122">
        <v>18.200001</v>
      </c>
      <c r="F1896" s="122">
        <v>16.076606999999999</v>
      </c>
      <c r="G1896" s="197">
        <v>125000</v>
      </c>
      <c r="H1896" s="198">
        <f>IF(AND(E1895&gt;=H1895,E1896&gt;=E1895),E1895*(1+'Trading Model'!$E$13),IF(AND(E1896&lt;E1895,E1895&gt;=H1895),E1896*(1+'Trading Model'!$E$13),H1895))</f>
        <v>27.698998950000004</v>
      </c>
      <c r="I1896" s="198">
        <f>IF(K1896&gt;0,E1896*(1-'Trading Model'!E1906),IF(E1896&lt;I1895,I1895*(1-'Trading Model'!$E$14),I1895))</f>
        <v>8.9840153609188427</v>
      </c>
      <c r="J1896" s="198">
        <f t="shared" si="239"/>
        <v>0</v>
      </c>
      <c r="K1896" s="198">
        <f t="shared" si="234"/>
        <v>0</v>
      </c>
      <c r="L1896" s="198">
        <f>COUNTIF(J1896:K1896,"&lt;&gt;0")*-'Trading Model'!$E$15</f>
        <v>0</v>
      </c>
      <c r="M1896" s="198">
        <f t="shared" si="232"/>
        <v>0</v>
      </c>
      <c r="N1896" s="75">
        <f t="shared" si="235"/>
        <v>45</v>
      </c>
      <c r="O1896" s="202">
        <f t="shared" si="236"/>
        <v>0</v>
      </c>
      <c r="P1896" s="199">
        <f t="shared" si="233"/>
        <v>0</v>
      </c>
      <c r="Q1896" s="203">
        <f t="shared" si="237"/>
        <v>6.3000000000013987</v>
      </c>
      <c r="R1896" s="203" t="s">
        <v>55</v>
      </c>
      <c r="S1896" s="201">
        <f t="shared" si="238"/>
        <v>1.167320733740973E-2</v>
      </c>
    </row>
    <row r="1897" spans="1:19">
      <c r="A1897" s="196">
        <v>42718</v>
      </c>
      <c r="B1897" s="122">
        <v>18.27</v>
      </c>
      <c r="C1897" s="122">
        <v>18.41</v>
      </c>
      <c r="D1897" s="122">
        <v>17.790001</v>
      </c>
      <c r="E1897" s="122">
        <v>18.149999999999999</v>
      </c>
      <c r="F1897" s="122">
        <v>16.032437999999999</v>
      </c>
      <c r="G1897" s="197">
        <v>155700</v>
      </c>
      <c r="H1897" s="198">
        <f>IF(AND(E1896&gt;=H1896,E1897&gt;=E1896),E1896*(1+'Trading Model'!$E$13),IF(AND(E1897&lt;E1896,E1896&gt;=H1896),E1897*(1+'Trading Model'!$E$13),H1896))</f>
        <v>27.698998950000004</v>
      </c>
      <c r="I1897" s="198">
        <f>IF(K1897&gt;0,E1897*(1-'Trading Model'!E1907),IF(E1897&lt;I1896,I1896*(1-'Trading Model'!$E$14),I1896))</f>
        <v>8.9840153609188427</v>
      </c>
      <c r="J1897" s="198">
        <f t="shared" si="239"/>
        <v>0</v>
      </c>
      <c r="K1897" s="198">
        <f t="shared" si="234"/>
        <v>0</v>
      </c>
      <c r="L1897" s="198">
        <f>COUNTIF(J1897:K1897,"&lt;&gt;0")*-'Trading Model'!$E$15</f>
        <v>0</v>
      </c>
      <c r="M1897" s="198">
        <f t="shared" si="232"/>
        <v>0</v>
      </c>
      <c r="N1897" s="75">
        <f t="shared" si="235"/>
        <v>45</v>
      </c>
      <c r="O1897" s="202">
        <f t="shared" si="236"/>
        <v>0</v>
      </c>
      <c r="P1897" s="199">
        <f t="shared" si="233"/>
        <v>0</v>
      </c>
      <c r="Q1897" s="203">
        <f t="shared" si="237"/>
        <v>6.2000000000013991</v>
      </c>
      <c r="R1897" s="201">
        <f>E1897/B1893-1</f>
        <v>-1.0359869138495181E-2</v>
      </c>
      <c r="S1897" s="201">
        <f t="shared" si="238"/>
        <v>-2.7473075413567694E-3</v>
      </c>
    </row>
    <row r="1898" spans="1:19">
      <c r="A1898" s="196">
        <v>42719</v>
      </c>
      <c r="B1898" s="122">
        <v>18.209999</v>
      </c>
      <c r="C1898" s="122">
        <v>18.209999</v>
      </c>
      <c r="D1898" s="122">
        <v>17.129999000000002</v>
      </c>
      <c r="E1898" s="122">
        <v>17.879999000000002</v>
      </c>
      <c r="F1898" s="122">
        <v>15.793939999999999</v>
      </c>
      <c r="G1898" s="197">
        <v>113300</v>
      </c>
      <c r="H1898" s="198">
        <f>IF(AND(E1897&gt;=H1897,E1898&gt;=E1897),E1897*(1+'Trading Model'!$E$13),IF(AND(E1898&lt;E1897,E1897&gt;=H1897),E1898*(1+'Trading Model'!$E$13),H1897))</f>
        <v>27.698998950000004</v>
      </c>
      <c r="I1898" s="198">
        <f>IF(K1898&gt;0,E1898*(1-'Trading Model'!E1908),IF(E1898&lt;I1897,I1897*(1-'Trading Model'!$E$14),I1897))</f>
        <v>8.9840153609188427</v>
      </c>
      <c r="J1898" s="198">
        <f t="shared" si="239"/>
        <v>0</v>
      </c>
      <c r="K1898" s="198">
        <f t="shared" si="234"/>
        <v>0</v>
      </c>
      <c r="L1898" s="198">
        <f>COUNTIF(J1898:K1898,"&lt;&gt;0")*-'Trading Model'!$E$15</f>
        <v>0</v>
      </c>
      <c r="M1898" s="198">
        <f t="shared" si="232"/>
        <v>0</v>
      </c>
      <c r="N1898" s="75">
        <f t="shared" si="235"/>
        <v>45</v>
      </c>
      <c r="O1898" s="202">
        <f t="shared" si="236"/>
        <v>0</v>
      </c>
      <c r="P1898" s="199">
        <f t="shared" si="233"/>
        <v>0</v>
      </c>
      <c r="Q1898" s="203">
        <f t="shared" si="237"/>
        <v>6.1000000000013994</v>
      </c>
      <c r="R1898" s="160" t="s">
        <v>55</v>
      </c>
      <c r="S1898" s="201">
        <f t="shared" si="238"/>
        <v>-1.4876088154269773E-2</v>
      </c>
    </row>
    <row r="1899" spans="1:19">
      <c r="A1899" s="196">
        <v>42720</v>
      </c>
      <c r="B1899" s="122">
        <v>18</v>
      </c>
      <c r="C1899" s="122">
        <v>18</v>
      </c>
      <c r="D1899" s="122">
        <v>17.549999</v>
      </c>
      <c r="E1899" s="122">
        <v>17.91</v>
      </c>
      <c r="F1899" s="122">
        <v>15.820442</v>
      </c>
      <c r="G1899" s="197">
        <v>44300</v>
      </c>
      <c r="H1899" s="198">
        <f>IF(AND(E1898&gt;=H1898,E1899&gt;=E1898),E1898*(1+'Trading Model'!$E$13),IF(AND(E1899&lt;E1898,E1898&gt;=H1898),E1899*(1+'Trading Model'!$E$13),H1898))</f>
        <v>27.698998950000004</v>
      </c>
      <c r="I1899" s="198">
        <f>IF(K1899&gt;0,E1899*(1-'Trading Model'!E1909),IF(E1899&lt;I1898,I1898*(1-'Trading Model'!$E$14),I1898))</f>
        <v>8.9840153609188427</v>
      </c>
      <c r="J1899" s="198">
        <f t="shared" si="239"/>
        <v>0</v>
      </c>
      <c r="K1899" s="198">
        <f t="shared" si="234"/>
        <v>0</v>
      </c>
      <c r="L1899" s="198">
        <f>COUNTIF(J1899:K1899,"&lt;&gt;0")*-'Trading Model'!$E$15</f>
        <v>0</v>
      </c>
      <c r="M1899" s="198">
        <f t="shared" si="232"/>
        <v>0</v>
      </c>
      <c r="N1899" s="75">
        <f t="shared" si="235"/>
        <v>45</v>
      </c>
      <c r="O1899" s="202">
        <f t="shared" si="236"/>
        <v>0</v>
      </c>
      <c r="P1899" s="199">
        <f t="shared" si="233"/>
        <v>0</v>
      </c>
      <c r="Q1899" s="203">
        <f t="shared" si="237"/>
        <v>6.1000000000013994</v>
      </c>
      <c r="R1899" s="203" t="s">
        <v>55</v>
      </c>
      <c r="S1899" s="201">
        <f t="shared" si="238"/>
        <v>1.6779083712474829E-3</v>
      </c>
    </row>
    <row r="1900" spans="1:19">
      <c r="A1900" s="196">
        <v>42723</v>
      </c>
      <c r="B1900" s="122">
        <v>17.889999</v>
      </c>
      <c r="C1900" s="122">
        <v>17.889999</v>
      </c>
      <c r="D1900" s="122">
        <v>17.299999</v>
      </c>
      <c r="E1900" s="122">
        <v>17.559999000000001</v>
      </c>
      <c r="F1900" s="122">
        <v>15.511274</v>
      </c>
      <c r="G1900" s="197">
        <v>116100</v>
      </c>
      <c r="H1900" s="198">
        <f>IF(AND(E1899&gt;=H1899,E1900&gt;=E1899),E1899*(1+'Trading Model'!$E$13),IF(AND(E1900&lt;E1899,E1899&gt;=H1899),E1900*(1+'Trading Model'!$E$13),H1899))</f>
        <v>27.698998950000004</v>
      </c>
      <c r="I1900" s="198">
        <f>IF(K1900&gt;0,E1900*(1-'Trading Model'!E1910),IF(E1900&lt;I1899,I1899*(1-'Trading Model'!$E$14),I1899))</f>
        <v>8.9840153609188427</v>
      </c>
      <c r="J1900" s="198">
        <f t="shared" si="239"/>
        <v>0</v>
      </c>
      <c r="K1900" s="198">
        <f t="shared" si="234"/>
        <v>0</v>
      </c>
      <c r="L1900" s="198">
        <f>COUNTIF(J1900:K1900,"&lt;&gt;0")*-'Trading Model'!$E$15</f>
        <v>0</v>
      </c>
      <c r="M1900" s="198">
        <f t="shared" si="232"/>
        <v>0</v>
      </c>
      <c r="N1900" s="75">
        <f t="shared" si="235"/>
        <v>45</v>
      </c>
      <c r="O1900" s="202">
        <f t="shared" si="236"/>
        <v>0</v>
      </c>
      <c r="P1900" s="199">
        <f t="shared" si="233"/>
        <v>0</v>
      </c>
      <c r="Q1900" s="203">
        <f t="shared" si="237"/>
        <v>6.0000000000013998</v>
      </c>
      <c r="R1900" s="203" t="s">
        <v>55</v>
      </c>
      <c r="S1900" s="201">
        <f t="shared" si="238"/>
        <v>-1.9542211055276315E-2</v>
      </c>
    </row>
    <row r="1901" spans="1:19">
      <c r="A1901" s="196">
        <v>42724</v>
      </c>
      <c r="B1901" s="122">
        <v>17.440000999999999</v>
      </c>
      <c r="C1901" s="122">
        <v>17.709999</v>
      </c>
      <c r="D1901" s="122">
        <v>17.040001</v>
      </c>
      <c r="E1901" s="122">
        <v>17.5</v>
      </c>
      <c r="F1901" s="122">
        <v>15.458276</v>
      </c>
      <c r="G1901" s="197">
        <v>104900</v>
      </c>
      <c r="H1901" s="198">
        <f>IF(AND(E1900&gt;=H1900,E1901&gt;=E1900),E1900*(1+'Trading Model'!$E$13),IF(AND(E1901&lt;E1900,E1900&gt;=H1900),E1901*(1+'Trading Model'!$E$13),H1900))</f>
        <v>27.698998950000004</v>
      </c>
      <c r="I1901" s="198">
        <f>IF(K1901&gt;0,E1901*(1-'Trading Model'!E1911),IF(E1901&lt;I1900,I1900*(1-'Trading Model'!$E$14),I1900))</f>
        <v>8.9840153609188427</v>
      </c>
      <c r="J1901" s="198">
        <f t="shared" si="239"/>
        <v>0</v>
      </c>
      <c r="K1901" s="198">
        <f t="shared" si="234"/>
        <v>0</v>
      </c>
      <c r="L1901" s="198">
        <f>COUNTIF(J1901:K1901,"&lt;&gt;0")*-'Trading Model'!$E$15</f>
        <v>0</v>
      </c>
      <c r="M1901" s="198">
        <f t="shared" si="232"/>
        <v>0</v>
      </c>
      <c r="N1901" s="75">
        <f t="shared" si="235"/>
        <v>45</v>
      </c>
      <c r="O1901" s="202">
        <f t="shared" si="236"/>
        <v>0</v>
      </c>
      <c r="P1901" s="199">
        <f t="shared" si="233"/>
        <v>0</v>
      </c>
      <c r="Q1901" s="203">
        <f t="shared" si="237"/>
        <v>5.9000000000014001</v>
      </c>
      <c r="R1901" s="203" t="s">
        <v>55</v>
      </c>
      <c r="S1901" s="201">
        <f t="shared" si="238"/>
        <v>-3.4167997389977778E-3</v>
      </c>
    </row>
    <row r="1902" spans="1:19">
      <c r="A1902" s="196">
        <v>42725</v>
      </c>
      <c r="B1902" s="122">
        <v>17.610001</v>
      </c>
      <c r="C1902" s="122">
        <v>18.07</v>
      </c>
      <c r="D1902" s="122">
        <v>17.27</v>
      </c>
      <c r="E1902" s="122">
        <v>17.989999999999998</v>
      </c>
      <c r="F1902" s="122">
        <v>15.891106000000001</v>
      </c>
      <c r="G1902" s="197">
        <v>88000</v>
      </c>
      <c r="H1902" s="198">
        <f>IF(AND(E1901&gt;=H1901,E1902&gt;=E1901),E1901*(1+'Trading Model'!$E$13),IF(AND(E1902&lt;E1901,E1901&gt;=H1901),E1902*(1+'Trading Model'!$E$13),H1901))</f>
        <v>27.698998950000004</v>
      </c>
      <c r="I1902" s="198">
        <f>IF(K1902&gt;0,E1902*(1-'Trading Model'!E1912),IF(E1902&lt;I1901,I1901*(1-'Trading Model'!$E$14),I1901))</f>
        <v>8.9840153609188427</v>
      </c>
      <c r="J1902" s="198">
        <f t="shared" si="239"/>
        <v>0</v>
      </c>
      <c r="K1902" s="198">
        <f t="shared" si="234"/>
        <v>0</v>
      </c>
      <c r="L1902" s="198">
        <f>COUNTIF(J1902:K1902,"&lt;&gt;0")*-'Trading Model'!$E$15</f>
        <v>0</v>
      </c>
      <c r="M1902" s="198">
        <f t="shared" si="232"/>
        <v>0</v>
      </c>
      <c r="N1902" s="75">
        <f t="shared" si="235"/>
        <v>45</v>
      </c>
      <c r="O1902" s="202">
        <f t="shared" si="236"/>
        <v>0</v>
      </c>
      <c r="P1902" s="199">
        <f t="shared" si="233"/>
        <v>0</v>
      </c>
      <c r="Q1902" s="203">
        <f t="shared" si="237"/>
        <v>5.9000000000014001</v>
      </c>
      <c r="R1902" s="201">
        <f>E1902/B1898-1</f>
        <v>-1.2081219773817709E-2</v>
      </c>
      <c r="S1902" s="201">
        <f t="shared" si="238"/>
        <v>2.7999999999999803E-2</v>
      </c>
    </row>
    <row r="1903" spans="1:19">
      <c r="A1903" s="196">
        <v>42726</v>
      </c>
      <c r="B1903" s="122">
        <v>18.100000000000001</v>
      </c>
      <c r="C1903" s="122">
        <v>18.100000000000001</v>
      </c>
      <c r="D1903" s="122">
        <v>17.670000000000002</v>
      </c>
      <c r="E1903" s="122">
        <v>17.879999000000002</v>
      </c>
      <c r="F1903" s="122">
        <v>15.793939999999999</v>
      </c>
      <c r="G1903" s="197">
        <v>38700</v>
      </c>
      <c r="H1903" s="198">
        <f>IF(AND(E1902&gt;=H1902,E1903&gt;=E1902),E1902*(1+'Trading Model'!$E$13),IF(AND(E1903&lt;E1902,E1902&gt;=H1902),E1903*(1+'Trading Model'!$E$13),H1902))</f>
        <v>27.698998950000004</v>
      </c>
      <c r="I1903" s="198">
        <f>IF(K1903&gt;0,E1903*(1-'Trading Model'!E1913),IF(E1903&lt;I1902,I1902*(1-'Trading Model'!$E$14),I1902))</f>
        <v>8.9840153609188427</v>
      </c>
      <c r="J1903" s="198">
        <f t="shared" si="239"/>
        <v>0</v>
      </c>
      <c r="K1903" s="198">
        <f t="shared" si="234"/>
        <v>0</v>
      </c>
      <c r="L1903" s="198">
        <f>COUNTIF(J1903:K1903,"&lt;&gt;0")*-'Trading Model'!$E$15</f>
        <v>0</v>
      </c>
      <c r="M1903" s="198">
        <f t="shared" si="232"/>
        <v>0</v>
      </c>
      <c r="N1903" s="75">
        <f t="shared" si="235"/>
        <v>45</v>
      </c>
      <c r="O1903" s="202">
        <f t="shared" si="236"/>
        <v>0</v>
      </c>
      <c r="P1903" s="199">
        <f t="shared" si="233"/>
        <v>0</v>
      </c>
      <c r="Q1903" s="203">
        <f t="shared" si="237"/>
        <v>5.8000000000014005</v>
      </c>
      <c r="R1903" s="160" t="s">
        <v>55</v>
      </c>
      <c r="S1903" s="201">
        <f t="shared" si="238"/>
        <v>-6.114563646470117E-3</v>
      </c>
    </row>
    <row r="1904" spans="1:19">
      <c r="A1904" s="196">
        <v>42727</v>
      </c>
      <c r="B1904" s="122">
        <v>18.010000000000002</v>
      </c>
      <c r="C1904" s="122">
        <v>18.5</v>
      </c>
      <c r="D1904" s="122">
        <v>17.629999000000002</v>
      </c>
      <c r="E1904" s="122">
        <v>18.09</v>
      </c>
      <c r="F1904" s="122">
        <v>15.979438999999999</v>
      </c>
      <c r="G1904" s="197">
        <v>60700</v>
      </c>
      <c r="H1904" s="198">
        <f>IF(AND(E1903&gt;=H1903,E1904&gt;=E1903),E1903*(1+'Trading Model'!$E$13),IF(AND(E1904&lt;E1903,E1903&gt;=H1903),E1904*(1+'Trading Model'!$E$13),H1903))</f>
        <v>27.698998950000004</v>
      </c>
      <c r="I1904" s="198">
        <f>IF(K1904&gt;0,E1904*(1-'Trading Model'!E1914),IF(E1904&lt;I1903,I1903*(1-'Trading Model'!$E$14),I1903))</f>
        <v>8.9840153609188427</v>
      </c>
      <c r="J1904" s="198">
        <f t="shared" si="239"/>
        <v>0</v>
      </c>
      <c r="K1904" s="198">
        <f t="shared" si="234"/>
        <v>0</v>
      </c>
      <c r="L1904" s="198">
        <f>COUNTIF(J1904:K1904,"&lt;&gt;0")*-'Trading Model'!$E$15</f>
        <v>0</v>
      </c>
      <c r="M1904" s="198">
        <f t="shared" si="232"/>
        <v>0</v>
      </c>
      <c r="N1904" s="75">
        <f t="shared" si="235"/>
        <v>45</v>
      </c>
      <c r="O1904" s="202">
        <f t="shared" si="236"/>
        <v>0</v>
      </c>
      <c r="P1904" s="199">
        <f t="shared" si="233"/>
        <v>0</v>
      </c>
      <c r="Q1904" s="203">
        <f t="shared" si="237"/>
        <v>5.8000000000014005</v>
      </c>
      <c r="R1904" s="203" t="s">
        <v>55</v>
      </c>
      <c r="S1904" s="201">
        <f t="shared" si="238"/>
        <v>1.1745023028244983E-2</v>
      </c>
    </row>
    <row r="1905" spans="1:19">
      <c r="A1905" s="196">
        <v>42731</v>
      </c>
      <c r="B1905" s="122">
        <v>18.16</v>
      </c>
      <c r="C1905" s="122">
        <v>18.360001</v>
      </c>
      <c r="D1905" s="122">
        <v>17.93</v>
      </c>
      <c r="E1905" s="122">
        <v>18.059999000000001</v>
      </c>
      <c r="F1905" s="122">
        <v>15.952938</v>
      </c>
      <c r="G1905" s="197">
        <v>69600</v>
      </c>
      <c r="H1905" s="198">
        <f>IF(AND(E1904&gt;=H1904,E1905&gt;=E1904),E1904*(1+'Trading Model'!$E$13),IF(AND(E1905&lt;E1904,E1904&gt;=H1904),E1905*(1+'Trading Model'!$E$13),H1904))</f>
        <v>27.698998950000004</v>
      </c>
      <c r="I1905" s="198">
        <f>IF(K1905&gt;0,E1905*(1-'Trading Model'!E1915),IF(E1905&lt;I1904,I1904*(1-'Trading Model'!$E$14),I1904))</f>
        <v>8.9840153609188427</v>
      </c>
      <c r="J1905" s="198">
        <f t="shared" si="239"/>
        <v>0</v>
      </c>
      <c r="K1905" s="198">
        <f t="shared" si="234"/>
        <v>0</v>
      </c>
      <c r="L1905" s="198">
        <f>COUNTIF(J1905:K1905,"&lt;&gt;0")*-'Trading Model'!$E$15</f>
        <v>0</v>
      </c>
      <c r="M1905" s="198">
        <f t="shared" si="232"/>
        <v>0</v>
      </c>
      <c r="N1905" s="75">
        <f t="shared" si="235"/>
        <v>45</v>
      </c>
      <c r="O1905" s="202">
        <f t="shared" si="236"/>
        <v>0</v>
      </c>
      <c r="P1905" s="199">
        <f t="shared" si="233"/>
        <v>0</v>
      </c>
      <c r="Q1905" s="203">
        <f t="shared" si="237"/>
        <v>5.7000000000014008</v>
      </c>
      <c r="R1905" s="203" t="s">
        <v>55</v>
      </c>
      <c r="S1905" s="201">
        <f t="shared" si="238"/>
        <v>-1.6584300718628375E-3</v>
      </c>
    </row>
    <row r="1906" spans="1:19">
      <c r="A1906" s="196">
        <v>42732</v>
      </c>
      <c r="B1906" s="122">
        <v>18.100000000000001</v>
      </c>
      <c r="C1906" s="122">
        <v>18.399999999999999</v>
      </c>
      <c r="D1906" s="122">
        <v>17.850000000000001</v>
      </c>
      <c r="E1906" s="122">
        <v>18.25</v>
      </c>
      <c r="F1906" s="122">
        <v>16.120771000000001</v>
      </c>
      <c r="G1906" s="197">
        <v>44900</v>
      </c>
      <c r="H1906" s="198">
        <f>IF(AND(E1905&gt;=H1905,E1906&gt;=E1905),E1905*(1+'Trading Model'!$E$13),IF(AND(E1906&lt;E1905,E1905&gt;=H1905),E1906*(1+'Trading Model'!$E$13),H1905))</f>
        <v>27.698998950000004</v>
      </c>
      <c r="I1906" s="198">
        <f>IF(K1906&gt;0,E1906*(1-'Trading Model'!E1916),IF(E1906&lt;I1905,I1905*(1-'Trading Model'!$E$14),I1905))</f>
        <v>8.9840153609188427</v>
      </c>
      <c r="J1906" s="198">
        <f t="shared" si="239"/>
        <v>0</v>
      </c>
      <c r="K1906" s="198">
        <f t="shared" si="234"/>
        <v>0</v>
      </c>
      <c r="L1906" s="198">
        <f>COUNTIF(J1906:K1906,"&lt;&gt;0")*-'Trading Model'!$E$15</f>
        <v>0</v>
      </c>
      <c r="M1906" s="198">
        <f t="shared" si="232"/>
        <v>0</v>
      </c>
      <c r="N1906" s="75">
        <f t="shared" si="235"/>
        <v>45</v>
      </c>
      <c r="O1906" s="202">
        <f t="shared" si="236"/>
        <v>0</v>
      </c>
      <c r="P1906" s="199">
        <f t="shared" si="233"/>
        <v>0</v>
      </c>
      <c r="Q1906" s="203">
        <f t="shared" si="237"/>
        <v>5.7000000000014008</v>
      </c>
      <c r="R1906" s="203" t="s">
        <v>55</v>
      </c>
      <c r="S1906" s="201">
        <f t="shared" si="238"/>
        <v>1.0520543218191625E-2</v>
      </c>
    </row>
    <row r="1907" spans="1:19">
      <c r="A1907" s="196">
        <v>42733</v>
      </c>
      <c r="B1907" s="122">
        <v>18.170000000000002</v>
      </c>
      <c r="C1907" s="122">
        <v>18.399999999999999</v>
      </c>
      <c r="D1907" s="122">
        <v>18.049999</v>
      </c>
      <c r="E1907" s="122">
        <v>18.25</v>
      </c>
      <c r="F1907" s="122">
        <v>16.120771000000001</v>
      </c>
      <c r="G1907" s="197">
        <v>55900</v>
      </c>
      <c r="H1907" s="198">
        <f>IF(AND(E1906&gt;=H1906,E1907&gt;=E1906),E1906*(1+'Trading Model'!$E$13),IF(AND(E1907&lt;E1906,E1906&gt;=H1906),E1907*(1+'Trading Model'!$E$13),H1906))</f>
        <v>27.698998950000004</v>
      </c>
      <c r="I1907" s="198">
        <f>IF(K1907&gt;0,E1907*(1-'Trading Model'!E1917),IF(E1907&lt;I1906,I1906*(1-'Trading Model'!$E$14),I1906))</f>
        <v>8.9840153609188427</v>
      </c>
      <c r="J1907" s="198">
        <f t="shared" si="239"/>
        <v>0</v>
      </c>
      <c r="K1907" s="198">
        <f t="shared" si="234"/>
        <v>0</v>
      </c>
      <c r="L1907" s="198">
        <f>COUNTIF(J1907:K1907,"&lt;&gt;0")*-'Trading Model'!$E$15</f>
        <v>0</v>
      </c>
      <c r="M1907" s="198">
        <f t="shared" si="232"/>
        <v>0</v>
      </c>
      <c r="N1907" s="75">
        <f t="shared" si="235"/>
        <v>45</v>
      </c>
      <c r="O1907" s="202">
        <f t="shared" si="236"/>
        <v>0</v>
      </c>
      <c r="P1907" s="199">
        <f t="shared" si="233"/>
        <v>0</v>
      </c>
      <c r="Q1907" s="203">
        <f t="shared" si="237"/>
        <v>5.7000000000014008</v>
      </c>
      <c r="R1907" s="201">
        <f>E1907/B1903-1</f>
        <v>8.2872928176793703E-3</v>
      </c>
      <c r="S1907" s="201">
        <f t="shared" si="238"/>
        <v>0</v>
      </c>
    </row>
    <row r="1908" spans="1:19">
      <c r="A1908" s="196">
        <v>42734</v>
      </c>
      <c r="B1908" s="122">
        <v>18.170000000000002</v>
      </c>
      <c r="C1908" s="122">
        <v>18.25</v>
      </c>
      <c r="D1908" s="122">
        <v>18</v>
      </c>
      <c r="E1908" s="122">
        <v>18.170000000000002</v>
      </c>
      <c r="F1908" s="122">
        <v>16.050108000000002</v>
      </c>
      <c r="G1908" s="197">
        <v>20600</v>
      </c>
      <c r="H1908" s="198">
        <f>IF(AND(E1907&gt;=H1907,E1908&gt;=E1907),E1907*(1+'Trading Model'!$E$13),IF(AND(E1908&lt;E1907,E1907&gt;=H1907),E1908*(1+'Trading Model'!$E$13),H1907))</f>
        <v>27.698998950000004</v>
      </c>
      <c r="I1908" s="198">
        <f>IF(K1908&gt;0,E1908*(1-'Trading Model'!E1918),IF(E1908&lt;I1907,I1907*(1-'Trading Model'!$E$14),I1907))</f>
        <v>8.9840153609188427</v>
      </c>
      <c r="J1908" s="198">
        <f t="shared" si="239"/>
        <v>0</v>
      </c>
      <c r="K1908" s="198">
        <f t="shared" si="234"/>
        <v>0</v>
      </c>
      <c r="L1908" s="198">
        <f>COUNTIF(J1908:K1908,"&lt;&gt;0")*-'Trading Model'!$E$15</f>
        <v>0</v>
      </c>
      <c r="M1908" s="198">
        <f t="shared" si="232"/>
        <v>0</v>
      </c>
      <c r="N1908" s="75">
        <f t="shared" si="235"/>
        <v>45</v>
      </c>
      <c r="O1908" s="202">
        <f t="shared" si="236"/>
        <v>0</v>
      </c>
      <c r="P1908" s="199">
        <f t="shared" si="233"/>
        <v>0</v>
      </c>
      <c r="Q1908" s="203">
        <f t="shared" si="237"/>
        <v>5.6000000000014012</v>
      </c>
      <c r="R1908" s="160" t="s">
        <v>55</v>
      </c>
      <c r="S1908" s="201">
        <f t="shared" si="238"/>
        <v>-4.3835616438355762E-3</v>
      </c>
    </row>
    <row r="1909" spans="1:19">
      <c r="A1909" s="196">
        <v>42738</v>
      </c>
      <c r="B1909" s="122">
        <v>18.170000000000002</v>
      </c>
      <c r="C1909" s="122">
        <v>18.559999000000001</v>
      </c>
      <c r="D1909" s="122">
        <v>17.829999999999998</v>
      </c>
      <c r="E1909" s="122">
        <v>18</v>
      </c>
      <c r="F1909" s="122">
        <v>15.899940000000001</v>
      </c>
      <c r="G1909" s="197">
        <v>191200</v>
      </c>
      <c r="H1909" s="198">
        <f>IF(AND(E1908&gt;=H1908,E1909&gt;=E1908),E1908*(1+'Trading Model'!$E$13),IF(AND(E1909&lt;E1908,E1908&gt;=H1908),E1909*(1+'Trading Model'!$E$13),H1908))</f>
        <v>27.698998950000004</v>
      </c>
      <c r="I1909" s="198">
        <f>IF(K1909&gt;0,E1909*(1-'Trading Model'!E1919),IF(E1909&lt;I1908,I1908*(1-'Trading Model'!$E$14),I1908))</f>
        <v>8.9840153609188427</v>
      </c>
      <c r="J1909" s="198">
        <f t="shared" si="239"/>
        <v>0</v>
      </c>
      <c r="K1909" s="198">
        <f t="shared" si="234"/>
        <v>0</v>
      </c>
      <c r="L1909" s="198">
        <f>COUNTIF(J1909:K1909,"&lt;&gt;0")*-'Trading Model'!$E$15</f>
        <v>0</v>
      </c>
      <c r="M1909" s="198">
        <f t="shared" si="232"/>
        <v>0</v>
      </c>
      <c r="N1909" s="75">
        <f t="shared" si="235"/>
        <v>45</v>
      </c>
      <c r="O1909" s="202">
        <f t="shared" si="236"/>
        <v>0</v>
      </c>
      <c r="P1909" s="199">
        <f t="shared" si="233"/>
        <v>0</v>
      </c>
      <c r="Q1909" s="203">
        <f t="shared" si="237"/>
        <v>5.5000000000014015</v>
      </c>
      <c r="R1909" s="203" t="s">
        <v>55</v>
      </c>
      <c r="S1909" s="201">
        <f t="shared" si="238"/>
        <v>-9.3560814529445313E-3</v>
      </c>
    </row>
    <row r="1910" spans="1:19">
      <c r="A1910" s="196">
        <v>42739</v>
      </c>
      <c r="B1910" s="122">
        <v>18.059999000000001</v>
      </c>
      <c r="C1910" s="122">
        <v>18.41</v>
      </c>
      <c r="D1910" s="122">
        <v>17.889999</v>
      </c>
      <c r="E1910" s="122">
        <v>18.049999</v>
      </c>
      <c r="F1910" s="122">
        <v>15.944106</v>
      </c>
      <c r="G1910" s="197">
        <v>43800</v>
      </c>
      <c r="H1910" s="198">
        <f>IF(AND(E1909&gt;=H1909,E1910&gt;=E1909),E1909*(1+'Trading Model'!$E$13),IF(AND(E1910&lt;E1909,E1909&gt;=H1909),E1910*(1+'Trading Model'!$E$13),H1909))</f>
        <v>27.698998950000004</v>
      </c>
      <c r="I1910" s="198">
        <f>IF(K1910&gt;0,E1910*(1-'Trading Model'!E1920),IF(E1910&lt;I1909,I1909*(1-'Trading Model'!$E$14),I1909))</f>
        <v>8.9840153609188427</v>
      </c>
      <c r="J1910" s="198">
        <f t="shared" si="239"/>
        <v>0</v>
      </c>
      <c r="K1910" s="198">
        <f t="shared" si="234"/>
        <v>0</v>
      </c>
      <c r="L1910" s="198">
        <f>COUNTIF(J1910:K1910,"&lt;&gt;0")*-'Trading Model'!$E$15</f>
        <v>0</v>
      </c>
      <c r="M1910" s="198">
        <f t="shared" si="232"/>
        <v>0</v>
      </c>
      <c r="N1910" s="75">
        <f t="shared" si="235"/>
        <v>45</v>
      </c>
      <c r="O1910" s="202">
        <f t="shared" si="236"/>
        <v>0</v>
      </c>
      <c r="P1910" s="199">
        <f t="shared" si="233"/>
        <v>0</v>
      </c>
      <c r="Q1910" s="203">
        <f t="shared" si="237"/>
        <v>5.5000000000014015</v>
      </c>
      <c r="R1910" s="203" t="s">
        <v>55</v>
      </c>
      <c r="S1910" s="201">
        <f t="shared" si="238"/>
        <v>2.7777222222222786E-3</v>
      </c>
    </row>
    <row r="1911" spans="1:19">
      <c r="A1911" s="196">
        <v>42740</v>
      </c>
      <c r="B1911" s="122">
        <v>18.170000000000002</v>
      </c>
      <c r="C1911" s="122">
        <v>18.290001</v>
      </c>
      <c r="D1911" s="122">
        <v>17.93</v>
      </c>
      <c r="E1911" s="122">
        <v>18</v>
      </c>
      <c r="F1911" s="122">
        <v>15.899940000000001</v>
      </c>
      <c r="G1911" s="197">
        <v>81800</v>
      </c>
      <c r="H1911" s="198">
        <f>IF(AND(E1910&gt;=H1910,E1911&gt;=E1910),E1910*(1+'Trading Model'!$E$13),IF(AND(E1911&lt;E1910,E1910&gt;=H1910),E1911*(1+'Trading Model'!$E$13),H1910))</f>
        <v>27.698998950000004</v>
      </c>
      <c r="I1911" s="198">
        <f>IF(K1911&gt;0,E1911*(1-'Trading Model'!E1921),IF(E1911&lt;I1910,I1910*(1-'Trading Model'!$E$14),I1910))</f>
        <v>8.9840153609188427</v>
      </c>
      <c r="J1911" s="198">
        <f t="shared" si="239"/>
        <v>0</v>
      </c>
      <c r="K1911" s="198">
        <f t="shared" si="234"/>
        <v>0</v>
      </c>
      <c r="L1911" s="198">
        <f>COUNTIF(J1911:K1911,"&lt;&gt;0")*-'Trading Model'!$E$15</f>
        <v>0</v>
      </c>
      <c r="M1911" s="198">
        <f t="shared" si="232"/>
        <v>0</v>
      </c>
      <c r="N1911" s="75">
        <f t="shared" si="235"/>
        <v>45</v>
      </c>
      <c r="O1911" s="202">
        <f t="shared" si="236"/>
        <v>0</v>
      </c>
      <c r="P1911" s="199">
        <f t="shared" si="233"/>
        <v>0</v>
      </c>
      <c r="Q1911" s="203">
        <f t="shared" si="237"/>
        <v>5.4000000000014019</v>
      </c>
      <c r="R1911" s="203" t="s">
        <v>55</v>
      </c>
      <c r="S1911" s="201">
        <f t="shared" si="238"/>
        <v>-2.7700278542951429E-3</v>
      </c>
    </row>
    <row r="1912" spans="1:19">
      <c r="A1912" s="196">
        <v>42741</v>
      </c>
      <c r="B1912" s="122">
        <v>18.129999000000002</v>
      </c>
      <c r="C1912" s="122">
        <v>18.610001</v>
      </c>
      <c r="D1912" s="122">
        <v>18.120000999999998</v>
      </c>
      <c r="E1912" s="122">
        <v>18.600000000000001</v>
      </c>
      <c r="F1912" s="122">
        <v>16.429936999999999</v>
      </c>
      <c r="G1912" s="197">
        <v>90100</v>
      </c>
      <c r="H1912" s="198">
        <f>IF(AND(E1911&gt;=H1911,E1912&gt;=E1911),E1911*(1+'Trading Model'!$E$13),IF(AND(E1912&lt;E1911,E1911&gt;=H1911),E1912*(1+'Trading Model'!$E$13),H1911))</f>
        <v>27.698998950000004</v>
      </c>
      <c r="I1912" s="198">
        <f>IF(K1912&gt;0,E1912*(1-'Trading Model'!E1922),IF(E1912&lt;I1911,I1911*(1-'Trading Model'!$E$14),I1911))</f>
        <v>8.9840153609188427</v>
      </c>
      <c r="J1912" s="198">
        <f t="shared" si="239"/>
        <v>0</v>
      </c>
      <c r="K1912" s="198">
        <f t="shared" si="234"/>
        <v>0</v>
      </c>
      <c r="L1912" s="198">
        <f>COUNTIF(J1912:K1912,"&lt;&gt;0")*-'Trading Model'!$E$15</f>
        <v>0</v>
      </c>
      <c r="M1912" s="198">
        <f t="shared" si="232"/>
        <v>0</v>
      </c>
      <c r="N1912" s="75">
        <f t="shared" si="235"/>
        <v>45</v>
      </c>
      <c r="O1912" s="202">
        <f t="shared" si="236"/>
        <v>0</v>
      </c>
      <c r="P1912" s="199">
        <f t="shared" si="233"/>
        <v>0</v>
      </c>
      <c r="Q1912" s="203">
        <f t="shared" si="237"/>
        <v>5.4000000000014019</v>
      </c>
      <c r="R1912" s="201">
        <f>E1912/B1908-1</f>
        <v>2.3665382498624155E-2</v>
      </c>
      <c r="S1912" s="201">
        <f t="shared" si="238"/>
        <v>3.3333333333333437E-2</v>
      </c>
    </row>
    <row r="1913" spans="1:19">
      <c r="A1913" s="196">
        <v>42744</v>
      </c>
      <c r="B1913" s="122">
        <v>18.75</v>
      </c>
      <c r="C1913" s="122">
        <v>18.959999</v>
      </c>
      <c r="D1913" s="122">
        <v>18.600000000000001</v>
      </c>
      <c r="E1913" s="122">
        <v>18.920000000000002</v>
      </c>
      <c r="F1913" s="122">
        <v>16.712605</v>
      </c>
      <c r="G1913" s="197">
        <v>72700</v>
      </c>
      <c r="H1913" s="198">
        <f>IF(AND(E1912&gt;=H1912,E1913&gt;=E1912),E1912*(1+'Trading Model'!$E$13),IF(AND(E1913&lt;E1912,E1912&gt;=H1912),E1913*(1+'Trading Model'!$E$13),H1912))</f>
        <v>27.698998950000004</v>
      </c>
      <c r="I1913" s="198">
        <f>IF(K1913&gt;0,E1913*(1-'Trading Model'!E1923),IF(E1913&lt;I1912,I1912*(1-'Trading Model'!$E$14),I1912))</f>
        <v>8.9840153609188427</v>
      </c>
      <c r="J1913" s="198">
        <f t="shared" si="239"/>
        <v>0</v>
      </c>
      <c r="K1913" s="198">
        <f t="shared" si="234"/>
        <v>0</v>
      </c>
      <c r="L1913" s="198">
        <f>COUNTIF(J1913:K1913,"&lt;&gt;0")*-'Trading Model'!$E$15</f>
        <v>0</v>
      </c>
      <c r="M1913" s="198">
        <f t="shared" si="232"/>
        <v>0</v>
      </c>
      <c r="N1913" s="75">
        <f t="shared" si="235"/>
        <v>45</v>
      </c>
      <c r="O1913" s="202">
        <f t="shared" si="236"/>
        <v>0</v>
      </c>
      <c r="P1913" s="199">
        <f t="shared" si="233"/>
        <v>0</v>
      </c>
      <c r="Q1913" s="203">
        <f t="shared" si="237"/>
        <v>5.4000000000014019</v>
      </c>
      <c r="R1913" s="160" t="s">
        <v>55</v>
      </c>
      <c r="S1913" s="201">
        <f t="shared" si="238"/>
        <v>1.7204301075268935E-2</v>
      </c>
    </row>
    <row r="1914" spans="1:19">
      <c r="A1914" s="196">
        <v>42745</v>
      </c>
      <c r="B1914" s="122">
        <v>18.98</v>
      </c>
      <c r="C1914" s="122">
        <v>19.379999000000002</v>
      </c>
      <c r="D1914" s="122">
        <v>18.809999000000001</v>
      </c>
      <c r="E1914" s="122">
        <v>19.200001</v>
      </c>
      <c r="F1914" s="122">
        <v>16.959935999999999</v>
      </c>
      <c r="G1914" s="197">
        <v>209700</v>
      </c>
      <c r="H1914" s="198">
        <f>IF(AND(E1913&gt;=H1913,E1914&gt;=E1913),E1913*(1+'Trading Model'!$E$13),IF(AND(E1914&lt;E1913,E1913&gt;=H1913),E1914*(1+'Trading Model'!$E$13),H1913))</f>
        <v>27.698998950000004</v>
      </c>
      <c r="I1914" s="198">
        <f>IF(K1914&gt;0,E1914*(1-'Trading Model'!E1924),IF(E1914&lt;I1913,I1913*(1-'Trading Model'!$E$14),I1913))</f>
        <v>8.9840153609188427</v>
      </c>
      <c r="J1914" s="198">
        <f t="shared" si="239"/>
        <v>0</v>
      </c>
      <c r="K1914" s="198">
        <f t="shared" si="234"/>
        <v>0</v>
      </c>
      <c r="L1914" s="198">
        <f>COUNTIF(J1914:K1914,"&lt;&gt;0")*-'Trading Model'!$E$15</f>
        <v>0</v>
      </c>
      <c r="M1914" s="198">
        <f t="shared" si="232"/>
        <v>0</v>
      </c>
      <c r="N1914" s="75">
        <f t="shared" si="235"/>
        <v>45</v>
      </c>
      <c r="O1914" s="202">
        <f t="shared" si="236"/>
        <v>0</v>
      </c>
      <c r="P1914" s="199">
        <f t="shared" si="233"/>
        <v>0</v>
      </c>
      <c r="Q1914" s="203">
        <f t="shared" si="237"/>
        <v>5.4000000000014019</v>
      </c>
      <c r="R1914" s="203" t="s">
        <v>55</v>
      </c>
      <c r="S1914" s="201">
        <f t="shared" si="238"/>
        <v>1.4799207188160635E-2</v>
      </c>
    </row>
    <row r="1915" spans="1:19">
      <c r="A1915" s="196">
        <v>42746</v>
      </c>
      <c r="B1915" s="122">
        <v>19.399999999999999</v>
      </c>
      <c r="C1915" s="122">
        <v>19.899999999999999</v>
      </c>
      <c r="D1915" s="122">
        <v>19.200001</v>
      </c>
      <c r="E1915" s="122">
        <v>19.600000000000001</v>
      </c>
      <c r="F1915" s="122">
        <v>17.313268999999998</v>
      </c>
      <c r="G1915" s="197">
        <v>288500</v>
      </c>
      <c r="H1915" s="198">
        <f>IF(AND(E1914&gt;=H1914,E1915&gt;=E1914),E1914*(1+'Trading Model'!$E$13),IF(AND(E1915&lt;E1914,E1914&gt;=H1914),E1915*(1+'Trading Model'!$E$13),H1914))</f>
        <v>27.698998950000004</v>
      </c>
      <c r="I1915" s="198">
        <f>IF(K1915&gt;0,E1915*(1-'Trading Model'!E1925),IF(E1915&lt;I1914,I1914*(1-'Trading Model'!$E$14),I1914))</f>
        <v>8.9840153609188427</v>
      </c>
      <c r="J1915" s="198">
        <f t="shared" si="239"/>
        <v>0</v>
      </c>
      <c r="K1915" s="198">
        <f t="shared" si="234"/>
        <v>0</v>
      </c>
      <c r="L1915" s="198">
        <f>COUNTIF(J1915:K1915,"&lt;&gt;0")*-'Trading Model'!$E$15</f>
        <v>0</v>
      </c>
      <c r="M1915" s="198">
        <f t="shared" si="232"/>
        <v>0</v>
      </c>
      <c r="N1915" s="75">
        <f t="shared" si="235"/>
        <v>45</v>
      </c>
      <c r="O1915" s="202">
        <f t="shared" si="236"/>
        <v>0</v>
      </c>
      <c r="P1915" s="199">
        <f t="shared" si="233"/>
        <v>0</v>
      </c>
      <c r="Q1915" s="203">
        <f t="shared" si="237"/>
        <v>5.4000000000014019</v>
      </c>
      <c r="R1915" s="203" t="s">
        <v>55</v>
      </c>
      <c r="S1915" s="201">
        <f t="shared" si="238"/>
        <v>2.0833280164933354E-2</v>
      </c>
    </row>
    <row r="1916" spans="1:19">
      <c r="A1916" s="196">
        <v>42747</v>
      </c>
      <c r="B1916" s="122">
        <v>19.600000000000001</v>
      </c>
      <c r="C1916" s="122">
        <v>19.600000000000001</v>
      </c>
      <c r="D1916" s="122">
        <v>19.190000999999999</v>
      </c>
      <c r="E1916" s="122">
        <v>19.450001</v>
      </c>
      <c r="F1916" s="122">
        <v>17.180769000000002</v>
      </c>
      <c r="G1916" s="197">
        <v>175800</v>
      </c>
      <c r="H1916" s="198">
        <f>IF(AND(E1915&gt;=H1915,E1916&gt;=E1915),E1915*(1+'Trading Model'!$E$13),IF(AND(E1916&lt;E1915,E1915&gt;=H1915),E1916*(1+'Trading Model'!$E$13),H1915))</f>
        <v>27.698998950000004</v>
      </c>
      <c r="I1916" s="198">
        <f>IF(K1916&gt;0,E1916*(1-'Trading Model'!E1926),IF(E1916&lt;I1915,I1915*(1-'Trading Model'!$E$14),I1915))</f>
        <v>8.9840153609188427</v>
      </c>
      <c r="J1916" s="198">
        <f t="shared" si="239"/>
        <v>0</v>
      </c>
      <c r="K1916" s="198">
        <f t="shared" si="234"/>
        <v>0</v>
      </c>
      <c r="L1916" s="198">
        <f>COUNTIF(J1916:K1916,"&lt;&gt;0")*-'Trading Model'!$E$15</f>
        <v>0</v>
      </c>
      <c r="M1916" s="198">
        <f t="shared" si="232"/>
        <v>0</v>
      </c>
      <c r="N1916" s="75">
        <f t="shared" si="235"/>
        <v>45</v>
      </c>
      <c r="O1916" s="202">
        <f t="shared" si="236"/>
        <v>0</v>
      </c>
      <c r="P1916" s="199">
        <f t="shared" si="233"/>
        <v>0</v>
      </c>
      <c r="Q1916" s="203">
        <f t="shared" si="237"/>
        <v>5.3000000000014023</v>
      </c>
      <c r="R1916" s="203" t="s">
        <v>55</v>
      </c>
      <c r="S1916" s="201">
        <f t="shared" si="238"/>
        <v>-7.6530102040817116E-3</v>
      </c>
    </row>
    <row r="1917" spans="1:19">
      <c r="A1917" s="196">
        <v>42748</v>
      </c>
      <c r="B1917" s="122">
        <v>19.399999999999999</v>
      </c>
      <c r="C1917" s="122">
        <v>19.440000999999999</v>
      </c>
      <c r="D1917" s="122">
        <v>19.120000999999998</v>
      </c>
      <c r="E1917" s="122">
        <v>19.299999</v>
      </c>
      <c r="F1917" s="122">
        <v>17.048266999999999</v>
      </c>
      <c r="G1917" s="197">
        <v>153500</v>
      </c>
      <c r="H1917" s="198">
        <f>IF(AND(E1916&gt;=H1916,E1917&gt;=E1916),E1916*(1+'Trading Model'!$E$13),IF(AND(E1917&lt;E1916,E1916&gt;=H1916),E1917*(1+'Trading Model'!$E$13),H1916))</f>
        <v>27.698998950000004</v>
      </c>
      <c r="I1917" s="198">
        <f>IF(K1917&gt;0,E1917*(1-'Trading Model'!E1927),IF(E1917&lt;I1916,I1916*(1-'Trading Model'!$E$14),I1916))</f>
        <v>8.9840153609188427</v>
      </c>
      <c r="J1917" s="198">
        <f t="shared" si="239"/>
        <v>0</v>
      </c>
      <c r="K1917" s="198">
        <f t="shared" si="234"/>
        <v>0</v>
      </c>
      <c r="L1917" s="198">
        <f>COUNTIF(J1917:K1917,"&lt;&gt;0")*-'Trading Model'!$E$15</f>
        <v>0</v>
      </c>
      <c r="M1917" s="198">
        <f t="shared" si="232"/>
        <v>0</v>
      </c>
      <c r="N1917" s="75">
        <f t="shared" si="235"/>
        <v>45</v>
      </c>
      <c r="O1917" s="202">
        <f t="shared" si="236"/>
        <v>0</v>
      </c>
      <c r="P1917" s="199">
        <f t="shared" si="233"/>
        <v>0</v>
      </c>
      <c r="Q1917" s="203">
        <f t="shared" si="237"/>
        <v>5.2000000000014026</v>
      </c>
      <c r="R1917" s="201">
        <f>E1917/B1913-1</f>
        <v>2.9333279999999906E-2</v>
      </c>
      <c r="S1917" s="201">
        <f t="shared" si="238"/>
        <v>-7.7121846934610216E-3</v>
      </c>
    </row>
    <row r="1918" spans="1:19">
      <c r="A1918" s="196">
        <v>42752</v>
      </c>
      <c r="B1918" s="122">
        <v>19.43</v>
      </c>
      <c r="C1918" s="122">
        <v>19.700001</v>
      </c>
      <c r="D1918" s="122">
        <v>19.209999</v>
      </c>
      <c r="E1918" s="122">
        <v>19.600000000000001</v>
      </c>
      <c r="F1918" s="122">
        <v>17.313268999999998</v>
      </c>
      <c r="G1918" s="197">
        <v>165500</v>
      </c>
      <c r="H1918" s="198">
        <f>IF(AND(E1917&gt;=H1917,E1918&gt;=E1917),E1917*(1+'Trading Model'!$E$13),IF(AND(E1918&lt;E1917,E1917&gt;=H1917),E1918*(1+'Trading Model'!$E$13),H1917))</f>
        <v>27.698998950000004</v>
      </c>
      <c r="I1918" s="198">
        <f>IF(K1918&gt;0,E1918*(1-'Trading Model'!E1928),IF(E1918&lt;I1917,I1917*(1-'Trading Model'!$E$14),I1917))</f>
        <v>8.9840153609188427</v>
      </c>
      <c r="J1918" s="198">
        <f t="shared" si="239"/>
        <v>0</v>
      </c>
      <c r="K1918" s="198">
        <f t="shared" si="234"/>
        <v>0</v>
      </c>
      <c r="L1918" s="198">
        <f>COUNTIF(J1918:K1918,"&lt;&gt;0")*-'Trading Model'!$E$15</f>
        <v>0</v>
      </c>
      <c r="M1918" s="198">
        <f t="shared" si="232"/>
        <v>0</v>
      </c>
      <c r="N1918" s="75">
        <f t="shared" si="235"/>
        <v>45</v>
      </c>
      <c r="O1918" s="202">
        <f t="shared" si="236"/>
        <v>0</v>
      </c>
      <c r="P1918" s="199">
        <f t="shared" si="233"/>
        <v>0</v>
      </c>
      <c r="Q1918" s="203">
        <f t="shared" si="237"/>
        <v>5.2000000000014026</v>
      </c>
      <c r="R1918" s="160" t="s">
        <v>55</v>
      </c>
      <c r="S1918" s="201">
        <f t="shared" si="238"/>
        <v>1.55440940696423E-2</v>
      </c>
    </row>
    <row r="1919" spans="1:19">
      <c r="A1919" s="196">
        <v>42753</v>
      </c>
      <c r="B1919" s="122">
        <v>19.420000000000002</v>
      </c>
      <c r="C1919" s="122">
        <v>19.690000999999999</v>
      </c>
      <c r="D1919" s="122">
        <v>19.219999000000001</v>
      </c>
      <c r="E1919" s="122">
        <v>19.440000999999999</v>
      </c>
      <c r="F1919" s="122">
        <v>17.171935999999999</v>
      </c>
      <c r="G1919" s="197">
        <v>181500</v>
      </c>
      <c r="H1919" s="198">
        <f>IF(AND(E1918&gt;=H1918,E1919&gt;=E1918),E1918*(1+'Trading Model'!$E$13),IF(AND(E1919&lt;E1918,E1918&gt;=H1918),E1919*(1+'Trading Model'!$E$13),H1918))</f>
        <v>27.698998950000004</v>
      </c>
      <c r="I1919" s="198">
        <f>IF(K1919&gt;0,E1919*(1-'Trading Model'!E1929),IF(E1919&lt;I1918,I1918*(1-'Trading Model'!$E$14),I1918))</f>
        <v>8.9840153609188427</v>
      </c>
      <c r="J1919" s="198">
        <f t="shared" si="239"/>
        <v>0</v>
      </c>
      <c r="K1919" s="198">
        <f t="shared" si="234"/>
        <v>0</v>
      </c>
      <c r="L1919" s="198">
        <f>COUNTIF(J1919:K1919,"&lt;&gt;0")*-'Trading Model'!$E$15</f>
        <v>0</v>
      </c>
      <c r="M1919" s="198">
        <f t="shared" si="232"/>
        <v>0</v>
      </c>
      <c r="N1919" s="75">
        <f t="shared" si="235"/>
        <v>45</v>
      </c>
      <c r="O1919" s="202">
        <f t="shared" si="236"/>
        <v>0</v>
      </c>
      <c r="P1919" s="199">
        <f t="shared" si="233"/>
        <v>0</v>
      </c>
      <c r="Q1919" s="203">
        <f t="shared" si="237"/>
        <v>5.100000000001403</v>
      </c>
      <c r="R1919" s="203" t="s">
        <v>55</v>
      </c>
      <c r="S1919" s="201">
        <f t="shared" si="238"/>
        <v>-8.1632142857144263E-3</v>
      </c>
    </row>
    <row r="1920" spans="1:19">
      <c r="A1920" s="196">
        <v>42754</v>
      </c>
      <c r="B1920" s="122">
        <v>19.600000000000001</v>
      </c>
      <c r="C1920" s="122">
        <v>19.600000000000001</v>
      </c>
      <c r="D1920" s="122">
        <v>19.110001</v>
      </c>
      <c r="E1920" s="122">
        <v>19.290001</v>
      </c>
      <c r="F1920" s="122">
        <v>17.039434</v>
      </c>
      <c r="G1920" s="197">
        <v>38500</v>
      </c>
      <c r="H1920" s="198">
        <f>IF(AND(E1919&gt;=H1919,E1920&gt;=E1919),E1919*(1+'Trading Model'!$E$13),IF(AND(E1920&lt;E1919,E1919&gt;=H1919),E1920*(1+'Trading Model'!$E$13),H1919))</f>
        <v>27.698998950000004</v>
      </c>
      <c r="I1920" s="198">
        <f>IF(K1920&gt;0,E1920*(1-'Trading Model'!E1930),IF(E1920&lt;I1919,I1919*(1-'Trading Model'!$E$14),I1919))</f>
        <v>8.9840153609188427</v>
      </c>
      <c r="J1920" s="198">
        <f t="shared" si="239"/>
        <v>0</v>
      </c>
      <c r="K1920" s="198">
        <f t="shared" si="234"/>
        <v>0</v>
      </c>
      <c r="L1920" s="198">
        <f>COUNTIF(J1920:K1920,"&lt;&gt;0")*-'Trading Model'!$E$15</f>
        <v>0</v>
      </c>
      <c r="M1920" s="198">
        <f t="shared" si="232"/>
        <v>0</v>
      </c>
      <c r="N1920" s="75">
        <f t="shared" si="235"/>
        <v>45</v>
      </c>
      <c r="O1920" s="202">
        <f t="shared" si="236"/>
        <v>0</v>
      </c>
      <c r="P1920" s="199">
        <f t="shared" si="233"/>
        <v>0</v>
      </c>
      <c r="Q1920" s="203">
        <f t="shared" si="237"/>
        <v>5.0000000000014033</v>
      </c>
      <c r="R1920" s="203" t="s">
        <v>55</v>
      </c>
      <c r="S1920" s="201">
        <f t="shared" si="238"/>
        <v>-7.716048985799917E-3</v>
      </c>
    </row>
    <row r="1921" spans="1:19">
      <c r="A1921" s="196">
        <v>42755</v>
      </c>
      <c r="B1921" s="122">
        <v>19.41</v>
      </c>
      <c r="C1921" s="122">
        <v>19.850000000000001</v>
      </c>
      <c r="D1921" s="122">
        <v>19.309999000000001</v>
      </c>
      <c r="E1921" s="122">
        <v>19.579999999999998</v>
      </c>
      <c r="F1921" s="122">
        <v>17.295601000000001</v>
      </c>
      <c r="G1921" s="197">
        <v>76600</v>
      </c>
      <c r="H1921" s="198">
        <f>IF(AND(E1920&gt;=H1920,E1921&gt;=E1920),E1920*(1+'Trading Model'!$E$13),IF(AND(E1921&lt;E1920,E1920&gt;=H1920),E1921*(1+'Trading Model'!$E$13),H1920))</f>
        <v>27.698998950000004</v>
      </c>
      <c r="I1921" s="198">
        <f>IF(K1921&gt;0,E1921*(1-'Trading Model'!E1931),IF(E1921&lt;I1920,I1920*(1-'Trading Model'!$E$14),I1920))</f>
        <v>8.9840153609188427</v>
      </c>
      <c r="J1921" s="198">
        <f t="shared" si="239"/>
        <v>0</v>
      </c>
      <c r="K1921" s="198">
        <f t="shared" si="234"/>
        <v>0</v>
      </c>
      <c r="L1921" s="198">
        <f>COUNTIF(J1921:K1921,"&lt;&gt;0")*-'Trading Model'!$E$15</f>
        <v>0</v>
      </c>
      <c r="M1921" s="198">
        <f t="shared" si="232"/>
        <v>0</v>
      </c>
      <c r="N1921" s="75">
        <f t="shared" si="235"/>
        <v>45</v>
      </c>
      <c r="O1921" s="202">
        <f t="shared" si="236"/>
        <v>0</v>
      </c>
      <c r="P1921" s="199">
        <f t="shared" si="233"/>
        <v>0</v>
      </c>
      <c r="Q1921" s="203">
        <f t="shared" si="237"/>
        <v>5.0000000000014033</v>
      </c>
      <c r="R1921" s="203" t="s">
        <v>55</v>
      </c>
      <c r="S1921" s="201">
        <f t="shared" si="238"/>
        <v>1.503364359597481E-2</v>
      </c>
    </row>
    <row r="1922" spans="1:19">
      <c r="A1922" s="196">
        <v>42758</v>
      </c>
      <c r="B1922" s="122">
        <v>19.579999999999998</v>
      </c>
      <c r="C1922" s="122">
        <v>19.73</v>
      </c>
      <c r="D1922" s="122">
        <v>19.129999000000002</v>
      </c>
      <c r="E1922" s="122">
        <v>19.43</v>
      </c>
      <c r="F1922" s="122">
        <v>17.163101000000001</v>
      </c>
      <c r="G1922" s="197">
        <v>66700</v>
      </c>
      <c r="H1922" s="198">
        <f>IF(AND(E1921&gt;=H1921,E1922&gt;=E1921),E1921*(1+'Trading Model'!$E$13),IF(AND(E1922&lt;E1921,E1921&gt;=H1921),E1922*(1+'Trading Model'!$E$13),H1921))</f>
        <v>27.698998950000004</v>
      </c>
      <c r="I1922" s="198">
        <f>IF(K1922&gt;0,E1922*(1-'Trading Model'!E1932),IF(E1922&lt;I1921,I1921*(1-'Trading Model'!$E$14),I1921))</f>
        <v>8.9840153609188427</v>
      </c>
      <c r="J1922" s="198">
        <f t="shared" si="239"/>
        <v>0</v>
      </c>
      <c r="K1922" s="198">
        <f t="shared" si="234"/>
        <v>0</v>
      </c>
      <c r="L1922" s="198">
        <f>COUNTIF(J1922:K1922,"&lt;&gt;0")*-'Trading Model'!$E$15</f>
        <v>0</v>
      </c>
      <c r="M1922" s="198">
        <f t="shared" si="232"/>
        <v>0</v>
      </c>
      <c r="N1922" s="75">
        <f t="shared" si="235"/>
        <v>45</v>
      </c>
      <c r="O1922" s="202">
        <f t="shared" si="236"/>
        <v>0</v>
      </c>
      <c r="P1922" s="199">
        <f t="shared" si="233"/>
        <v>0</v>
      </c>
      <c r="Q1922" s="203">
        <f t="shared" si="237"/>
        <v>4.9000000000014037</v>
      </c>
      <c r="R1922" s="201">
        <f>E1922/B1918-1</f>
        <v>0</v>
      </c>
      <c r="S1922" s="201">
        <f t="shared" si="238"/>
        <v>-7.6608784473952696E-3</v>
      </c>
    </row>
    <row r="1923" spans="1:19">
      <c r="A1923" s="196">
        <v>42759</v>
      </c>
      <c r="B1923" s="122">
        <v>19.540001</v>
      </c>
      <c r="C1923" s="122">
        <v>19.600000000000001</v>
      </c>
      <c r="D1923" s="122">
        <v>19.170000000000002</v>
      </c>
      <c r="E1923" s="122">
        <v>19.510000000000002</v>
      </c>
      <c r="F1923" s="122">
        <v>17.233768000000001</v>
      </c>
      <c r="G1923" s="197">
        <v>97900</v>
      </c>
      <c r="H1923" s="198">
        <f>IF(AND(E1922&gt;=H1922,E1923&gt;=E1922),E1922*(1+'Trading Model'!$E$13),IF(AND(E1923&lt;E1922,E1922&gt;=H1922),E1923*(1+'Trading Model'!$E$13),H1922))</f>
        <v>27.698998950000004</v>
      </c>
      <c r="I1923" s="198">
        <f>IF(K1923&gt;0,E1923*(1-'Trading Model'!E1933),IF(E1923&lt;I1922,I1922*(1-'Trading Model'!$E$14),I1922))</f>
        <v>8.9840153609188427</v>
      </c>
      <c r="J1923" s="198">
        <f t="shared" si="239"/>
        <v>0</v>
      </c>
      <c r="K1923" s="198">
        <f t="shared" si="234"/>
        <v>0</v>
      </c>
      <c r="L1923" s="198">
        <f>COUNTIF(J1923:K1923,"&lt;&gt;0")*-'Trading Model'!$E$15</f>
        <v>0</v>
      </c>
      <c r="M1923" s="198">
        <f t="shared" ref="M1923:M1986" si="240">SUM(J1923:L1923)</f>
        <v>0</v>
      </c>
      <c r="N1923" s="75">
        <f t="shared" si="235"/>
        <v>45</v>
      </c>
      <c r="O1923" s="202">
        <f t="shared" si="236"/>
        <v>0</v>
      </c>
      <c r="P1923" s="199">
        <f t="shared" ref="P1923:P1986" si="241">IFERROR(VLOOKUP(A1923,Dividends,2,FALSE),$U$1)</f>
        <v>0</v>
      </c>
      <c r="Q1923" s="203">
        <f t="shared" si="237"/>
        <v>4.9000000000014037</v>
      </c>
      <c r="R1923" s="160" t="s">
        <v>55</v>
      </c>
      <c r="S1923" s="201">
        <f t="shared" si="238"/>
        <v>4.1173443129183251E-3</v>
      </c>
    </row>
    <row r="1924" spans="1:19">
      <c r="A1924" s="196">
        <v>42760</v>
      </c>
      <c r="B1924" s="122">
        <v>19.489999999999998</v>
      </c>
      <c r="C1924" s="122">
        <v>19.700001</v>
      </c>
      <c r="D1924" s="122">
        <v>19.18</v>
      </c>
      <c r="E1924" s="122">
        <v>19.329999999999998</v>
      </c>
      <c r="F1924" s="122">
        <v>17.074770000000001</v>
      </c>
      <c r="G1924" s="197">
        <v>89200</v>
      </c>
      <c r="H1924" s="198">
        <f>IF(AND(E1923&gt;=H1923,E1924&gt;=E1923),E1923*(1+'Trading Model'!$E$13),IF(AND(E1924&lt;E1923,E1923&gt;=H1923),E1924*(1+'Trading Model'!$E$13),H1923))</f>
        <v>27.698998950000004</v>
      </c>
      <c r="I1924" s="198">
        <f>IF(K1924&gt;0,E1924*(1-'Trading Model'!E1934),IF(E1924&lt;I1923,I1923*(1-'Trading Model'!$E$14),I1923))</f>
        <v>8.9840153609188427</v>
      </c>
      <c r="J1924" s="198">
        <f t="shared" si="239"/>
        <v>0</v>
      </c>
      <c r="K1924" s="198">
        <f t="shared" ref="K1924:K1987" si="242">IF(E1924&gt;=H1924,E1924,0)</f>
        <v>0</v>
      </c>
      <c r="L1924" s="198">
        <f>COUNTIF(J1924:K1924,"&lt;&gt;0")*-'Trading Model'!$E$15</f>
        <v>0</v>
      </c>
      <c r="M1924" s="198">
        <f t="shared" si="240"/>
        <v>0</v>
      </c>
      <c r="N1924" s="75">
        <f t="shared" ref="N1924:N1987" si="243">IF(AND(J1924&lt;0,K1924&gt;0),N1923,(IF(J1924&lt;0,N1923+1,IF(K1924&gt;0,N1923+1,N1923))))</f>
        <v>45</v>
      </c>
      <c r="O1924" s="202">
        <f t="shared" ref="O1924:O1987" si="244">P1924</f>
        <v>0</v>
      </c>
      <c r="P1924" s="199">
        <f t="shared" si="241"/>
        <v>0</v>
      </c>
      <c r="Q1924" s="203">
        <f t="shared" ref="Q1924:Q1987" si="245">IF(E1924&lt;E1923,Q1923-0.1,Q1923)</f>
        <v>4.800000000001404</v>
      </c>
      <c r="R1924" s="203" t="s">
        <v>55</v>
      </c>
      <c r="S1924" s="201">
        <f t="shared" ref="S1924:S1987" si="246">E1924/E1923-1</f>
        <v>-9.226037929267239E-3</v>
      </c>
    </row>
    <row r="1925" spans="1:19">
      <c r="A1925" s="196">
        <v>42761</v>
      </c>
      <c r="B1925" s="122">
        <v>19.200001</v>
      </c>
      <c r="C1925" s="122">
        <v>19.5</v>
      </c>
      <c r="D1925" s="122">
        <v>18.899999999999999</v>
      </c>
      <c r="E1925" s="122">
        <v>19.030000999999999</v>
      </c>
      <c r="F1925" s="122">
        <v>16.809771000000001</v>
      </c>
      <c r="G1925" s="197">
        <v>97000</v>
      </c>
      <c r="H1925" s="198">
        <f>IF(AND(E1924&gt;=H1924,E1925&gt;=E1924),E1924*(1+'Trading Model'!$E$13),IF(AND(E1925&lt;E1924,E1924&gt;=H1924),E1925*(1+'Trading Model'!$E$13),H1924))</f>
        <v>27.698998950000004</v>
      </c>
      <c r="I1925" s="198">
        <f>IF(K1925&gt;0,E1925*(1-'Trading Model'!E1935),IF(E1925&lt;I1924,I1924*(1-'Trading Model'!$E$14),I1924))</f>
        <v>8.9840153609188427</v>
      </c>
      <c r="J1925" s="198">
        <f t="shared" ref="J1925:J1988" si="247">IF(E1925&gt;=H1925,-E1925,IF(E1925&lt;=I1924,-E1925,0))</f>
        <v>0</v>
      </c>
      <c r="K1925" s="198">
        <f t="shared" si="242"/>
        <v>0</v>
      </c>
      <c r="L1925" s="198">
        <f>COUNTIF(J1925:K1925,"&lt;&gt;0")*-'Trading Model'!$E$15</f>
        <v>0</v>
      </c>
      <c r="M1925" s="198">
        <f t="shared" si="240"/>
        <v>0</v>
      </c>
      <c r="N1925" s="75">
        <f t="shared" si="243"/>
        <v>45</v>
      </c>
      <c r="O1925" s="202">
        <f t="shared" si="244"/>
        <v>0</v>
      </c>
      <c r="P1925" s="199">
        <f t="shared" si="241"/>
        <v>0</v>
      </c>
      <c r="Q1925" s="203">
        <f t="shared" si="245"/>
        <v>4.7000000000014044</v>
      </c>
      <c r="R1925" s="203" t="s">
        <v>55</v>
      </c>
      <c r="S1925" s="201">
        <f t="shared" si="246"/>
        <v>-1.5519865494050711E-2</v>
      </c>
    </row>
    <row r="1926" spans="1:19">
      <c r="A1926" s="196">
        <v>42762</v>
      </c>
      <c r="B1926" s="122">
        <v>18.879999000000002</v>
      </c>
      <c r="C1926" s="122">
        <v>19.27</v>
      </c>
      <c r="D1926" s="122">
        <v>18.879999000000002</v>
      </c>
      <c r="E1926" s="122">
        <v>19.100000000000001</v>
      </c>
      <c r="F1926" s="122">
        <v>16.871603</v>
      </c>
      <c r="G1926" s="197">
        <v>70000</v>
      </c>
      <c r="H1926" s="198">
        <f>IF(AND(E1925&gt;=H1925,E1926&gt;=E1925),E1925*(1+'Trading Model'!$E$13),IF(AND(E1926&lt;E1925,E1925&gt;=H1925),E1926*(1+'Trading Model'!$E$13),H1925))</f>
        <v>27.698998950000004</v>
      </c>
      <c r="I1926" s="198">
        <f>IF(K1926&gt;0,E1926*(1-'Trading Model'!E1936),IF(E1926&lt;I1925,I1925*(1-'Trading Model'!$E$14),I1925))</f>
        <v>8.9840153609188427</v>
      </c>
      <c r="J1926" s="198">
        <f t="shared" si="247"/>
        <v>0</v>
      </c>
      <c r="K1926" s="198">
        <f t="shared" si="242"/>
        <v>0</v>
      </c>
      <c r="L1926" s="198">
        <f>COUNTIF(J1926:K1926,"&lt;&gt;0")*-'Trading Model'!$E$15</f>
        <v>0</v>
      </c>
      <c r="M1926" s="198">
        <f t="shared" si="240"/>
        <v>0</v>
      </c>
      <c r="N1926" s="75">
        <f t="shared" si="243"/>
        <v>45</v>
      </c>
      <c r="O1926" s="202">
        <f t="shared" si="244"/>
        <v>0</v>
      </c>
      <c r="P1926" s="199">
        <f t="shared" si="241"/>
        <v>0</v>
      </c>
      <c r="Q1926" s="203">
        <f t="shared" si="245"/>
        <v>4.7000000000014044</v>
      </c>
      <c r="R1926" s="203" t="s">
        <v>55</v>
      </c>
      <c r="S1926" s="201">
        <f t="shared" si="246"/>
        <v>3.6783497804335763E-3</v>
      </c>
    </row>
    <row r="1927" spans="1:19">
      <c r="A1927" s="196">
        <v>42765</v>
      </c>
      <c r="B1927" s="122">
        <v>19.190000999999999</v>
      </c>
      <c r="C1927" s="122">
        <v>19.440000999999999</v>
      </c>
      <c r="D1927" s="122">
        <v>18.709999</v>
      </c>
      <c r="E1927" s="122">
        <v>19.129999000000002</v>
      </c>
      <c r="F1927" s="122">
        <v>16.898102000000002</v>
      </c>
      <c r="G1927" s="197">
        <v>82800</v>
      </c>
      <c r="H1927" s="198">
        <f>IF(AND(E1926&gt;=H1926,E1927&gt;=E1926),E1926*(1+'Trading Model'!$E$13),IF(AND(E1927&lt;E1926,E1926&gt;=H1926),E1927*(1+'Trading Model'!$E$13),H1926))</f>
        <v>27.698998950000004</v>
      </c>
      <c r="I1927" s="198">
        <f>IF(K1927&gt;0,E1927*(1-'Trading Model'!E1937),IF(E1927&lt;I1926,I1926*(1-'Trading Model'!$E$14),I1926))</f>
        <v>8.9840153609188427</v>
      </c>
      <c r="J1927" s="198">
        <f t="shared" si="247"/>
        <v>0</v>
      </c>
      <c r="K1927" s="198">
        <f t="shared" si="242"/>
        <v>0</v>
      </c>
      <c r="L1927" s="198">
        <f>COUNTIF(J1927:K1927,"&lt;&gt;0")*-'Trading Model'!$E$15</f>
        <v>0</v>
      </c>
      <c r="M1927" s="198">
        <f t="shared" si="240"/>
        <v>0</v>
      </c>
      <c r="N1927" s="75">
        <f t="shared" si="243"/>
        <v>45</v>
      </c>
      <c r="O1927" s="202">
        <f t="shared" si="244"/>
        <v>0</v>
      </c>
      <c r="P1927" s="199">
        <f t="shared" si="241"/>
        <v>0</v>
      </c>
      <c r="Q1927" s="203">
        <f t="shared" si="245"/>
        <v>4.7000000000014044</v>
      </c>
      <c r="R1927" s="201">
        <f>E1927/B1923-1</f>
        <v>-2.0982701075603738E-2</v>
      </c>
      <c r="S1927" s="201">
        <f t="shared" si="246"/>
        <v>1.5706282722514064E-3</v>
      </c>
    </row>
    <row r="1928" spans="1:19">
      <c r="A1928" s="196">
        <v>42766</v>
      </c>
      <c r="B1928" s="122">
        <v>19.18</v>
      </c>
      <c r="C1928" s="122">
        <v>19.43</v>
      </c>
      <c r="D1928" s="122">
        <v>19</v>
      </c>
      <c r="E1928" s="122">
        <v>19.299999</v>
      </c>
      <c r="F1928" s="122">
        <v>17.048266999999999</v>
      </c>
      <c r="G1928" s="197">
        <v>59900</v>
      </c>
      <c r="H1928" s="198">
        <f>IF(AND(E1927&gt;=H1927,E1928&gt;=E1927),E1927*(1+'Trading Model'!$E$13),IF(AND(E1928&lt;E1927,E1927&gt;=H1927),E1928*(1+'Trading Model'!$E$13),H1927))</f>
        <v>27.698998950000004</v>
      </c>
      <c r="I1928" s="198">
        <f>IF(K1928&gt;0,E1928*(1-'Trading Model'!E1938),IF(E1928&lt;I1927,I1927*(1-'Trading Model'!$E$14),I1927))</f>
        <v>8.9840153609188427</v>
      </c>
      <c r="J1928" s="198">
        <f t="shared" si="247"/>
        <v>0</v>
      </c>
      <c r="K1928" s="198">
        <f t="shared" si="242"/>
        <v>0</v>
      </c>
      <c r="L1928" s="198">
        <f>COUNTIF(J1928:K1928,"&lt;&gt;0")*-'Trading Model'!$E$15</f>
        <v>0</v>
      </c>
      <c r="M1928" s="198">
        <f t="shared" si="240"/>
        <v>0</v>
      </c>
      <c r="N1928" s="75">
        <f t="shared" si="243"/>
        <v>45</v>
      </c>
      <c r="O1928" s="202">
        <f t="shared" si="244"/>
        <v>0</v>
      </c>
      <c r="P1928" s="199">
        <f t="shared" si="241"/>
        <v>0</v>
      </c>
      <c r="Q1928" s="203">
        <f t="shared" si="245"/>
        <v>4.7000000000014044</v>
      </c>
      <c r="R1928" s="160" t="s">
        <v>55</v>
      </c>
      <c r="S1928" s="201">
        <f t="shared" si="246"/>
        <v>8.8865660682992953E-3</v>
      </c>
    </row>
    <row r="1929" spans="1:19">
      <c r="A1929" s="196">
        <v>42767</v>
      </c>
      <c r="B1929" s="122">
        <v>19.549999</v>
      </c>
      <c r="C1929" s="122">
        <v>20.57</v>
      </c>
      <c r="D1929" s="122">
        <v>19.23</v>
      </c>
      <c r="E1929" s="122">
        <v>20.32</v>
      </c>
      <c r="F1929" s="122">
        <v>17.949265</v>
      </c>
      <c r="G1929" s="197">
        <v>131600</v>
      </c>
      <c r="H1929" s="198">
        <f>IF(AND(E1928&gt;=H1928,E1929&gt;=E1928),E1928*(1+'Trading Model'!$E$13),IF(AND(E1929&lt;E1928,E1928&gt;=H1928),E1929*(1+'Trading Model'!$E$13),H1928))</f>
        <v>27.698998950000004</v>
      </c>
      <c r="I1929" s="198">
        <f>IF(K1929&gt;0,E1929*(1-'Trading Model'!E1939),IF(E1929&lt;I1928,I1928*(1-'Trading Model'!$E$14),I1928))</f>
        <v>8.9840153609188427</v>
      </c>
      <c r="J1929" s="198">
        <f t="shared" si="247"/>
        <v>0</v>
      </c>
      <c r="K1929" s="198">
        <f t="shared" si="242"/>
        <v>0</v>
      </c>
      <c r="L1929" s="198">
        <f>COUNTIF(J1929:K1929,"&lt;&gt;0")*-'Trading Model'!$E$15</f>
        <v>0</v>
      </c>
      <c r="M1929" s="198">
        <f t="shared" si="240"/>
        <v>0</v>
      </c>
      <c r="N1929" s="75">
        <f t="shared" si="243"/>
        <v>45</v>
      </c>
      <c r="O1929" s="202">
        <f t="shared" si="244"/>
        <v>0</v>
      </c>
      <c r="P1929" s="199">
        <f t="shared" si="241"/>
        <v>0</v>
      </c>
      <c r="Q1929" s="203">
        <f t="shared" si="245"/>
        <v>4.7000000000014044</v>
      </c>
      <c r="R1929" s="203" t="s">
        <v>55</v>
      </c>
      <c r="S1929" s="201">
        <f t="shared" si="246"/>
        <v>5.284979548444535E-2</v>
      </c>
    </row>
    <row r="1930" spans="1:19">
      <c r="A1930" s="196">
        <v>42768</v>
      </c>
      <c r="B1930" s="122">
        <v>20.43</v>
      </c>
      <c r="C1930" s="122">
        <v>21.43</v>
      </c>
      <c r="D1930" s="122">
        <v>19.860001</v>
      </c>
      <c r="E1930" s="122">
        <v>20.85</v>
      </c>
      <c r="F1930" s="122">
        <v>18.417431000000001</v>
      </c>
      <c r="G1930" s="197">
        <v>203800</v>
      </c>
      <c r="H1930" s="198">
        <f>IF(AND(E1929&gt;=H1929,E1930&gt;=E1929),E1929*(1+'Trading Model'!$E$13),IF(AND(E1930&lt;E1929,E1929&gt;=H1929),E1930*(1+'Trading Model'!$E$13),H1929))</f>
        <v>27.698998950000004</v>
      </c>
      <c r="I1930" s="198">
        <f>IF(K1930&gt;0,E1930*(1-'Trading Model'!E1940),IF(E1930&lt;I1929,I1929*(1-'Trading Model'!$E$14),I1929))</f>
        <v>8.9840153609188427</v>
      </c>
      <c r="J1930" s="198">
        <f t="shared" si="247"/>
        <v>0</v>
      </c>
      <c r="K1930" s="198">
        <f t="shared" si="242"/>
        <v>0</v>
      </c>
      <c r="L1930" s="198">
        <f>COUNTIF(J1930:K1930,"&lt;&gt;0")*-'Trading Model'!$E$15</f>
        <v>0</v>
      </c>
      <c r="M1930" s="198">
        <f t="shared" si="240"/>
        <v>0</v>
      </c>
      <c r="N1930" s="75">
        <f t="shared" si="243"/>
        <v>45</v>
      </c>
      <c r="O1930" s="202">
        <f t="shared" si="244"/>
        <v>0</v>
      </c>
      <c r="P1930" s="199">
        <f t="shared" si="241"/>
        <v>0</v>
      </c>
      <c r="Q1930" s="203">
        <f t="shared" si="245"/>
        <v>4.7000000000014044</v>
      </c>
      <c r="R1930" s="203" t="s">
        <v>55</v>
      </c>
      <c r="S1930" s="201">
        <f t="shared" si="246"/>
        <v>2.6082677165354395E-2</v>
      </c>
    </row>
    <row r="1931" spans="1:19">
      <c r="A1931" s="196">
        <v>42769</v>
      </c>
      <c r="B1931" s="122">
        <v>21.049999</v>
      </c>
      <c r="C1931" s="122">
        <v>22.700001</v>
      </c>
      <c r="D1931" s="122">
        <v>21</v>
      </c>
      <c r="E1931" s="122">
        <v>22.700001</v>
      </c>
      <c r="F1931" s="122">
        <v>20.051591999999999</v>
      </c>
      <c r="G1931" s="197">
        <v>458700</v>
      </c>
      <c r="H1931" s="198">
        <f>IF(AND(E1930&gt;=H1930,E1931&gt;=E1930),E1930*(1+'Trading Model'!$E$13),IF(AND(E1931&lt;E1930,E1930&gt;=H1930),E1931*(1+'Trading Model'!$E$13),H1930))</f>
        <v>27.698998950000004</v>
      </c>
      <c r="I1931" s="198">
        <f>IF(K1931&gt;0,E1931*(1-'Trading Model'!E1941),IF(E1931&lt;I1930,I1930*(1-'Trading Model'!$E$14),I1930))</f>
        <v>8.9840153609188427</v>
      </c>
      <c r="J1931" s="198">
        <f t="shared" si="247"/>
        <v>0</v>
      </c>
      <c r="K1931" s="198">
        <f t="shared" si="242"/>
        <v>0</v>
      </c>
      <c r="L1931" s="198">
        <f>COUNTIF(J1931:K1931,"&lt;&gt;0")*-'Trading Model'!$E$15</f>
        <v>0</v>
      </c>
      <c r="M1931" s="198">
        <f t="shared" si="240"/>
        <v>0</v>
      </c>
      <c r="N1931" s="75">
        <f t="shared" si="243"/>
        <v>45</v>
      </c>
      <c r="O1931" s="202">
        <f t="shared" si="244"/>
        <v>0</v>
      </c>
      <c r="P1931" s="199">
        <f t="shared" si="241"/>
        <v>0</v>
      </c>
      <c r="Q1931" s="203">
        <f t="shared" si="245"/>
        <v>4.7000000000014044</v>
      </c>
      <c r="R1931" s="203" t="s">
        <v>55</v>
      </c>
      <c r="S1931" s="201">
        <f t="shared" si="246"/>
        <v>8.8729064748201303E-2</v>
      </c>
    </row>
    <row r="1932" spans="1:19">
      <c r="A1932" s="196">
        <v>42772</v>
      </c>
      <c r="B1932" s="122">
        <v>22.59</v>
      </c>
      <c r="C1932" s="122">
        <v>22.709999</v>
      </c>
      <c r="D1932" s="122">
        <v>21.559999000000001</v>
      </c>
      <c r="E1932" s="122">
        <v>22.23</v>
      </c>
      <c r="F1932" s="122">
        <v>19.636423000000001</v>
      </c>
      <c r="G1932" s="197">
        <v>146200</v>
      </c>
      <c r="H1932" s="198">
        <f>IF(AND(E1931&gt;=H1931,E1932&gt;=E1931),E1931*(1+'Trading Model'!$E$13),IF(AND(E1932&lt;E1931,E1931&gt;=H1931),E1932*(1+'Trading Model'!$E$13),H1931))</f>
        <v>27.698998950000004</v>
      </c>
      <c r="I1932" s="198">
        <f>IF(K1932&gt;0,E1932*(1-'Trading Model'!E1942),IF(E1932&lt;I1931,I1931*(1-'Trading Model'!$E$14),I1931))</f>
        <v>8.9840153609188427</v>
      </c>
      <c r="J1932" s="198">
        <f t="shared" si="247"/>
        <v>0</v>
      </c>
      <c r="K1932" s="198">
        <f t="shared" si="242"/>
        <v>0</v>
      </c>
      <c r="L1932" s="198">
        <f>COUNTIF(J1932:K1932,"&lt;&gt;0")*-'Trading Model'!$E$15</f>
        <v>0</v>
      </c>
      <c r="M1932" s="198">
        <f t="shared" si="240"/>
        <v>0</v>
      </c>
      <c r="N1932" s="75">
        <f t="shared" si="243"/>
        <v>45</v>
      </c>
      <c r="O1932" s="202">
        <f t="shared" si="244"/>
        <v>0</v>
      </c>
      <c r="P1932" s="199">
        <f t="shared" si="241"/>
        <v>0</v>
      </c>
      <c r="Q1932" s="203">
        <f t="shared" si="245"/>
        <v>4.6000000000014047</v>
      </c>
      <c r="R1932" s="201">
        <f>E1932/B1928-1</f>
        <v>0.15901981230448392</v>
      </c>
      <c r="S1932" s="201">
        <f t="shared" si="246"/>
        <v>-2.0704888955731748E-2</v>
      </c>
    </row>
    <row r="1933" spans="1:19">
      <c r="A1933" s="196">
        <v>42773</v>
      </c>
      <c r="B1933" s="122">
        <v>22.389999</v>
      </c>
      <c r="C1933" s="122">
        <v>22.389999</v>
      </c>
      <c r="D1933" s="122">
        <v>21.639999</v>
      </c>
      <c r="E1933" s="122">
        <v>22.1</v>
      </c>
      <c r="F1933" s="122">
        <v>19.521591000000001</v>
      </c>
      <c r="G1933" s="197">
        <v>97600</v>
      </c>
      <c r="H1933" s="198">
        <f>IF(AND(E1932&gt;=H1932,E1933&gt;=E1932),E1932*(1+'Trading Model'!$E$13),IF(AND(E1933&lt;E1932,E1932&gt;=H1932),E1933*(1+'Trading Model'!$E$13),H1932))</f>
        <v>27.698998950000004</v>
      </c>
      <c r="I1933" s="198">
        <f>IF(K1933&gt;0,E1933*(1-'Trading Model'!E1943),IF(E1933&lt;I1932,I1932*(1-'Trading Model'!$E$14),I1932))</f>
        <v>8.9840153609188427</v>
      </c>
      <c r="J1933" s="198">
        <f t="shared" si="247"/>
        <v>0</v>
      </c>
      <c r="K1933" s="198">
        <f t="shared" si="242"/>
        <v>0</v>
      </c>
      <c r="L1933" s="198">
        <f>COUNTIF(J1933:K1933,"&lt;&gt;0")*-'Trading Model'!$E$15</f>
        <v>0</v>
      </c>
      <c r="M1933" s="198">
        <f t="shared" si="240"/>
        <v>0</v>
      </c>
      <c r="N1933" s="75">
        <f t="shared" si="243"/>
        <v>45</v>
      </c>
      <c r="O1933" s="202">
        <f t="shared" si="244"/>
        <v>0</v>
      </c>
      <c r="P1933" s="199">
        <f t="shared" si="241"/>
        <v>0</v>
      </c>
      <c r="Q1933" s="203">
        <f t="shared" si="245"/>
        <v>4.5000000000014051</v>
      </c>
      <c r="R1933" s="160" t="s">
        <v>55</v>
      </c>
      <c r="S1933" s="201">
        <f t="shared" si="246"/>
        <v>-5.8479532163742132E-3</v>
      </c>
    </row>
    <row r="1934" spans="1:19">
      <c r="A1934" s="196">
        <v>42774</v>
      </c>
      <c r="B1934" s="122">
        <v>22</v>
      </c>
      <c r="C1934" s="122">
        <v>22.200001</v>
      </c>
      <c r="D1934" s="122">
        <v>21.5</v>
      </c>
      <c r="E1934" s="122">
        <v>22.1</v>
      </c>
      <c r="F1934" s="122">
        <v>19.521591000000001</v>
      </c>
      <c r="G1934" s="197">
        <v>235400</v>
      </c>
      <c r="H1934" s="198">
        <f>IF(AND(E1933&gt;=H1933,E1934&gt;=E1933),E1933*(1+'Trading Model'!$E$13),IF(AND(E1934&lt;E1933,E1933&gt;=H1933),E1934*(1+'Trading Model'!$E$13),H1933))</f>
        <v>27.698998950000004</v>
      </c>
      <c r="I1934" s="198">
        <f>IF(K1934&gt;0,E1934*(1-'Trading Model'!E1944),IF(E1934&lt;I1933,I1933*(1-'Trading Model'!$E$14),I1933))</f>
        <v>8.9840153609188427</v>
      </c>
      <c r="J1934" s="198">
        <f t="shared" si="247"/>
        <v>0</v>
      </c>
      <c r="K1934" s="198">
        <f t="shared" si="242"/>
        <v>0</v>
      </c>
      <c r="L1934" s="198">
        <f>COUNTIF(J1934:K1934,"&lt;&gt;0")*-'Trading Model'!$E$15</f>
        <v>0</v>
      </c>
      <c r="M1934" s="198">
        <f t="shared" si="240"/>
        <v>0</v>
      </c>
      <c r="N1934" s="75">
        <f t="shared" si="243"/>
        <v>45</v>
      </c>
      <c r="O1934" s="202">
        <f t="shared" si="244"/>
        <v>0</v>
      </c>
      <c r="P1934" s="199">
        <f t="shared" si="241"/>
        <v>0</v>
      </c>
      <c r="Q1934" s="203">
        <f t="shared" si="245"/>
        <v>4.5000000000014051</v>
      </c>
      <c r="R1934" s="203" t="s">
        <v>55</v>
      </c>
      <c r="S1934" s="201">
        <f t="shared" si="246"/>
        <v>0</v>
      </c>
    </row>
    <row r="1935" spans="1:19">
      <c r="A1935" s="196">
        <v>42775</v>
      </c>
      <c r="B1935" s="122">
        <v>22</v>
      </c>
      <c r="C1935" s="122">
        <v>23.309999000000001</v>
      </c>
      <c r="D1935" s="122">
        <v>21.75</v>
      </c>
      <c r="E1935" s="122">
        <v>22.91</v>
      </c>
      <c r="F1935" s="122">
        <v>20.237089000000001</v>
      </c>
      <c r="G1935" s="197">
        <v>127000</v>
      </c>
      <c r="H1935" s="198">
        <f>IF(AND(E1934&gt;=H1934,E1935&gt;=E1934),E1934*(1+'Trading Model'!$E$13),IF(AND(E1935&lt;E1934,E1934&gt;=H1934),E1935*(1+'Trading Model'!$E$13),H1934))</f>
        <v>27.698998950000004</v>
      </c>
      <c r="I1935" s="198">
        <f>IF(K1935&gt;0,E1935*(1-'Trading Model'!E1945),IF(E1935&lt;I1934,I1934*(1-'Trading Model'!$E$14),I1934))</f>
        <v>8.9840153609188427</v>
      </c>
      <c r="J1935" s="198">
        <f t="shared" si="247"/>
        <v>0</v>
      </c>
      <c r="K1935" s="198">
        <f t="shared" si="242"/>
        <v>0</v>
      </c>
      <c r="L1935" s="198">
        <f>COUNTIF(J1935:K1935,"&lt;&gt;0")*-'Trading Model'!$E$15</f>
        <v>0</v>
      </c>
      <c r="M1935" s="198">
        <f t="shared" si="240"/>
        <v>0</v>
      </c>
      <c r="N1935" s="75">
        <f t="shared" si="243"/>
        <v>45</v>
      </c>
      <c r="O1935" s="202">
        <f t="shared" si="244"/>
        <v>0</v>
      </c>
      <c r="P1935" s="199">
        <f t="shared" si="241"/>
        <v>0</v>
      </c>
      <c r="Q1935" s="203">
        <f t="shared" si="245"/>
        <v>4.5000000000014051</v>
      </c>
      <c r="R1935" s="203" t="s">
        <v>55</v>
      </c>
      <c r="S1935" s="201">
        <f t="shared" si="246"/>
        <v>3.665158371040711E-2</v>
      </c>
    </row>
    <row r="1936" spans="1:19">
      <c r="A1936" s="196">
        <v>42776</v>
      </c>
      <c r="B1936" s="122">
        <v>23.1</v>
      </c>
      <c r="C1936" s="122">
        <v>23.1</v>
      </c>
      <c r="D1936" s="122">
        <v>22.33</v>
      </c>
      <c r="E1936" s="122">
        <v>22.629999000000002</v>
      </c>
      <c r="F1936" s="122">
        <v>19.989756</v>
      </c>
      <c r="G1936" s="197">
        <v>71500</v>
      </c>
      <c r="H1936" s="198">
        <f>IF(AND(E1935&gt;=H1935,E1936&gt;=E1935),E1935*(1+'Trading Model'!$E$13),IF(AND(E1936&lt;E1935,E1935&gt;=H1935),E1936*(1+'Trading Model'!$E$13),H1935))</f>
        <v>27.698998950000004</v>
      </c>
      <c r="I1936" s="198">
        <f>IF(K1936&gt;0,E1936*(1-'Trading Model'!E1946),IF(E1936&lt;I1935,I1935*(1-'Trading Model'!$E$14),I1935))</f>
        <v>8.9840153609188427</v>
      </c>
      <c r="J1936" s="198">
        <f t="shared" si="247"/>
        <v>0</v>
      </c>
      <c r="K1936" s="198">
        <f t="shared" si="242"/>
        <v>0</v>
      </c>
      <c r="L1936" s="198">
        <f>COUNTIF(J1936:K1936,"&lt;&gt;0")*-'Trading Model'!$E$15</f>
        <v>0</v>
      </c>
      <c r="M1936" s="198">
        <f t="shared" si="240"/>
        <v>0</v>
      </c>
      <c r="N1936" s="75">
        <f t="shared" si="243"/>
        <v>45</v>
      </c>
      <c r="O1936" s="202">
        <f t="shared" si="244"/>
        <v>0</v>
      </c>
      <c r="P1936" s="199">
        <f t="shared" si="241"/>
        <v>0</v>
      </c>
      <c r="Q1936" s="203">
        <f t="shared" si="245"/>
        <v>4.4000000000014055</v>
      </c>
      <c r="R1936" s="203" t="s">
        <v>55</v>
      </c>
      <c r="S1936" s="201">
        <f t="shared" si="246"/>
        <v>-1.2221780881710997E-2</v>
      </c>
    </row>
    <row r="1937" spans="1:19">
      <c r="A1937" s="196">
        <v>42779</v>
      </c>
      <c r="B1937" s="122">
        <v>22.76</v>
      </c>
      <c r="C1937" s="122">
        <v>22.879999000000002</v>
      </c>
      <c r="D1937" s="122">
        <v>22.440000999999999</v>
      </c>
      <c r="E1937" s="122">
        <v>22.77</v>
      </c>
      <c r="F1937" s="122">
        <v>20.113423999999998</v>
      </c>
      <c r="G1937" s="197">
        <v>53500</v>
      </c>
      <c r="H1937" s="198">
        <f>IF(AND(E1936&gt;=H1936,E1937&gt;=E1936),E1936*(1+'Trading Model'!$E$13),IF(AND(E1937&lt;E1936,E1936&gt;=H1936),E1937*(1+'Trading Model'!$E$13),H1936))</f>
        <v>27.698998950000004</v>
      </c>
      <c r="I1937" s="198">
        <f>IF(K1937&gt;0,E1937*(1-'Trading Model'!E1947),IF(E1937&lt;I1936,I1936*(1-'Trading Model'!$E$14),I1936))</f>
        <v>8.9840153609188427</v>
      </c>
      <c r="J1937" s="198">
        <f t="shared" si="247"/>
        <v>0</v>
      </c>
      <c r="K1937" s="198">
        <f t="shared" si="242"/>
        <v>0</v>
      </c>
      <c r="L1937" s="198">
        <f>COUNTIF(J1937:K1937,"&lt;&gt;0")*-'Trading Model'!$E$15</f>
        <v>0</v>
      </c>
      <c r="M1937" s="198">
        <f t="shared" si="240"/>
        <v>0</v>
      </c>
      <c r="N1937" s="75">
        <f t="shared" si="243"/>
        <v>45</v>
      </c>
      <c r="O1937" s="202">
        <f t="shared" si="244"/>
        <v>0</v>
      </c>
      <c r="P1937" s="199">
        <f t="shared" si="241"/>
        <v>0</v>
      </c>
      <c r="Q1937" s="203">
        <f t="shared" si="245"/>
        <v>4.4000000000014055</v>
      </c>
      <c r="R1937" s="201">
        <f>E1937/B1933-1</f>
        <v>1.6971907859397506E-2</v>
      </c>
      <c r="S1937" s="201">
        <f t="shared" si="246"/>
        <v>6.1865225888872999E-3</v>
      </c>
    </row>
    <row r="1938" spans="1:19">
      <c r="A1938" s="196">
        <v>42780</v>
      </c>
      <c r="B1938" s="122">
        <v>22.99</v>
      </c>
      <c r="C1938" s="122">
        <v>22.99</v>
      </c>
      <c r="D1938" s="122">
        <v>22.389999</v>
      </c>
      <c r="E1938" s="122">
        <v>22.870000999999998</v>
      </c>
      <c r="F1938" s="122">
        <v>20.201757000000001</v>
      </c>
      <c r="G1938" s="197">
        <v>41900</v>
      </c>
      <c r="H1938" s="198">
        <f>IF(AND(E1937&gt;=H1937,E1938&gt;=E1937),E1937*(1+'Trading Model'!$E$13),IF(AND(E1938&lt;E1937,E1937&gt;=H1937),E1938*(1+'Trading Model'!$E$13),H1937))</f>
        <v>27.698998950000004</v>
      </c>
      <c r="I1938" s="198">
        <f>IF(K1938&gt;0,E1938*(1-'Trading Model'!E1948),IF(E1938&lt;I1937,I1937*(1-'Trading Model'!$E$14),I1937))</f>
        <v>8.9840153609188427</v>
      </c>
      <c r="J1938" s="198">
        <f t="shared" si="247"/>
        <v>0</v>
      </c>
      <c r="K1938" s="198">
        <f t="shared" si="242"/>
        <v>0</v>
      </c>
      <c r="L1938" s="198">
        <f>COUNTIF(J1938:K1938,"&lt;&gt;0")*-'Trading Model'!$E$15</f>
        <v>0</v>
      </c>
      <c r="M1938" s="198">
        <f t="shared" si="240"/>
        <v>0</v>
      </c>
      <c r="N1938" s="75">
        <f t="shared" si="243"/>
        <v>45</v>
      </c>
      <c r="O1938" s="202">
        <f t="shared" si="244"/>
        <v>0</v>
      </c>
      <c r="P1938" s="199">
        <f t="shared" si="241"/>
        <v>0</v>
      </c>
      <c r="Q1938" s="203">
        <f t="shared" si="245"/>
        <v>4.4000000000014055</v>
      </c>
      <c r="R1938" s="160" t="s">
        <v>55</v>
      </c>
      <c r="S1938" s="201">
        <f t="shared" si="246"/>
        <v>4.3917874396135481E-3</v>
      </c>
    </row>
    <row r="1939" spans="1:19">
      <c r="A1939" s="196">
        <v>42781</v>
      </c>
      <c r="B1939" s="122">
        <v>23.059999000000001</v>
      </c>
      <c r="C1939" s="122">
        <v>23.98</v>
      </c>
      <c r="D1939" s="122">
        <v>22.870000999999998</v>
      </c>
      <c r="E1939" s="122">
        <v>23.98</v>
      </c>
      <c r="F1939" s="122">
        <v>21.182252999999999</v>
      </c>
      <c r="G1939" s="197">
        <v>72500</v>
      </c>
      <c r="H1939" s="198">
        <f>IF(AND(E1938&gt;=H1938,E1939&gt;=E1938),E1938*(1+'Trading Model'!$E$13),IF(AND(E1939&lt;E1938,E1938&gt;=H1938),E1939*(1+'Trading Model'!$E$13),H1938))</f>
        <v>27.698998950000004</v>
      </c>
      <c r="I1939" s="198">
        <f>IF(K1939&gt;0,E1939*(1-'Trading Model'!E1949),IF(E1939&lt;I1938,I1938*(1-'Trading Model'!$E$14),I1938))</f>
        <v>8.9840153609188427</v>
      </c>
      <c r="J1939" s="198">
        <f t="shared" si="247"/>
        <v>0</v>
      </c>
      <c r="K1939" s="198">
        <f t="shared" si="242"/>
        <v>0</v>
      </c>
      <c r="L1939" s="198">
        <f>COUNTIF(J1939:K1939,"&lt;&gt;0")*-'Trading Model'!$E$15</f>
        <v>0</v>
      </c>
      <c r="M1939" s="198">
        <f t="shared" si="240"/>
        <v>0</v>
      </c>
      <c r="N1939" s="75">
        <f t="shared" si="243"/>
        <v>45</v>
      </c>
      <c r="O1939" s="202">
        <f t="shared" si="244"/>
        <v>0</v>
      </c>
      <c r="P1939" s="199">
        <f t="shared" si="241"/>
        <v>0</v>
      </c>
      <c r="Q1939" s="203">
        <f t="shared" si="245"/>
        <v>4.4000000000014055</v>
      </c>
      <c r="R1939" s="203" t="s">
        <v>55</v>
      </c>
      <c r="S1939" s="201">
        <f t="shared" si="246"/>
        <v>4.8535153102966744E-2</v>
      </c>
    </row>
    <row r="1940" spans="1:19">
      <c r="A1940" s="196">
        <v>42782</v>
      </c>
      <c r="B1940" s="122">
        <v>23.709999</v>
      </c>
      <c r="C1940" s="122">
        <v>23.99</v>
      </c>
      <c r="D1940" s="122">
        <v>23.379999000000002</v>
      </c>
      <c r="E1940" s="122">
        <v>23.48</v>
      </c>
      <c r="F1940" s="122">
        <v>20.740589</v>
      </c>
      <c r="G1940" s="197">
        <v>86700</v>
      </c>
      <c r="H1940" s="198">
        <f>IF(AND(E1939&gt;=H1939,E1940&gt;=E1939),E1939*(1+'Trading Model'!$E$13),IF(AND(E1940&lt;E1939,E1939&gt;=H1939),E1940*(1+'Trading Model'!$E$13),H1939))</f>
        <v>27.698998950000004</v>
      </c>
      <c r="I1940" s="198">
        <f>IF(K1940&gt;0,E1940*(1-'Trading Model'!E1950),IF(E1940&lt;I1939,I1939*(1-'Trading Model'!$E$14),I1939))</f>
        <v>8.9840153609188427</v>
      </c>
      <c r="J1940" s="198">
        <f t="shared" si="247"/>
        <v>0</v>
      </c>
      <c r="K1940" s="198">
        <f t="shared" si="242"/>
        <v>0</v>
      </c>
      <c r="L1940" s="198">
        <f>COUNTIF(J1940:K1940,"&lt;&gt;0")*-'Trading Model'!$E$15</f>
        <v>0</v>
      </c>
      <c r="M1940" s="198">
        <f t="shared" si="240"/>
        <v>0</v>
      </c>
      <c r="N1940" s="75">
        <f t="shared" si="243"/>
        <v>45</v>
      </c>
      <c r="O1940" s="202">
        <f t="shared" si="244"/>
        <v>0</v>
      </c>
      <c r="P1940" s="199">
        <f t="shared" si="241"/>
        <v>0</v>
      </c>
      <c r="Q1940" s="203">
        <f t="shared" si="245"/>
        <v>4.3000000000014058</v>
      </c>
      <c r="R1940" s="203" t="s">
        <v>55</v>
      </c>
      <c r="S1940" s="201">
        <f t="shared" si="246"/>
        <v>-2.0850708924103456E-2</v>
      </c>
    </row>
    <row r="1941" spans="1:19">
      <c r="A1941" s="196">
        <v>42783</v>
      </c>
      <c r="B1941" s="122">
        <v>23.32</v>
      </c>
      <c r="C1941" s="122">
        <v>23.799999</v>
      </c>
      <c r="D1941" s="122">
        <v>22.66</v>
      </c>
      <c r="E1941" s="122">
        <v>23.639999</v>
      </c>
      <c r="F1941" s="122">
        <v>20.881920000000001</v>
      </c>
      <c r="G1941" s="197">
        <v>90000</v>
      </c>
      <c r="H1941" s="198">
        <f>IF(AND(E1940&gt;=H1940,E1941&gt;=E1940),E1940*(1+'Trading Model'!$E$13),IF(AND(E1941&lt;E1940,E1940&gt;=H1940),E1941*(1+'Trading Model'!$E$13),H1940))</f>
        <v>27.698998950000004</v>
      </c>
      <c r="I1941" s="198">
        <f>IF(K1941&gt;0,E1941*(1-'Trading Model'!E1951),IF(E1941&lt;I1940,I1940*(1-'Trading Model'!$E$14),I1940))</f>
        <v>8.9840153609188427</v>
      </c>
      <c r="J1941" s="198">
        <f t="shared" si="247"/>
        <v>0</v>
      </c>
      <c r="K1941" s="198">
        <f t="shared" si="242"/>
        <v>0</v>
      </c>
      <c r="L1941" s="198">
        <f>COUNTIF(J1941:K1941,"&lt;&gt;0")*-'Trading Model'!$E$15</f>
        <v>0</v>
      </c>
      <c r="M1941" s="198">
        <f t="shared" si="240"/>
        <v>0</v>
      </c>
      <c r="N1941" s="75">
        <f t="shared" si="243"/>
        <v>45</v>
      </c>
      <c r="O1941" s="202">
        <f t="shared" si="244"/>
        <v>0</v>
      </c>
      <c r="P1941" s="199">
        <f t="shared" si="241"/>
        <v>0</v>
      </c>
      <c r="Q1941" s="203">
        <f t="shared" si="245"/>
        <v>4.3000000000014058</v>
      </c>
      <c r="R1941" s="203" t="s">
        <v>55</v>
      </c>
      <c r="S1941" s="201">
        <f t="shared" si="246"/>
        <v>6.8142674616695764E-3</v>
      </c>
    </row>
    <row r="1942" spans="1:19">
      <c r="A1942" s="196">
        <v>42787</v>
      </c>
      <c r="B1942" s="122">
        <v>23.4</v>
      </c>
      <c r="C1942" s="122">
        <v>23.799999</v>
      </c>
      <c r="D1942" s="122">
        <v>22.9</v>
      </c>
      <c r="E1942" s="122">
        <v>22.969999000000001</v>
      </c>
      <c r="F1942" s="122">
        <v>20.290091</v>
      </c>
      <c r="G1942" s="197">
        <v>87800</v>
      </c>
      <c r="H1942" s="198">
        <f>IF(AND(E1941&gt;=H1941,E1942&gt;=E1941),E1941*(1+'Trading Model'!$E$13),IF(AND(E1942&lt;E1941,E1941&gt;=H1941),E1942*(1+'Trading Model'!$E$13),H1941))</f>
        <v>27.698998950000004</v>
      </c>
      <c r="I1942" s="198">
        <f>IF(K1942&gt;0,E1942*(1-'Trading Model'!E1952),IF(E1942&lt;I1941,I1941*(1-'Trading Model'!$E$14),I1941))</f>
        <v>8.9840153609188427</v>
      </c>
      <c r="J1942" s="198">
        <f t="shared" si="247"/>
        <v>0</v>
      </c>
      <c r="K1942" s="198">
        <f t="shared" si="242"/>
        <v>0</v>
      </c>
      <c r="L1942" s="198">
        <f>COUNTIF(J1942:K1942,"&lt;&gt;0")*-'Trading Model'!$E$15</f>
        <v>0</v>
      </c>
      <c r="M1942" s="198">
        <f t="shared" si="240"/>
        <v>0</v>
      </c>
      <c r="N1942" s="75">
        <f t="shared" si="243"/>
        <v>45</v>
      </c>
      <c r="O1942" s="202">
        <f t="shared" si="244"/>
        <v>0</v>
      </c>
      <c r="P1942" s="199">
        <f t="shared" si="241"/>
        <v>0</v>
      </c>
      <c r="Q1942" s="203">
        <f t="shared" si="245"/>
        <v>4.2000000000014062</v>
      </c>
      <c r="R1942" s="201">
        <f>E1942/B1938-1</f>
        <v>-8.6998695084805622E-4</v>
      </c>
      <c r="S1942" s="201">
        <f t="shared" si="246"/>
        <v>-2.8341794769111361E-2</v>
      </c>
    </row>
    <row r="1943" spans="1:19">
      <c r="A1943" s="196">
        <v>42788</v>
      </c>
      <c r="B1943" s="122">
        <v>23.110001</v>
      </c>
      <c r="C1943" s="122">
        <v>23.23</v>
      </c>
      <c r="D1943" s="122">
        <v>22.67</v>
      </c>
      <c r="E1943" s="122">
        <v>23</v>
      </c>
      <c r="F1943" s="122">
        <v>20.316590999999999</v>
      </c>
      <c r="G1943" s="197">
        <v>102000</v>
      </c>
      <c r="H1943" s="198">
        <f>IF(AND(E1942&gt;=H1942,E1943&gt;=E1942),E1942*(1+'Trading Model'!$E$13),IF(AND(E1943&lt;E1942,E1942&gt;=H1942),E1943*(1+'Trading Model'!$E$13),H1942))</f>
        <v>27.698998950000004</v>
      </c>
      <c r="I1943" s="198">
        <f>IF(K1943&gt;0,E1943*(1-'Trading Model'!E1953),IF(E1943&lt;I1942,I1942*(1-'Trading Model'!$E$14),I1942))</f>
        <v>8.9840153609188427</v>
      </c>
      <c r="J1943" s="198">
        <f t="shared" si="247"/>
        <v>0</v>
      </c>
      <c r="K1943" s="198">
        <f t="shared" si="242"/>
        <v>0</v>
      </c>
      <c r="L1943" s="198">
        <f>COUNTIF(J1943:K1943,"&lt;&gt;0")*-'Trading Model'!$E$15</f>
        <v>0</v>
      </c>
      <c r="M1943" s="198">
        <f t="shared" si="240"/>
        <v>0</v>
      </c>
      <c r="N1943" s="75">
        <f t="shared" si="243"/>
        <v>45</v>
      </c>
      <c r="O1943" s="202">
        <f t="shared" si="244"/>
        <v>0</v>
      </c>
      <c r="P1943" s="199">
        <f t="shared" si="241"/>
        <v>0</v>
      </c>
      <c r="Q1943" s="203">
        <f t="shared" si="245"/>
        <v>4.2000000000014062</v>
      </c>
      <c r="R1943" s="160" t="s">
        <v>55</v>
      </c>
      <c r="S1943" s="201">
        <f t="shared" si="246"/>
        <v>1.3060949632603958E-3</v>
      </c>
    </row>
    <row r="1944" spans="1:19">
      <c r="A1944" s="196">
        <v>42789</v>
      </c>
      <c r="B1944" s="122">
        <v>23.200001</v>
      </c>
      <c r="C1944" s="122">
        <v>23.24</v>
      </c>
      <c r="D1944" s="122">
        <v>22.639999</v>
      </c>
      <c r="E1944" s="122">
        <v>22.799999</v>
      </c>
      <c r="F1944" s="122">
        <v>20.139923</v>
      </c>
      <c r="G1944" s="197">
        <v>58500</v>
      </c>
      <c r="H1944" s="198">
        <f>IF(AND(E1943&gt;=H1943,E1944&gt;=E1943),E1943*(1+'Trading Model'!$E$13),IF(AND(E1944&lt;E1943,E1943&gt;=H1943),E1944*(1+'Trading Model'!$E$13),H1943))</f>
        <v>27.698998950000004</v>
      </c>
      <c r="I1944" s="198">
        <f>IF(K1944&gt;0,E1944*(1-'Trading Model'!E1954),IF(E1944&lt;I1943,I1943*(1-'Trading Model'!$E$14),I1943))</f>
        <v>8.9840153609188427</v>
      </c>
      <c r="J1944" s="198">
        <f t="shared" si="247"/>
        <v>0</v>
      </c>
      <c r="K1944" s="198">
        <f t="shared" si="242"/>
        <v>0</v>
      </c>
      <c r="L1944" s="198">
        <f>COUNTIF(J1944:K1944,"&lt;&gt;0")*-'Trading Model'!$E$15</f>
        <v>0</v>
      </c>
      <c r="M1944" s="198">
        <f t="shared" si="240"/>
        <v>0</v>
      </c>
      <c r="N1944" s="75">
        <f t="shared" si="243"/>
        <v>45</v>
      </c>
      <c r="O1944" s="202">
        <f t="shared" si="244"/>
        <v>0</v>
      </c>
      <c r="P1944" s="199">
        <f t="shared" si="241"/>
        <v>0</v>
      </c>
      <c r="Q1944" s="203">
        <f t="shared" si="245"/>
        <v>4.1000000000014065</v>
      </c>
      <c r="R1944" s="203" t="s">
        <v>55</v>
      </c>
      <c r="S1944" s="201">
        <f t="shared" si="246"/>
        <v>-8.6956956521738737E-3</v>
      </c>
    </row>
    <row r="1945" spans="1:19">
      <c r="A1945" s="196">
        <v>42790</v>
      </c>
      <c r="B1945" s="122">
        <v>22.530000999999999</v>
      </c>
      <c r="C1945" s="122">
        <v>22.57</v>
      </c>
      <c r="D1945" s="122">
        <v>21.700001</v>
      </c>
      <c r="E1945" s="122">
        <v>22.24</v>
      </c>
      <c r="F1945" s="122">
        <v>19.64526</v>
      </c>
      <c r="G1945" s="197">
        <v>77800</v>
      </c>
      <c r="H1945" s="198">
        <f>IF(AND(E1944&gt;=H1944,E1945&gt;=E1944),E1944*(1+'Trading Model'!$E$13),IF(AND(E1945&lt;E1944,E1944&gt;=H1944),E1945*(1+'Trading Model'!$E$13),H1944))</f>
        <v>27.698998950000004</v>
      </c>
      <c r="I1945" s="198">
        <f>IF(K1945&gt;0,E1945*(1-'Trading Model'!E1955),IF(E1945&lt;I1944,I1944*(1-'Trading Model'!$E$14),I1944))</f>
        <v>8.9840153609188427</v>
      </c>
      <c r="J1945" s="198">
        <f t="shared" si="247"/>
        <v>0</v>
      </c>
      <c r="K1945" s="198">
        <f t="shared" si="242"/>
        <v>0</v>
      </c>
      <c r="L1945" s="198">
        <f>COUNTIF(J1945:K1945,"&lt;&gt;0")*-'Trading Model'!$E$15</f>
        <v>0</v>
      </c>
      <c r="M1945" s="198">
        <f t="shared" si="240"/>
        <v>0</v>
      </c>
      <c r="N1945" s="75">
        <f t="shared" si="243"/>
        <v>45</v>
      </c>
      <c r="O1945" s="202">
        <f t="shared" si="244"/>
        <v>0</v>
      </c>
      <c r="P1945" s="199">
        <f t="shared" si="241"/>
        <v>0</v>
      </c>
      <c r="Q1945" s="203">
        <f t="shared" si="245"/>
        <v>4.0000000000014069</v>
      </c>
      <c r="R1945" s="203" t="s">
        <v>55</v>
      </c>
      <c r="S1945" s="201">
        <f t="shared" si="246"/>
        <v>-2.4561360726375492E-2</v>
      </c>
    </row>
    <row r="1946" spans="1:19">
      <c r="A1946" s="196">
        <v>42793</v>
      </c>
      <c r="B1946" s="122">
        <v>22.040001</v>
      </c>
      <c r="C1946" s="122">
        <v>22.07</v>
      </c>
      <c r="D1946" s="122">
        <v>20.51</v>
      </c>
      <c r="E1946" s="122">
        <v>21.98</v>
      </c>
      <c r="F1946" s="122">
        <v>19.415592</v>
      </c>
      <c r="G1946" s="197">
        <v>95500</v>
      </c>
      <c r="H1946" s="198">
        <f>IF(AND(E1945&gt;=H1945,E1946&gt;=E1945),E1945*(1+'Trading Model'!$E$13),IF(AND(E1946&lt;E1945,E1945&gt;=H1945),E1946*(1+'Trading Model'!$E$13),H1945))</f>
        <v>27.698998950000004</v>
      </c>
      <c r="I1946" s="198">
        <f>IF(K1946&gt;0,E1946*(1-'Trading Model'!E1956),IF(E1946&lt;I1945,I1945*(1-'Trading Model'!$E$14),I1945))</f>
        <v>8.9840153609188427</v>
      </c>
      <c r="J1946" s="198">
        <f t="shared" si="247"/>
        <v>0</v>
      </c>
      <c r="K1946" s="198">
        <f t="shared" si="242"/>
        <v>0</v>
      </c>
      <c r="L1946" s="198">
        <f>COUNTIF(J1946:K1946,"&lt;&gt;0")*-'Trading Model'!$E$15</f>
        <v>0</v>
      </c>
      <c r="M1946" s="198">
        <f t="shared" si="240"/>
        <v>0</v>
      </c>
      <c r="N1946" s="75">
        <f t="shared" si="243"/>
        <v>45</v>
      </c>
      <c r="O1946" s="202">
        <f t="shared" si="244"/>
        <v>0</v>
      </c>
      <c r="P1946" s="199">
        <f t="shared" si="241"/>
        <v>0</v>
      </c>
      <c r="Q1946" s="203">
        <f t="shared" si="245"/>
        <v>3.9000000000014068</v>
      </c>
      <c r="R1946" s="203" t="s">
        <v>55</v>
      </c>
      <c r="S1946" s="201">
        <f t="shared" si="246"/>
        <v>-1.1690647482014316E-2</v>
      </c>
    </row>
    <row r="1947" spans="1:19">
      <c r="A1947" s="196">
        <v>42794</v>
      </c>
      <c r="B1947" s="122">
        <v>22.15</v>
      </c>
      <c r="C1947" s="122">
        <v>22.15</v>
      </c>
      <c r="D1947" s="122">
        <v>21.030000999999999</v>
      </c>
      <c r="E1947" s="122">
        <v>21.16</v>
      </c>
      <c r="F1947" s="122">
        <v>18.691262999999999</v>
      </c>
      <c r="G1947" s="197">
        <v>151400</v>
      </c>
      <c r="H1947" s="198">
        <f>IF(AND(E1946&gt;=H1946,E1947&gt;=E1946),E1946*(1+'Trading Model'!$E$13),IF(AND(E1947&lt;E1946,E1946&gt;=H1946),E1947*(1+'Trading Model'!$E$13),H1946))</f>
        <v>27.698998950000004</v>
      </c>
      <c r="I1947" s="198">
        <f>IF(K1947&gt;0,E1947*(1-'Trading Model'!E1957),IF(E1947&lt;I1946,I1946*(1-'Trading Model'!$E$14),I1946))</f>
        <v>8.9840153609188427</v>
      </c>
      <c r="J1947" s="198">
        <f t="shared" si="247"/>
        <v>0</v>
      </c>
      <c r="K1947" s="198">
        <f t="shared" si="242"/>
        <v>0</v>
      </c>
      <c r="L1947" s="198">
        <f>COUNTIF(J1947:K1947,"&lt;&gt;0")*-'Trading Model'!$E$15</f>
        <v>0</v>
      </c>
      <c r="M1947" s="198">
        <f t="shared" si="240"/>
        <v>0</v>
      </c>
      <c r="N1947" s="75">
        <f t="shared" si="243"/>
        <v>45</v>
      </c>
      <c r="O1947" s="202">
        <f t="shared" si="244"/>
        <v>0</v>
      </c>
      <c r="P1947" s="199">
        <f t="shared" si="241"/>
        <v>0</v>
      </c>
      <c r="Q1947" s="203">
        <f t="shared" si="245"/>
        <v>3.8000000000014067</v>
      </c>
      <c r="R1947" s="201">
        <f>E1947/B1943-1</f>
        <v>-8.4379096305534529E-2</v>
      </c>
      <c r="S1947" s="201">
        <f t="shared" si="246"/>
        <v>-3.7306642402183843E-2</v>
      </c>
    </row>
    <row r="1948" spans="1:19">
      <c r="A1948" s="196">
        <v>42795</v>
      </c>
      <c r="B1948" s="122">
        <v>21.450001</v>
      </c>
      <c r="C1948" s="122">
        <v>22.24</v>
      </c>
      <c r="D1948" s="122">
        <v>21.030000999999999</v>
      </c>
      <c r="E1948" s="122">
        <v>21.780000999999999</v>
      </c>
      <c r="F1948" s="122">
        <v>19.238928000000001</v>
      </c>
      <c r="G1948" s="197">
        <v>85300</v>
      </c>
      <c r="H1948" s="198">
        <f>IF(AND(E1947&gt;=H1947,E1948&gt;=E1947),E1947*(1+'Trading Model'!$E$13),IF(AND(E1948&lt;E1947,E1947&gt;=H1947),E1948*(1+'Trading Model'!$E$13),H1947))</f>
        <v>27.698998950000004</v>
      </c>
      <c r="I1948" s="198">
        <f>IF(K1948&gt;0,E1948*(1-'Trading Model'!E1958),IF(E1948&lt;I1947,I1947*(1-'Trading Model'!$E$14),I1947))</f>
        <v>8.9840153609188427</v>
      </c>
      <c r="J1948" s="198">
        <f t="shared" si="247"/>
        <v>0</v>
      </c>
      <c r="K1948" s="198">
        <f t="shared" si="242"/>
        <v>0</v>
      </c>
      <c r="L1948" s="198">
        <f>COUNTIF(J1948:K1948,"&lt;&gt;0")*-'Trading Model'!$E$15</f>
        <v>0</v>
      </c>
      <c r="M1948" s="198">
        <f t="shared" si="240"/>
        <v>0</v>
      </c>
      <c r="N1948" s="75">
        <f t="shared" si="243"/>
        <v>45</v>
      </c>
      <c r="O1948" s="202">
        <f t="shared" si="244"/>
        <v>0</v>
      </c>
      <c r="P1948" s="199">
        <f t="shared" si="241"/>
        <v>0</v>
      </c>
      <c r="Q1948" s="203">
        <f t="shared" si="245"/>
        <v>3.8000000000014067</v>
      </c>
      <c r="R1948" s="160" t="s">
        <v>55</v>
      </c>
      <c r="S1948" s="201">
        <f t="shared" si="246"/>
        <v>2.9300614366729594E-2</v>
      </c>
    </row>
    <row r="1949" spans="1:19">
      <c r="A1949" s="196">
        <v>42796</v>
      </c>
      <c r="B1949" s="122">
        <v>21.549999</v>
      </c>
      <c r="C1949" s="122">
        <v>21.780000999999999</v>
      </c>
      <c r="D1949" s="122">
        <v>21.219999000000001</v>
      </c>
      <c r="E1949" s="122">
        <v>21.450001</v>
      </c>
      <c r="F1949" s="122">
        <v>18.947430000000001</v>
      </c>
      <c r="G1949" s="197">
        <v>155300</v>
      </c>
      <c r="H1949" s="198">
        <f>IF(AND(E1948&gt;=H1948,E1949&gt;=E1948),E1948*(1+'Trading Model'!$E$13),IF(AND(E1949&lt;E1948,E1948&gt;=H1948),E1949*(1+'Trading Model'!$E$13),H1948))</f>
        <v>27.698998950000004</v>
      </c>
      <c r="I1949" s="198">
        <f>IF(K1949&gt;0,E1949*(1-'Trading Model'!E1959),IF(E1949&lt;I1948,I1948*(1-'Trading Model'!$E$14),I1948))</f>
        <v>8.9840153609188427</v>
      </c>
      <c r="J1949" s="198">
        <f t="shared" si="247"/>
        <v>0</v>
      </c>
      <c r="K1949" s="198">
        <f t="shared" si="242"/>
        <v>0</v>
      </c>
      <c r="L1949" s="198">
        <f>COUNTIF(J1949:K1949,"&lt;&gt;0")*-'Trading Model'!$E$15</f>
        <v>0</v>
      </c>
      <c r="M1949" s="198">
        <f t="shared" si="240"/>
        <v>0</v>
      </c>
      <c r="N1949" s="75">
        <f t="shared" si="243"/>
        <v>45</v>
      </c>
      <c r="O1949" s="202">
        <f t="shared" si="244"/>
        <v>0</v>
      </c>
      <c r="P1949" s="199">
        <f t="shared" si="241"/>
        <v>0</v>
      </c>
      <c r="Q1949" s="203">
        <f t="shared" si="245"/>
        <v>3.7000000000014066</v>
      </c>
      <c r="R1949" s="203" t="s">
        <v>55</v>
      </c>
      <c r="S1949" s="201">
        <f t="shared" si="246"/>
        <v>-1.5151514455853277E-2</v>
      </c>
    </row>
    <row r="1950" spans="1:19">
      <c r="A1950" s="196">
        <v>42797</v>
      </c>
      <c r="B1950" s="122">
        <v>21.33</v>
      </c>
      <c r="C1950" s="122">
        <v>21.75</v>
      </c>
      <c r="D1950" s="122">
        <v>21.299999</v>
      </c>
      <c r="E1950" s="122">
        <v>21.65</v>
      </c>
      <c r="F1950" s="122">
        <v>19.124093999999999</v>
      </c>
      <c r="G1950" s="197">
        <v>44200</v>
      </c>
      <c r="H1950" s="198">
        <f>IF(AND(E1949&gt;=H1949,E1950&gt;=E1949),E1949*(1+'Trading Model'!$E$13),IF(AND(E1950&lt;E1949,E1949&gt;=H1949),E1950*(1+'Trading Model'!$E$13),H1949))</f>
        <v>27.698998950000004</v>
      </c>
      <c r="I1950" s="198">
        <f>IF(K1950&gt;0,E1950*(1-'Trading Model'!E1960),IF(E1950&lt;I1949,I1949*(1-'Trading Model'!$E$14),I1949))</f>
        <v>8.9840153609188427</v>
      </c>
      <c r="J1950" s="198">
        <f t="shared" si="247"/>
        <v>0</v>
      </c>
      <c r="K1950" s="198">
        <f t="shared" si="242"/>
        <v>0</v>
      </c>
      <c r="L1950" s="198">
        <f>COUNTIF(J1950:K1950,"&lt;&gt;0")*-'Trading Model'!$E$15</f>
        <v>0</v>
      </c>
      <c r="M1950" s="198">
        <f t="shared" si="240"/>
        <v>0</v>
      </c>
      <c r="N1950" s="75">
        <f t="shared" si="243"/>
        <v>45</v>
      </c>
      <c r="O1950" s="202">
        <f t="shared" si="244"/>
        <v>0</v>
      </c>
      <c r="P1950" s="199">
        <f t="shared" si="241"/>
        <v>0</v>
      </c>
      <c r="Q1950" s="203">
        <f t="shared" si="245"/>
        <v>3.7000000000014066</v>
      </c>
      <c r="R1950" s="203" t="s">
        <v>55</v>
      </c>
      <c r="S1950" s="201">
        <f t="shared" si="246"/>
        <v>9.323962269279118E-3</v>
      </c>
    </row>
    <row r="1951" spans="1:19">
      <c r="A1951" s="196">
        <v>42800</v>
      </c>
      <c r="B1951" s="122">
        <v>21.6</v>
      </c>
      <c r="C1951" s="122">
        <v>22.360001</v>
      </c>
      <c r="D1951" s="122">
        <v>21.6</v>
      </c>
      <c r="E1951" s="122">
        <v>22.25</v>
      </c>
      <c r="F1951" s="122">
        <v>19.654091000000001</v>
      </c>
      <c r="G1951" s="197">
        <v>108600</v>
      </c>
      <c r="H1951" s="198">
        <f>IF(AND(E1950&gt;=H1950,E1951&gt;=E1950),E1950*(1+'Trading Model'!$E$13),IF(AND(E1951&lt;E1950,E1950&gt;=H1950),E1951*(1+'Trading Model'!$E$13),H1950))</f>
        <v>27.698998950000004</v>
      </c>
      <c r="I1951" s="198">
        <f>IF(K1951&gt;0,E1951*(1-'Trading Model'!E1961),IF(E1951&lt;I1950,I1950*(1-'Trading Model'!$E$14),I1950))</f>
        <v>8.9840153609188427</v>
      </c>
      <c r="J1951" s="198">
        <f t="shared" si="247"/>
        <v>0</v>
      </c>
      <c r="K1951" s="198">
        <f t="shared" si="242"/>
        <v>0</v>
      </c>
      <c r="L1951" s="198">
        <f>COUNTIF(J1951:K1951,"&lt;&gt;0")*-'Trading Model'!$E$15</f>
        <v>0</v>
      </c>
      <c r="M1951" s="198">
        <f t="shared" si="240"/>
        <v>0</v>
      </c>
      <c r="N1951" s="75">
        <f t="shared" si="243"/>
        <v>45</v>
      </c>
      <c r="O1951" s="202">
        <f t="shared" si="244"/>
        <v>0</v>
      </c>
      <c r="P1951" s="199">
        <f t="shared" si="241"/>
        <v>0</v>
      </c>
      <c r="Q1951" s="203">
        <f t="shared" si="245"/>
        <v>3.7000000000014066</v>
      </c>
      <c r="R1951" s="203" t="s">
        <v>55</v>
      </c>
      <c r="S1951" s="201">
        <f t="shared" si="246"/>
        <v>2.7713625866050862E-2</v>
      </c>
    </row>
    <row r="1952" spans="1:19">
      <c r="A1952" s="196">
        <v>42801</v>
      </c>
      <c r="B1952" s="122">
        <v>22.440000999999999</v>
      </c>
      <c r="C1952" s="122">
        <v>22.49</v>
      </c>
      <c r="D1952" s="122">
        <v>21.57</v>
      </c>
      <c r="E1952" s="122">
        <v>21.73</v>
      </c>
      <c r="F1952" s="122">
        <v>19.194761</v>
      </c>
      <c r="G1952" s="197">
        <v>113800</v>
      </c>
      <c r="H1952" s="198">
        <f>IF(AND(E1951&gt;=H1951,E1952&gt;=E1951),E1951*(1+'Trading Model'!$E$13),IF(AND(E1952&lt;E1951,E1951&gt;=H1951),E1952*(1+'Trading Model'!$E$13),H1951))</f>
        <v>27.698998950000004</v>
      </c>
      <c r="I1952" s="198">
        <f>IF(K1952&gt;0,E1952*(1-'Trading Model'!E1962),IF(E1952&lt;I1951,I1951*(1-'Trading Model'!$E$14),I1951))</f>
        <v>8.9840153609188427</v>
      </c>
      <c r="J1952" s="198">
        <f t="shared" si="247"/>
        <v>0</v>
      </c>
      <c r="K1952" s="198">
        <f t="shared" si="242"/>
        <v>0</v>
      </c>
      <c r="L1952" s="198">
        <f>COUNTIF(J1952:K1952,"&lt;&gt;0")*-'Trading Model'!$E$15</f>
        <v>0</v>
      </c>
      <c r="M1952" s="198">
        <f t="shared" si="240"/>
        <v>0</v>
      </c>
      <c r="N1952" s="75">
        <f t="shared" si="243"/>
        <v>45</v>
      </c>
      <c r="O1952" s="202">
        <f t="shared" si="244"/>
        <v>0</v>
      </c>
      <c r="P1952" s="199">
        <f t="shared" si="241"/>
        <v>0</v>
      </c>
      <c r="Q1952" s="203">
        <f t="shared" si="245"/>
        <v>3.6000000000014065</v>
      </c>
      <c r="R1952" s="201">
        <f>E1952/B1948-1</f>
        <v>1.3053565825008606E-2</v>
      </c>
      <c r="S1952" s="201">
        <f t="shared" si="246"/>
        <v>-2.337078651685387E-2</v>
      </c>
    </row>
    <row r="1953" spans="1:19">
      <c r="A1953" s="196">
        <v>42802</v>
      </c>
      <c r="B1953" s="122">
        <v>21.879999000000002</v>
      </c>
      <c r="C1953" s="122">
        <v>22.190000999999999</v>
      </c>
      <c r="D1953" s="122">
        <v>21.549999</v>
      </c>
      <c r="E1953" s="122">
        <v>21.700001</v>
      </c>
      <c r="F1953" s="122">
        <v>19.168261999999999</v>
      </c>
      <c r="G1953" s="197">
        <v>41000</v>
      </c>
      <c r="H1953" s="198">
        <f>IF(AND(E1952&gt;=H1952,E1953&gt;=E1952),E1952*(1+'Trading Model'!$E$13),IF(AND(E1953&lt;E1952,E1952&gt;=H1952),E1953*(1+'Trading Model'!$E$13),H1952))</f>
        <v>27.698998950000004</v>
      </c>
      <c r="I1953" s="198">
        <f>IF(K1953&gt;0,E1953*(1-'Trading Model'!E1963),IF(E1953&lt;I1952,I1952*(1-'Trading Model'!$E$14),I1952))</f>
        <v>8.9840153609188427</v>
      </c>
      <c r="J1953" s="198">
        <f t="shared" si="247"/>
        <v>0</v>
      </c>
      <c r="K1953" s="198">
        <f t="shared" si="242"/>
        <v>0</v>
      </c>
      <c r="L1953" s="198">
        <f>COUNTIF(J1953:K1953,"&lt;&gt;0")*-'Trading Model'!$E$15</f>
        <v>0</v>
      </c>
      <c r="M1953" s="198">
        <f t="shared" si="240"/>
        <v>0</v>
      </c>
      <c r="N1953" s="75">
        <f t="shared" si="243"/>
        <v>45</v>
      </c>
      <c r="O1953" s="202">
        <f t="shared" si="244"/>
        <v>0</v>
      </c>
      <c r="P1953" s="199">
        <f t="shared" si="241"/>
        <v>0</v>
      </c>
      <c r="Q1953" s="203">
        <f t="shared" si="245"/>
        <v>3.5000000000014064</v>
      </c>
      <c r="R1953" s="160" t="s">
        <v>55</v>
      </c>
      <c r="S1953" s="201">
        <f t="shared" si="246"/>
        <v>-1.3805338242062204E-3</v>
      </c>
    </row>
    <row r="1954" spans="1:19">
      <c r="A1954" s="196">
        <v>42803</v>
      </c>
      <c r="B1954" s="122">
        <v>21.75</v>
      </c>
      <c r="C1954" s="122">
        <v>22.1</v>
      </c>
      <c r="D1954" s="122">
        <v>21.51</v>
      </c>
      <c r="E1954" s="122">
        <v>21.9</v>
      </c>
      <c r="F1954" s="122">
        <v>19.344926999999998</v>
      </c>
      <c r="G1954" s="197">
        <v>73400</v>
      </c>
      <c r="H1954" s="198">
        <f>IF(AND(E1953&gt;=H1953,E1954&gt;=E1953),E1953*(1+'Trading Model'!$E$13),IF(AND(E1954&lt;E1953,E1953&gt;=H1953),E1954*(1+'Trading Model'!$E$13),H1953))</f>
        <v>27.698998950000004</v>
      </c>
      <c r="I1954" s="198">
        <f>IF(K1954&gt;0,E1954*(1-'Trading Model'!E1964),IF(E1954&lt;I1953,I1953*(1-'Trading Model'!$E$14),I1953))</f>
        <v>8.9840153609188427</v>
      </c>
      <c r="J1954" s="198">
        <f t="shared" si="247"/>
        <v>0</v>
      </c>
      <c r="K1954" s="198">
        <f t="shared" si="242"/>
        <v>0</v>
      </c>
      <c r="L1954" s="198">
        <f>COUNTIF(J1954:K1954,"&lt;&gt;0")*-'Trading Model'!$E$15</f>
        <v>0</v>
      </c>
      <c r="M1954" s="198">
        <f t="shared" si="240"/>
        <v>0</v>
      </c>
      <c r="N1954" s="75">
        <f t="shared" si="243"/>
        <v>45</v>
      </c>
      <c r="O1954" s="202">
        <f t="shared" si="244"/>
        <v>0</v>
      </c>
      <c r="P1954" s="199">
        <f t="shared" si="241"/>
        <v>0</v>
      </c>
      <c r="Q1954" s="203">
        <f t="shared" si="245"/>
        <v>3.5000000000014064</v>
      </c>
      <c r="R1954" s="203" t="s">
        <v>55</v>
      </c>
      <c r="S1954" s="201">
        <f t="shared" si="246"/>
        <v>9.2165433540762898E-3</v>
      </c>
    </row>
    <row r="1955" spans="1:19">
      <c r="A1955" s="196">
        <v>42804</v>
      </c>
      <c r="B1955" s="122">
        <v>22.120000999999998</v>
      </c>
      <c r="C1955" s="122">
        <v>22.440000999999999</v>
      </c>
      <c r="D1955" s="122">
        <v>21.870000999999998</v>
      </c>
      <c r="E1955" s="122">
        <v>22.4</v>
      </c>
      <c r="F1955" s="122">
        <v>19.786591000000001</v>
      </c>
      <c r="G1955" s="197">
        <v>56600</v>
      </c>
      <c r="H1955" s="198">
        <f>IF(AND(E1954&gt;=H1954,E1955&gt;=E1954),E1954*(1+'Trading Model'!$E$13),IF(AND(E1955&lt;E1954,E1954&gt;=H1954),E1955*(1+'Trading Model'!$E$13),H1954))</f>
        <v>27.698998950000004</v>
      </c>
      <c r="I1955" s="198">
        <f>IF(K1955&gt;0,E1955*(1-'Trading Model'!E1965),IF(E1955&lt;I1954,I1954*(1-'Trading Model'!$E$14),I1954))</f>
        <v>8.9840153609188427</v>
      </c>
      <c r="J1955" s="198">
        <f t="shared" si="247"/>
        <v>0</v>
      </c>
      <c r="K1955" s="198">
        <f t="shared" si="242"/>
        <v>0</v>
      </c>
      <c r="L1955" s="198">
        <f>COUNTIF(J1955:K1955,"&lt;&gt;0")*-'Trading Model'!$E$15</f>
        <v>0</v>
      </c>
      <c r="M1955" s="198">
        <f t="shared" si="240"/>
        <v>0</v>
      </c>
      <c r="N1955" s="75">
        <f t="shared" si="243"/>
        <v>45</v>
      </c>
      <c r="O1955" s="202">
        <f t="shared" si="244"/>
        <v>0</v>
      </c>
      <c r="P1955" s="199">
        <f t="shared" si="241"/>
        <v>0</v>
      </c>
      <c r="Q1955" s="203">
        <f t="shared" si="245"/>
        <v>3.5000000000014064</v>
      </c>
      <c r="R1955" s="203" t="s">
        <v>55</v>
      </c>
      <c r="S1955" s="201">
        <f t="shared" si="246"/>
        <v>2.2831050228310446E-2</v>
      </c>
    </row>
    <row r="1956" spans="1:19">
      <c r="A1956" s="196">
        <v>42807</v>
      </c>
      <c r="B1956" s="122">
        <v>22.49</v>
      </c>
      <c r="C1956" s="122">
        <v>23.049999</v>
      </c>
      <c r="D1956" s="122">
        <v>22.459999</v>
      </c>
      <c r="E1956" s="122">
        <v>23</v>
      </c>
      <c r="F1956" s="122">
        <v>20.316590999999999</v>
      </c>
      <c r="G1956" s="197">
        <v>48700</v>
      </c>
      <c r="H1956" s="198">
        <f>IF(AND(E1955&gt;=H1955,E1956&gt;=E1955),E1955*(1+'Trading Model'!$E$13),IF(AND(E1956&lt;E1955,E1955&gt;=H1955),E1956*(1+'Trading Model'!$E$13),H1955))</f>
        <v>27.698998950000004</v>
      </c>
      <c r="I1956" s="198">
        <f>IF(K1956&gt;0,E1956*(1-'Trading Model'!E1966),IF(E1956&lt;I1955,I1955*(1-'Trading Model'!$E$14),I1955))</f>
        <v>8.9840153609188427</v>
      </c>
      <c r="J1956" s="198">
        <f t="shared" si="247"/>
        <v>0</v>
      </c>
      <c r="K1956" s="198">
        <f t="shared" si="242"/>
        <v>0</v>
      </c>
      <c r="L1956" s="198">
        <f>COUNTIF(J1956:K1956,"&lt;&gt;0")*-'Trading Model'!$E$15</f>
        <v>0</v>
      </c>
      <c r="M1956" s="198">
        <f t="shared" si="240"/>
        <v>0</v>
      </c>
      <c r="N1956" s="75">
        <f t="shared" si="243"/>
        <v>45</v>
      </c>
      <c r="O1956" s="202">
        <f t="shared" si="244"/>
        <v>0</v>
      </c>
      <c r="P1956" s="199">
        <f t="shared" si="241"/>
        <v>0</v>
      </c>
      <c r="Q1956" s="203">
        <f t="shared" si="245"/>
        <v>3.5000000000014064</v>
      </c>
      <c r="R1956" s="203" t="s">
        <v>55</v>
      </c>
      <c r="S1956" s="201">
        <f t="shared" si="246"/>
        <v>2.6785714285714413E-2</v>
      </c>
    </row>
    <row r="1957" spans="1:19">
      <c r="A1957" s="196">
        <v>42808</v>
      </c>
      <c r="B1957" s="122">
        <v>23.049999</v>
      </c>
      <c r="C1957" s="122">
        <v>23.049999</v>
      </c>
      <c r="D1957" s="122">
        <v>22.25</v>
      </c>
      <c r="E1957" s="122">
        <v>22.459999</v>
      </c>
      <c r="F1957" s="122">
        <v>19.839592</v>
      </c>
      <c r="G1957" s="197">
        <v>94500</v>
      </c>
      <c r="H1957" s="198">
        <f>IF(AND(E1956&gt;=H1956,E1957&gt;=E1956),E1956*(1+'Trading Model'!$E$13),IF(AND(E1957&lt;E1956,E1956&gt;=H1956),E1957*(1+'Trading Model'!$E$13),H1956))</f>
        <v>27.698998950000004</v>
      </c>
      <c r="I1957" s="198">
        <f>IF(K1957&gt;0,E1957*(1-'Trading Model'!E1967),IF(E1957&lt;I1956,I1956*(1-'Trading Model'!$E$14),I1956))</f>
        <v>8.9840153609188427</v>
      </c>
      <c r="J1957" s="198">
        <f t="shared" si="247"/>
        <v>0</v>
      </c>
      <c r="K1957" s="198">
        <f t="shared" si="242"/>
        <v>0</v>
      </c>
      <c r="L1957" s="198">
        <f>COUNTIF(J1957:K1957,"&lt;&gt;0")*-'Trading Model'!$E$15</f>
        <v>0</v>
      </c>
      <c r="M1957" s="198">
        <f t="shared" si="240"/>
        <v>0</v>
      </c>
      <c r="N1957" s="75">
        <f t="shared" si="243"/>
        <v>45</v>
      </c>
      <c r="O1957" s="202">
        <f t="shared" si="244"/>
        <v>0</v>
      </c>
      <c r="P1957" s="199">
        <f t="shared" si="241"/>
        <v>0</v>
      </c>
      <c r="Q1957" s="203">
        <f t="shared" si="245"/>
        <v>3.4000000000014063</v>
      </c>
      <c r="R1957" s="201">
        <f>E1957/B1953-1</f>
        <v>2.6508227902569681E-2</v>
      </c>
      <c r="S1957" s="201">
        <f t="shared" si="246"/>
        <v>-2.3478304347826051E-2</v>
      </c>
    </row>
    <row r="1958" spans="1:19">
      <c r="A1958" s="196">
        <v>42809</v>
      </c>
      <c r="B1958" s="122">
        <v>22.34</v>
      </c>
      <c r="C1958" s="122">
        <v>23.209999</v>
      </c>
      <c r="D1958" s="122">
        <v>22.34</v>
      </c>
      <c r="E1958" s="122">
        <v>23.15</v>
      </c>
      <c r="F1958" s="122">
        <v>20.449089000000001</v>
      </c>
      <c r="G1958" s="197">
        <v>93600</v>
      </c>
      <c r="H1958" s="198">
        <f>IF(AND(E1957&gt;=H1957,E1958&gt;=E1957),E1957*(1+'Trading Model'!$E$13),IF(AND(E1958&lt;E1957,E1957&gt;=H1957),E1958*(1+'Trading Model'!$E$13),H1957))</f>
        <v>27.698998950000004</v>
      </c>
      <c r="I1958" s="198">
        <f>IF(K1958&gt;0,E1958*(1-'Trading Model'!E1968),IF(E1958&lt;I1957,I1957*(1-'Trading Model'!$E$14),I1957))</f>
        <v>8.9840153609188427</v>
      </c>
      <c r="J1958" s="198">
        <f t="shared" si="247"/>
        <v>0</v>
      </c>
      <c r="K1958" s="198">
        <f t="shared" si="242"/>
        <v>0</v>
      </c>
      <c r="L1958" s="198">
        <f>COUNTIF(J1958:K1958,"&lt;&gt;0")*-'Trading Model'!$E$15</f>
        <v>0</v>
      </c>
      <c r="M1958" s="198">
        <f t="shared" si="240"/>
        <v>0</v>
      </c>
      <c r="N1958" s="75">
        <f t="shared" si="243"/>
        <v>45</v>
      </c>
      <c r="O1958" s="202">
        <f t="shared" si="244"/>
        <v>0</v>
      </c>
      <c r="P1958" s="199">
        <f t="shared" si="241"/>
        <v>0</v>
      </c>
      <c r="Q1958" s="203">
        <f t="shared" si="245"/>
        <v>3.4000000000014063</v>
      </c>
      <c r="R1958" s="160" t="s">
        <v>55</v>
      </c>
      <c r="S1958" s="201">
        <f t="shared" si="246"/>
        <v>3.0721328171029683E-2</v>
      </c>
    </row>
    <row r="1959" spans="1:19">
      <c r="A1959" s="196">
        <v>42810</v>
      </c>
      <c r="B1959" s="122">
        <v>22.969999000000001</v>
      </c>
      <c r="C1959" s="122">
        <v>23.5</v>
      </c>
      <c r="D1959" s="122">
        <v>22.91</v>
      </c>
      <c r="E1959" s="122">
        <v>23.299999</v>
      </c>
      <c r="F1959" s="122">
        <v>20.581586999999999</v>
      </c>
      <c r="G1959" s="197">
        <v>200900</v>
      </c>
      <c r="H1959" s="198">
        <f>IF(AND(E1958&gt;=H1958,E1959&gt;=E1958),E1958*(1+'Trading Model'!$E$13),IF(AND(E1959&lt;E1958,E1958&gt;=H1958),E1959*(1+'Trading Model'!$E$13),H1958))</f>
        <v>27.698998950000004</v>
      </c>
      <c r="I1959" s="198">
        <f>IF(K1959&gt;0,E1959*(1-'Trading Model'!E1969),IF(E1959&lt;I1958,I1958*(1-'Trading Model'!$E$14),I1958))</f>
        <v>8.9840153609188427</v>
      </c>
      <c r="J1959" s="198">
        <f t="shared" si="247"/>
        <v>0</v>
      </c>
      <c r="K1959" s="198">
        <f t="shared" si="242"/>
        <v>0</v>
      </c>
      <c r="L1959" s="198">
        <f>COUNTIF(J1959:K1959,"&lt;&gt;0")*-'Trading Model'!$E$15</f>
        <v>0</v>
      </c>
      <c r="M1959" s="198">
        <f t="shared" si="240"/>
        <v>0</v>
      </c>
      <c r="N1959" s="75">
        <f t="shared" si="243"/>
        <v>45</v>
      </c>
      <c r="O1959" s="202">
        <f t="shared" si="244"/>
        <v>0</v>
      </c>
      <c r="P1959" s="199">
        <f t="shared" si="241"/>
        <v>0</v>
      </c>
      <c r="Q1959" s="203">
        <f t="shared" si="245"/>
        <v>3.4000000000014063</v>
      </c>
      <c r="R1959" s="203" t="s">
        <v>55</v>
      </c>
      <c r="S1959" s="201">
        <f t="shared" si="246"/>
        <v>6.4794384449244902E-3</v>
      </c>
    </row>
    <row r="1960" spans="1:19">
      <c r="A1960" s="196">
        <v>42811</v>
      </c>
      <c r="B1960" s="122">
        <v>23.450001</v>
      </c>
      <c r="C1960" s="122">
        <v>23.450001</v>
      </c>
      <c r="D1960" s="122">
        <v>22.68</v>
      </c>
      <c r="E1960" s="122">
        <v>22.93</v>
      </c>
      <c r="F1960" s="122">
        <v>20.254759</v>
      </c>
      <c r="G1960" s="197">
        <v>161200</v>
      </c>
      <c r="H1960" s="198">
        <f>IF(AND(E1959&gt;=H1959,E1960&gt;=E1959),E1959*(1+'Trading Model'!$E$13),IF(AND(E1960&lt;E1959,E1959&gt;=H1959),E1960*(1+'Trading Model'!$E$13),H1959))</f>
        <v>27.698998950000004</v>
      </c>
      <c r="I1960" s="198">
        <f>IF(K1960&gt;0,E1960*(1-'Trading Model'!E1970),IF(E1960&lt;I1959,I1959*(1-'Trading Model'!$E$14),I1959))</f>
        <v>8.9840153609188427</v>
      </c>
      <c r="J1960" s="198">
        <f t="shared" si="247"/>
        <v>0</v>
      </c>
      <c r="K1960" s="198">
        <f t="shared" si="242"/>
        <v>0</v>
      </c>
      <c r="L1960" s="198">
        <f>COUNTIF(J1960:K1960,"&lt;&gt;0")*-'Trading Model'!$E$15</f>
        <v>0</v>
      </c>
      <c r="M1960" s="198">
        <f t="shared" si="240"/>
        <v>0</v>
      </c>
      <c r="N1960" s="75">
        <f t="shared" si="243"/>
        <v>45</v>
      </c>
      <c r="O1960" s="202">
        <f t="shared" si="244"/>
        <v>0</v>
      </c>
      <c r="P1960" s="199">
        <f t="shared" si="241"/>
        <v>0</v>
      </c>
      <c r="Q1960" s="203">
        <f t="shared" si="245"/>
        <v>3.3000000000014063</v>
      </c>
      <c r="R1960" s="203" t="s">
        <v>55</v>
      </c>
      <c r="S1960" s="201">
        <f t="shared" si="246"/>
        <v>-1.5879786089261216E-2</v>
      </c>
    </row>
    <row r="1961" spans="1:19">
      <c r="A1961" s="196">
        <v>42814</v>
      </c>
      <c r="B1961" s="122">
        <v>23.1</v>
      </c>
      <c r="C1961" s="122">
        <v>23.25</v>
      </c>
      <c r="D1961" s="122">
        <v>22.280000999999999</v>
      </c>
      <c r="E1961" s="122">
        <v>22.58</v>
      </c>
      <c r="F1961" s="122">
        <v>19.945591</v>
      </c>
      <c r="G1961" s="197">
        <v>232900</v>
      </c>
      <c r="H1961" s="198">
        <f>IF(AND(E1960&gt;=H1960,E1961&gt;=E1960),E1960*(1+'Trading Model'!$E$13),IF(AND(E1961&lt;E1960,E1960&gt;=H1960),E1961*(1+'Trading Model'!$E$13),H1960))</f>
        <v>27.698998950000004</v>
      </c>
      <c r="I1961" s="198">
        <f>IF(K1961&gt;0,E1961*(1-'Trading Model'!E1971),IF(E1961&lt;I1960,I1960*(1-'Trading Model'!$E$14),I1960))</f>
        <v>8.9840153609188427</v>
      </c>
      <c r="J1961" s="198">
        <f t="shared" si="247"/>
        <v>0</v>
      </c>
      <c r="K1961" s="198">
        <f t="shared" si="242"/>
        <v>0</v>
      </c>
      <c r="L1961" s="198">
        <f>COUNTIF(J1961:K1961,"&lt;&gt;0")*-'Trading Model'!$E$15</f>
        <v>0</v>
      </c>
      <c r="M1961" s="198">
        <f t="shared" si="240"/>
        <v>0</v>
      </c>
      <c r="N1961" s="75">
        <f t="shared" si="243"/>
        <v>45</v>
      </c>
      <c r="O1961" s="202">
        <f t="shared" si="244"/>
        <v>0</v>
      </c>
      <c r="P1961" s="199">
        <f t="shared" si="241"/>
        <v>0</v>
      </c>
      <c r="Q1961" s="203">
        <f t="shared" si="245"/>
        <v>3.2000000000014062</v>
      </c>
      <c r="R1961" s="203" t="s">
        <v>55</v>
      </c>
      <c r="S1961" s="201">
        <f t="shared" si="246"/>
        <v>-1.5263846489315336E-2</v>
      </c>
    </row>
    <row r="1962" spans="1:19">
      <c r="A1962" s="196">
        <v>42815</v>
      </c>
      <c r="B1962" s="122">
        <v>22.58</v>
      </c>
      <c r="C1962" s="122">
        <v>22.67</v>
      </c>
      <c r="D1962" s="122">
        <v>22.190000999999999</v>
      </c>
      <c r="E1962" s="122">
        <v>22.5</v>
      </c>
      <c r="F1962" s="122">
        <v>19.874925999999999</v>
      </c>
      <c r="G1962" s="197">
        <v>81600</v>
      </c>
      <c r="H1962" s="198">
        <f>IF(AND(E1961&gt;=H1961,E1962&gt;=E1961),E1961*(1+'Trading Model'!$E$13),IF(AND(E1962&lt;E1961,E1961&gt;=H1961),E1962*(1+'Trading Model'!$E$13),H1961))</f>
        <v>27.698998950000004</v>
      </c>
      <c r="I1962" s="198">
        <f>IF(K1962&gt;0,E1962*(1-'Trading Model'!E1972),IF(E1962&lt;I1961,I1961*(1-'Trading Model'!$E$14),I1961))</f>
        <v>8.9840153609188427</v>
      </c>
      <c r="J1962" s="198">
        <f t="shared" si="247"/>
        <v>0</v>
      </c>
      <c r="K1962" s="198">
        <f t="shared" si="242"/>
        <v>0</v>
      </c>
      <c r="L1962" s="198">
        <f>COUNTIF(J1962:K1962,"&lt;&gt;0")*-'Trading Model'!$E$15</f>
        <v>0</v>
      </c>
      <c r="M1962" s="198">
        <f t="shared" si="240"/>
        <v>0</v>
      </c>
      <c r="N1962" s="75">
        <f t="shared" si="243"/>
        <v>45</v>
      </c>
      <c r="O1962" s="202">
        <f t="shared" si="244"/>
        <v>0</v>
      </c>
      <c r="P1962" s="199">
        <f t="shared" si="241"/>
        <v>0</v>
      </c>
      <c r="Q1962" s="203">
        <f t="shared" si="245"/>
        <v>3.1000000000014061</v>
      </c>
      <c r="R1962" s="201">
        <f>E1962/B1958-1</f>
        <v>7.1620411817368002E-3</v>
      </c>
      <c r="S1962" s="201">
        <f t="shared" si="246"/>
        <v>-3.5429583702391021E-3</v>
      </c>
    </row>
    <row r="1963" spans="1:19">
      <c r="A1963" s="196">
        <v>42816</v>
      </c>
      <c r="B1963" s="122">
        <v>22.209999</v>
      </c>
      <c r="C1963" s="122">
        <v>22.59</v>
      </c>
      <c r="D1963" s="122">
        <v>21.629999000000002</v>
      </c>
      <c r="E1963" s="122">
        <v>22.26</v>
      </c>
      <c r="F1963" s="122">
        <v>19.662924</v>
      </c>
      <c r="G1963" s="197">
        <v>175400</v>
      </c>
      <c r="H1963" s="198">
        <f>IF(AND(E1962&gt;=H1962,E1963&gt;=E1962),E1962*(1+'Trading Model'!$E$13),IF(AND(E1963&lt;E1962,E1962&gt;=H1962),E1963*(1+'Trading Model'!$E$13),H1962))</f>
        <v>27.698998950000004</v>
      </c>
      <c r="I1963" s="198">
        <f>IF(K1963&gt;0,E1963*(1-'Trading Model'!E1973),IF(E1963&lt;I1962,I1962*(1-'Trading Model'!$E$14),I1962))</f>
        <v>8.9840153609188427</v>
      </c>
      <c r="J1963" s="198">
        <f t="shared" si="247"/>
        <v>0</v>
      </c>
      <c r="K1963" s="198">
        <f t="shared" si="242"/>
        <v>0</v>
      </c>
      <c r="L1963" s="198">
        <f>COUNTIF(J1963:K1963,"&lt;&gt;0")*-'Trading Model'!$E$15</f>
        <v>0</v>
      </c>
      <c r="M1963" s="198">
        <f t="shared" si="240"/>
        <v>0</v>
      </c>
      <c r="N1963" s="75">
        <f t="shared" si="243"/>
        <v>45</v>
      </c>
      <c r="O1963" s="202">
        <f t="shared" si="244"/>
        <v>0</v>
      </c>
      <c r="P1963" s="199">
        <f t="shared" si="241"/>
        <v>0</v>
      </c>
      <c r="Q1963" s="203">
        <f t="shared" si="245"/>
        <v>3.000000000001406</v>
      </c>
      <c r="R1963" s="160" t="s">
        <v>55</v>
      </c>
      <c r="S1963" s="201">
        <f t="shared" si="246"/>
        <v>-1.0666666666666602E-2</v>
      </c>
    </row>
    <row r="1964" spans="1:19">
      <c r="A1964" s="196">
        <v>42817</v>
      </c>
      <c r="B1964" s="122">
        <v>22.48</v>
      </c>
      <c r="C1964" s="122">
        <v>22.48</v>
      </c>
      <c r="D1964" s="122">
        <v>21.200001</v>
      </c>
      <c r="E1964" s="122">
        <v>21.92</v>
      </c>
      <c r="F1964" s="122">
        <v>19.362594999999999</v>
      </c>
      <c r="G1964" s="197">
        <v>251800</v>
      </c>
      <c r="H1964" s="198">
        <f>IF(AND(E1963&gt;=H1963,E1964&gt;=E1963),E1963*(1+'Trading Model'!$E$13),IF(AND(E1964&lt;E1963,E1963&gt;=H1963),E1964*(1+'Trading Model'!$E$13),H1963))</f>
        <v>27.698998950000004</v>
      </c>
      <c r="I1964" s="198">
        <f>IF(K1964&gt;0,E1964*(1-'Trading Model'!E1974),IF(E1964&lt;I1963,I1963*(1-'Trading Model'!$E$14),I1963))</f>
        <v>8.9840153609188427</v>
      </c>
      <c r="J1964" s="198">
        <f t="shared" si="247"/>
        <v>0</v>
      </c>
      <c r="K1964" s="198">
        <f t="shared" si="242"/>
        <v>0</v>
      </c>
      <c r="L1964" s="198">
        <f>COUNTIF(J1964:K1964,"&lt;&gt;0")*-'Trading Model'!$E$15</f>
        <v>0</v>
      </c>
      <c r="M1964" s="198">
        <f t="shared" si="240"/>
        <v>0</v>
      </c>
      <c r="N1964" s="75">
        <f t="shared" si="243"/>
        <v>45</v>
      </c>
      <c r="O1964" s="202">
        <f t="shared" si="244"/>
        <v>0</v>
      </c>
      <c r="P1964" s="199">
        <f t="shared" si="241"/>
        <v>0</v>
      </c>
      <c r="Q1964" s="203">
        <f t="shared" si="245"/>
        <v>2.9000000000014059</v>
      </c>
      <c r="R1964" s="203" t="s">
        <v>55</v>
      </c>
      <c r="S1964" s="201">
        <f t="shared" si="246"/>
        <v>-1.5274034141958714E-2</v>
      </c>
    </row>
    <row r="1965" spans="1:19">
      <c r="A1965" s="196">
        <v>42818</v>
      </c>
      <c r="B1965" s="122">
        <v>21.41</v>
      </c>
      <c r="C1965" s="122">
        <v>22.450001</v>
      </c>
      <c r="D1965" s="122">
        <v>21.200001</v>
      </c>
      <c r="E1965" s="122">
        <v>22.209999</v>
      </c>
      <c r="F1965" s="122">
        <v>19.618759000000001</v>
      </c>
      <c r="G1965" s="197">
        <v>101300</v>
      </c>
      <c r="H1965" s="198">
        <f>IF(AND(E1964&gt;=H1964,E1965&gt;=E1964),E1964*(1+'Trading Model'!$E$13),IF(AND(E1965&lt;E1964,E1964&gt;=H1964),E1965*(1+'Trading Model'!$E$13),H1964))</f>
        <v>27.698998950000004</v>
      </c>
      <c r="I1965" s="198">
        <f>IF(K1965&gt;0,E1965*(1-'Trading Model'!E1975),IF(E1965&lt;I1964,I1964*(1-'Trading Model'!$E$14),I1964))</f>
        <v>8.9840153609188427</v>
      </c>
      <c r="J1965" s="198">
        <f t="shared" si="247"/>
        <v>0</v>
      </c>
      <c r="K1965" s="198">
        <f t="shared" si="242"/>
        <v>0</v>
      </c>
      <c r="L1965" s="198">
        <f>COUNTIF(J1965:K1965,"&lt;&gt;0")*-'Trading Model'!$E$15</f>
        <v>0</v>
      </c>
      <c r="M1965" s="198">
        <f t="shared" si="240"/>
        <v>0</v>
      </c>
      <c r="N1965" s="75">
        <f t="shared" si="243"/>
        <v>45</v>
      </c>
      <c r="O1965" s="202">
        <f t="shared" si="244"/>
        <v>0</v>
      </c>
      <c r="P1965" s="199">
        <f t="shared" si="241"/>
        <v>0</v>
      </c>
      <c r="Q1965" s="203">
        <f t="shared" si="245"/>
        <v>2.9000000000014059</v>
      </c>
      <c r="R1965" s="203" t="s">
        <v>55</v>
      </c>
      <c r="S1965" s="201">
        <f t="shared" si="246"/>
        <v>1.3229881386861209E-2</v>
      </c>
    </row>
    <row r="1966" spans="1:19">
      <c r="A1966" s="196">
        <v>42821</v>
      </c>
      <c r="B1966" s="122">
        <v>22.24</v>
      </c>
      <c r="C1966" s="122">
        <v>22.530000999999999</v>
      </c>
      <c r="D1966" s="122">
        <v>21.84</v>
      </c>
      <c r="E1966" s="122">
        <v>22.26</v>
      </c>
      <c r="F1966" s="122">
        <v>19.662924</v>
      </c>
      <c r="G1966" s="197">
        <v>139300</v>
      </c>
      <c r="H1966" s="198">
        <f>IF(AND(E1965&gt;=H1965,E1966&gt;=E1965),E1965*(1+'Trading Model'!$E$13),IF(AND(E1966&lt;E1965,E1965&gt;=H1965),E1966*(1+'Trading Model'!$E$13),H1965))</f>
        <v>27.698998950000004</v>
      </c>
      <c r="I1966" s="198">
        <f>IF(K1966&gt;0,E1966*(1-'Trading Model'!E1976),IF(E1966&lt;I1965,I1965*(1-'Trading Model'!$E$14),I1965))</f>
        <v>8.9840153609188427</v>
      </c>
      <c r="J1966" s="198">
        <f t="shared" si="247"/>
        <v>0</v>
      </c>
      <c r="K1966" s="198">
        <f t="shared" si="242"/>
        <v>0</v>
      </c>
      <c r="L1966" s="198">
        <f>COUNTIF(J1966:K1966,"&lt;&gt;0")*-'Trading Model'!$E$15</f>
        <v>0</v>
      </c>
      <c r="M1966" s="198">
        <f t="shared" si="240"/>
        <v>0</v>
      </c>
      <c r="N1966" s="75">
        <f t="shared" si="243"/>
        <v>45</v>
      </c>
      <c r="O1966" s="202">
        <f t="shared" si="244"/>
        <v>0</v>
      </c>
      <c r="P1966" s="199">
        <f t="shared" si="241"/>
        <v>0</v>
      </c>
      <c r="Q1966" s="203">
        <f t="shared" si="245"/>
        <v>2.9000000000014059</v>
      </c>
      <c r="R1966" s="203" t="s">
        <v>55</v>
      </c>
      <c r="S1966" s="201">
        <f t="shared" si="246"/>
        <v>2.2512833071266503E-3</v>
      </c>
    </row>
    <row r="1967" spans="1:19">
      <c r="A1967" s="196">
        <v>42822</v>
      </c>
      <c r="B1967" s="122">
        <v>22.16</v>
      </c>
      <c r="C1967" s="122">
        <v>22.5</v>
      </c>
      <c r="D1967" s="122">
        <v>21.950001</v>
      </c>
      <c r="E1967" s="122">
        <v>22.17</v>
      </c>
      <c r="F1967" s="122">
        <v>19.583427</v>
      </c>
      <c r="G1967" s="197">
        <v>120300</v>
      </c>
      <c r="H1967" s="198">
        <f>IF(AND(E1966&gt;=H1966,E1967&gt;=E1966),E1966*(1+'Trading Model'!$E$13),IF(AND(E1967&lt;E1966,E1966&gt;=H1966),E1967*(1+'Trading Model'!$E$13),H1966))</f>
        <v>27.698998950000004</v>
      </c>
      <c r="I1967" s="198">
        <f>IF(K1967&gt;0,E1967*(1-'Trading Model'!E1977),IF(E1967&lt;I1966,I1966*(1-'Trading Model'!$E$14),I1966))</f>
        <v>8.9840153609188427</v>
      </c>
      <c r="J1967" s="198">
        <f t="shared" si="247"/>
        <v>0</v>
      </c>
      <c r="K1967" s="198">
        <f t="shared" si="242"/>
        <v>0</v>
      </c>
      <c r="L1967" s="198">
        <f>COUNTIF(J1967:K1967,"&lt;&gt;0")*-'Trading Model'!$E$15</f>
        <v>0</v>
      </c>
      <c r="M1967" s="198">
        <f t="shared" si="240"/>
        <v>0</v>
      </c>
      <c r="N1967" s="75">
        <f t="shared" si="243"/>
        <v>45</v>
      </c>
      <c r="O1967" s="202">
        <f t="shared" si="244"/>
        <v>0</v>
      </c>
      <c r="P1967" s="199">
        <f t="shared" si="241"/>
        <v>0</v>
      </c>
      <c r="Q1967" s="203">
        <f t="shared" si="245"/>
        <v>2.8000000000014058</v>
      </c>
      <c r="R1967" s="201">
        <f>E1967/B1963-1</f>
        <v>-1.800945601123094E-3</v>
      </c>
      <c r="S1967" s="201">
        <f t="shared" si="246"/>
        <v>-4.0431266846361336E-3</v>
      </c>
    </row>
    <row r="1968" spans="1:19">
      <c r="A1968" s="196">
        <v>42823</v>
      </c>
      <c r="B1968" s="122">
        <v>22.34</v>
      </c>
      <c r="C1968" s="122">
        <v>22.540001</v>
      </c>
      <c r="D1968" s="122">
        <v>22.1</v>
      </c>
      <c r="E1968" s="122">
        <v>22.540001</v>
      </c>
      <c r="F1968" s="122">
        <v>19.910259</v>
      </c>
      <c r="G1968" s="197">
        <v>115300</v>
      </c>
      <c r="H1968" s="198">
        <f>IF(AND(E1967&gt;=H1967,E1968&gt;=E1967),E1967*(1+'Trading Model'!$E$13),IF(AND(E1968&lt;E1967,E1967&gt;=H1967),E1968*(1+'Trading Model'!$E$13),H1967))</f>
        <v>27.698998950000004</v>
      </c>
      <c r="I1968" s="198">
        <f>IF(K1968&gt;0,E1968*(1-'Trading Model'!E1978),IF(E1968&lt;I1967,I1967*(1-'Trading Model'!$E$14),I1967))</f>
        <v>8.9840153609188427</v>
      </c>
      <c r="J1968" s="198">
        <f t="shared" si="247"/>
        <v>0</v>
      </c>
      <c r="K1968" s="198">
        <f t="shared" si="242"/>
        <v>0</v>
      </c>
      <c r="L1968" s="198">
        <f>COUNTIF(J1968:K1968,"&lt;&gt;0")*-'Trading Model'!$E$15</f>
        <v>0</v>
      </c>
      <c r="M1968" s="198">
        <f t="shared" si="240"/>
        <v>0</v>
      </c>
      <c r="N1968" s="75">
        <f t="shared" si="243"/>
        <v>45</v>
      </c>
      <c r="O1968" s="202">
        <f t="shared" si="244"/>
        <v>0</v>
      </c>
      <c r="P1968" s="199">
        <f t="shared" si="241"/>
        <v>0</v>
      </c>
      <c r="Q1968" s="203">
        <f t="shared" si="245"/>
        <v>2.8000000000014058</v>
      </c>
      <c r="R1968" s="160" t="s">
        <v>55</v>
      </c>
      <c r="S1968" s="201">
        <f t="shared" si="246"/>
        <v>1.6689264772214552E-2</v>
      </c>
    </row>
    <row r="1969" spans="1:19">
      <c r="A1969" s="196">
        <v>42824</v>
      </c>
      <c r="B1969" s="122">
        <v>22.67</v>
      </c>
      <c r="C1969" s="122">
        <v>23.16</v>
      </c>
      <c r="D1969" s="122">
        <v>22.389999</v>
      </c>
      <c r="E1969" s="122">
        <v>22.75</v>
      </c>
      <c r="F1969" s="122">
        <v>20.095758</v>
      </c>
      <c r="G1969" s="197">
        <v>107100</v>
      </c>
      <c r="H1969" s="198">
        <f>IF(AND(E1968&gt;=H1968,E1969&gt;=E1968),E1968*(1+'Trading Model'!$E$13),IF(AND(E1969&lt;E1968,E1968&gt;=H1968),E1969*(1+'Trading Model'!$E$13),H1968))</f>
        <v>27.698998950000004</v>
      </c>
      <c r="I1969" s="198">
        <f>IF(K1969&gt;0,E1969*(1-'Trading Model'!E1979),IF(E1969&lt;I1968,I1968*(1-'Trading Model'!$E$14),I1968))</f>
        <v>8.9840153609188427</v>
      </c>
      <c r="J1969" s="198">
        <f t="shared" si="247"/>
        <v>0</v>
      </c>
      <c r="K1969" s="198">
        <f t="shared" si="242"/>
        <v>0</v>
      </c>
      <c r="L1969" s="198">
        <f>COUNTIF(J1969:K1969,"&lt;&gt;0")*-'Trading Model'!$E$15</f>
        <v>0</v>
      </c>
      <c r="M1969" s="198">
        <f t="shared" si="240"/>
        <v>0</v>
      </c>
      <c r="N1969" s="75">
        <f t="shared" si="243"/>
        <v>45</v>
      </c>
      <c r="O1969" s="202">
        <f t="shared" si="244"/>
        <v>0</v>
      </c>
      <c r="P1969" s="199">
        <f t="shared" si="241"/>
        <v>0</v>
      </c>
      <c r="Q1969" s="203">
        <f t="shared" si="245"/>
        <v>2.8000000000014058</v>
      </c>
      <c r="R1969" s="203" t="s">
        <v>55</v>
      </c>
      <c r="S1969" s="201">
        <f t="shared" si="246"/>
        <v>9.3167254074211225E-3</v>
      </c>
    </row>
    <row r="1970" spans="1:19">
      <c r="A1970" s="196">
        <v>42825</v>
      </c>
      <c r="B1970" s="122">
        <v>22.6</v>
      </c>
      <c r="C1970" s="122">
        <v>22.6</v>
      </c>
      <c r="D1970" s="122">
        <v>21.66</v>
      </c>
      <c r="E1970" s="122">
        <v>22.190000999999999</v>
      </c>
      <c r="F1970" s="122">
        <v>19.601092999999999</v>
      </c>
      <c r="G1970" s="197">
        <v>115200</v>
      </c>
      <c r="H1970" s="198">
        <f>IF(AND(E1969&gt;=H1969,E1970&gt;=E1969),E1969*(1+'Trading Model'!$E$13),IF(AND(E1970&lt;E1969,E1969&gt;=H1969),E1970*(1+'Trading Model'!$E$13),H1969))</f>
        <v>27.698998950000004</v>
      </c>
      <c r="I1970" s="198">
        <f>IF(K1970&gt;0,E1970*(1-'Trading Model'!E1980),IF(E1970&lt;I1969,I1969*(1-'Trading Model'!$E$14),I1969))</f>
        <v>8.9840153609188427</v>
      </c>
      <c r="J1970" s="198">
        <f t="shared" si="247"/>
        <v>0</v>
      </c>
      <c r="K1970" s="198">
        <f t="shared" si="242"/>
        <v>0</v>
      </c>
      <c r="L1970" s="198">
        <f>COUNTIF(J1970:K1970,"&lt;&gt;0")*-'Trading Model'!$E$15</f>
        <v>0</v>
      </c>
      <c r="M1970" s="198">
        <f t="shared" si="240"/>
        <v>0</v>
      </c>
      <c r="N1970" s="75">
        <f t="shared" si="243"/>
        <v>45</v>
      </c>
      <c r="O1970" s="202">
        <f t="shared" si="244"/>
        <v>0</v>
      </c>
      <c r="P1970" s="199">
        <f t="shared" si="241"/>
        <v>0</v>
      </c>
      <c r="Q1970" s="203">
        <f t="shared" si="245"/>
        <v>2.7000000000014057</v>
      </c>
      <c r="R1970" s="203" t="s">
        <v>55</v>
      </c>
      <c r="S1970" s="201">
        <f t="shared" si="246"/>
        <v>-2.4615340659340679E-2</v>
      </c>
    </row>
    <row r="1971" spans="1:19">
      <c r="A1971" s="196">
        <v>42828</v>
      </c>
      <c r="B1971" s="122">
        <v>22.299999</v>
      </c>
      <c r="C1971" s="122">
        <v>22.75</v>
      </c>
      <c r="D1971" s="122">
        <v>21.799999</v>
      </c>
      <c r="E1971" s="122">
        <v>22.709999</v>
      </c>
      <c r="F1971" s="122">
        <v>20.060423</v>
      </c>
      <c r="G1971" s="197">
        <v>119600</v>
      </c>
      <c r="H1971" s="198">
        <f>IF(AND(E1970&gt;=H1970,E1971&gt;=E1970),E1970*(1+'Trading Model'!$E$13),IF(AND(E1971&lt;E1970,E1970&gt;=H1970),E1971*(1+'Trading Model'!$E$13),H1970))</f>
        <v>27.698998950000004</v>
      </c>
      <c r="I1971" s="198">
        <f>IF(K1971&gt;0,E1971*(1-'Trading Model'!E1981),IF(E1971&lt;I1970,I1970*(1-'Trading Model'!$E$14),I1970))</f>
        <v>8.9840153609188427</v>
      </c>
      <c r="J1971" s="198">
        <f t="shared" si="247"/>
        <v>0</v>
      </c>
      <c r="K1971" s="198">
        <f t="shared" si="242"/>
        <v>0</v>
      </c>
      <c r="L1971" s="198">
        <f>COUNTIF(J1971:K1971,"&lt;&gt;0")*-'Trading Model'!$E$15</f>
        <v>0</v>
      </c>
      <c r="M1971" s="198">
        <f t="shared" si="240"/>
        <v>0</v>
      </c>
      <c r="N1971" s="75">
        <f t="shared" si="243"/>
        <v>45</v>
      </c>
      <c r="O1971" s="202">
        <f t="shared" si="244"/>
        <v>0</v>
      </c>
      <c r="P1971" s="199">
        <f t="shared" si="241"/>
        <v>0</v>
      </c>
      <c r="Q1971" s="203">
        <f t="shared" si="245"/>
        <v>2.7000000000014057</v>
      </c>
      <c r="R1971" s="203" t="s">
        <v>55</v>
      </c>
      <c r="S1971" s="201">
        <f t="shared" si="246"/>
        <v>2.3433888083195686E-2</v>
      </c>
    </row>
    <row r="1972" spans="1:19">
      <c r="A1972" s="196">
        <v>42829</v>
      </c>
      <c r="B1972" s="122">
        <v>22.34</v>
      </c>
      <c r="C1972" s="122">
        <v>22.870000999999998</v>
      </c>
      <c r="D1972" s="122">
        <v>22.32</v>
      </c>
      <c r="E1972" s="122">
        <v>22.610001</v>
      </c>
      <c r="F1972" s="122">
        <v>19.972090000000001</v>
      </c>
      <c r="G1972" s="197">
        <v>56400</v>
      </c>
      <c r="H1972" s="198">
        <f>IF(AND(E1971&gt;=H1971,E1972&gt;=E1971),E1971*(1+'Trading Model'!$E$13),IF(AND(E1972&lt;E1971,E1971&gt;=H1971),E1972*(1+'Trading Model'!$E$13),H1971))</f>
        <v>27.698998950000004</v>
      </c>
      <c r="I1972" s="198">
        <f>IF(K1972&gt;0,E1972*(1-'Trading Model'!E1982),IF(E1972&lt;I1971,I1971*(1-'Trading Model'!$E$14),I1971))</f>
        <v>8.9840153609188427</v>
      </c>
      <c r="J1972" s="198">
        <f t="shared" si="247"/>
        <v>0</v>
      </c>
      <c r="K1972" s="198">
        <f t="shared" si="242"/>
        <v>0</v>
      </c>
      <c r="L1972" s="198">
        <f>COUNTIF(J1972:K1972,"&lt;&gt;0")*-'Trading Model'!$E$15</f>
        <v>0</v>
      </c>
      <c r="M1972" s="198">
        <f t="shared" si="240"/>
        <v>0</v>
      </c>
      <c r="N1972" s="75">
        <f t="shared" si="243"/>
        <v>45</v>
      </c>
      <c r="O1972" s="202">
        <f t="shared" si="244"/>
        <v>0</v>
      </c>
      <c r="P1972" s="199">
        <f t="shared" si="241"/>
        <v>0</v>
      </c>
      <c r="Q1972" s="203">
        <f t="shared" si="245"/>
        <v>2.6000000000014056</v>
      </c>
      <c r="R1972" s="201">
        <f>E1972/B1968-1</f>
        <v>1.2085989256938268E-2</v>
      </c>
      <c r="S1972" s="201">
        <f t="shared" si="246"/>
        <v>-4.4032586703327548E-3</v>
      </c>
    </row>
    <row r="1973" spans="1:19">
      <c r="A1973" s="196">
        <v>42830</v>
      </c>
      <c r="B1973" s="122">
        <v>22.799999</v>
      </c>
      <c r="C1973" s="122">
        <v>23.5</v>
      </c>
      <c r="D1973" s="122">
        <v>22.51</v>
      </c>
      <c r="E1973" s="122">
        <v>23</v>
      </c>
      <c r="F1973" s="122">
        <v>20.316590999999999</v>
      </c>
      <c r="G1973" s="197">
        <v>96500</v>
      </c>
      <c r="H1973" s="198">
        <f>IF(AND(E1972&gt;=H1972,E1973&gt;=E1972),E1972*(1+'Trading Model'!$E$13),IF(AND(E1973&lt;E1972,E1972&gt;=H1972),E1973*(1+'Trading Model'!$E$13),H1972))</f>
        <v>27.698998950000004</v>
      </c>
      <c r="I1973" s="198">
        <f>IF(K1973&gt;0,E1973*(1-'Trading Model'!E1983),IF(E1973&lt;I1972,I1972*(1-'Trading Model'!$E$14),I1972))</f>
        <v>8.9840153609188427</v>
      </c>
      <c r="J1973" s="198">
        <f t="shared" si="247"/>
        <v>0</v>
      </c>
      <c r="K1973" s="198">
        <f t="shared" si="242"/>
        <v>0</v>
      </c>
      <c r="L1973" s="198">
        <f>COUNTIF(J1973:K1973,"&lt;&gt;0")*-'Trading Model'!$E$15</f>
        <v>0</v>
      </c>
      <c r="M1973" s="198">
        <f t="shared" si="240"/>
        <v>0</v>
      </c>
      <c r="N1973" s="75">
        <f t="shared" si="243"/>
        <v>45</v>
      </c>
      <c r="O1973" s="202">
        <f t="shared" si="244"/>
        <v>0</v>
      </c>
      <c r="P1973" s="199">
        <f t="shared" si="241"/>
        <v>0</v>
      </c>
      <c r="Q1973" s="203">
        <f t="shared" si="245"/>
        <v>2.6000000000014056</v>
      </c>
      <c r="R1973" s="160" t="s">
        <v>55</v>
      </c>
      <c r="S1973" s="201">
        <f t="shared" si="246"/>
        <v>1.7248959873995551E-2</v>
      </c>
    </row>
    <row r="1974" spans="1:19">
      <c r="A1974" s="196">
        <v>42831</v>
      </c>
      <c r="B1974" s="122">
        <v>23.280000999999999</v>
      </c>
      <c r="C1974" s="122">
        <v>23.280000999999999</v>
      </c>
      <c r="D1974" s="122">
        <v>22.66</v>
      </c>
      <c r="E1974" s="122">
        <v>22.85</v>
      </c>
      <c r="F1974" s="122">
        <v>20.184092</v>
      </c>
      <c r="G1974" s="197">
        <v>95400</v>
      </c>
      <c r="H1974" s="198">
        <f>IF(AND(E1973&gt;=H1973,E1974&gt;=E1973),E1973*(1+'Trading Model'!$E$13),IF(AND(E1974&lt;E1973,E1973&gt;=H1973),E1974*(1+'Trading Model'!$E$13),H1973))</f>
        <v>27.698998950000004</v>
      </c>
      <c r="I1974" s="198">
        <f>IF(K1974&gt;0,E1974*(1-'Trading Model'!E1984),IF(E1974&lt;I1973,I1973*(1-'Trading Model'!$E$14),I1973))</f>
        <v>8.9840153609188427</v>
      </c>
      <c r="J1974" s="198">
        <f t="shared" si="247"/>
        <v>0</v>
      </c>
      <c r="K1974" s="198">
        <f t="shared" si="242"/>
        <v>0</v>
      </c>
      <c r="L1974" s="198">
        <f>COUNTIF(J1974:K1974,"&lt;&gt;0")*-'Trading Model'!$E$15</f>
        <v>0</v>
      </c>
      <c r="M1974" s="198">
        <f t="shared" si="240"/>
        <v>0</v>
      </c>
      <c r="N1974" s="75">
        <f t="shared" si="243"/>
        <v>45</v>
      </c>
      <c r="O1974" s="202">
        <f t="shared" si="244"/>
        <v>0</v>
      </c>
      <c r="P1974" s="199">
        <f t="shared" si="241"/>
        <v>0</v>
      </c>
      <c r="Q1974" s="203">
        <f t="shared" si="245"/>
        <v>2.5000000000014055</v>
      </c>
      <c r="R1974" s="203" t="s">
        <v>55</v>
      </c>
      <c r="S1974" s="201">
        <f t="shared" si="246"/>
        <v>-6.521739130434745E-3</v>
      </c>
    </row>
    <row r="1975" spans="1:19">
      <c r="A1975" s="196">
        <v>42832</v>
      </c>
      <c r="B1975" s="122">
        <v>22.83</v>
      </c>
      <c r="C1975" s="122">
        <v>23.27</v>
      </c>
      <c r="D1975" s="122">
        <v>22.65</v>
      </c>
      <c r="E1975" s="122">
        <v>22.799999</v>
      </c>
      <c r="F1975" s="122">
        <v>20.139923</v>
      </c>
      <c r="G1975" s="197">
        <v>82300</v>
      </c>
      <c r="H1975" s="198">
        <f>IF(AND(E1974&gt;=H1974,E1975&gt;=E1974),E1974*(1+'Trading Model'!$E$13),IF(AND(E1975&lt;E1974,E1974&gt;=H1974),E1975*(1+'Trading Model'!$E$13),H1974))</f>
        <v>27.698998950000004</v>
      </c>
      <c r="I1975" s="198">
        <f>IF(K1975&gt;0,E1975*(1-'Trading Model'!E1985),IF(E1975&lt;I1974,I1974*(1-'Trading Model'!$E$14),I1974))</f>
        <v>8.9840153609188427</v>
      </c>
      <c r="J1975" s="198">
        <f t="shared" si="247"/>
        <v>0</v>
      </c>
      <c r="K1975" s="198">
        <f t="shared" si="242"/>
        <v>0</v>
      </c>
      <c r="L1975" s="198">
        <f>COUNTIF(J1975:K1975,"&lt;&gt;0")*-'Trading Model'!$E$15</f>
        <v>0</v>
      </c>
      <c r="M1975" s="198">
        <f t="shared" si="240"/>
        <v>0</v>
      </c>
      <c r="N1975" s="75">
        <f t="shared" si="243"/>
        <v>45</v>
      </c>
      <c r="O1975" s="202">
        <f t="shared" si="244"/>
        <v>0</v>
      </c>
      <c r="P1975" s="199">
        <f t="shared" si="241"/>
        <v>0</v>
      </c>
      <c r="Q1975" s="203">
        <f t="shared" si="245"/>
        <v>2.4000000000014055</v>
      </c>
      <c r="R1975" s="203" t="s">
        <v>55</v>
      </c>
      <c r="S1975" s="201">
        <f t="shared" si="246"/>
        <v>-2.1882275711160304E-3</v>
      </c>
    </row>
    <row r="1976" spans="1:19">
      <c r="A1976" s="196">
        <v>42835</v>
      </c>
      <c r="B1976" s="122">
        <v>22.93</v>
      </c>
      <c r="C1976" s="122">
        <v>23.129999000000002</v>
      </c>
      <c r="D1976" s="122">
        <v>22.51</v>
      </c>
      <c r="E1976" s="122">
        <v>22.540001</v>
      </c>
      <c r="F1976" s="122">
        <v>19.910259</v>
      </c>
      <c r="G1976" s="197">
        <v>115900</v>
      </c>
      <c r="H1976" s="198">
        <f>IF(AND(E1975&gt;=H1975,E1976&gt;=E1975),E1975*(1+'Trading Model'!$E$13),IF(AND(E1976&lt;E1975,E1975&gt;=H1975),E1976*(1+'Trading Model'!$E$13),H1975))</f>
        <v>27.698998950000004</v>
      </c>
      <c r="I1976" s="198">
        <f>IF(K1976&gt;0,E1976*(1-'Trading Model'!E1986),IF(E1976&lt;I1975,I1975*(1-'Trading Model'!$E$14),I1975))</f>
        <v>8.9840153609188427</v>
      </c>
      <c r="J1976" s="198">
        <f t="shared" si="247"/>
        <v>0</v>
      </c>
      <c r="K1976" s="198">
        <f t="shared" si="242"/>
        <v>0</v>
      </c>
      <c r="L1976" s="198">
        <f>COUNTIF(J1976:K1976,"&lt;&gt;0")*-'Trading Model'!$E$15</f>
        <v>0</v>
      </c>
      <c r="M1976" s="198">
        <f t="shared" si="240"/>
        <v>0</v>
      </c>
      <c r="N1976" s="75">
        <f t="shared" si="243"/>
        <v>45</v>
      </c>
      <c r="O1976" s="202">
        <f t="shared" si="244"/>
        <v>0</v>
      </c>
      <c r="P1976" s="199">
        <f t="shared" si="241"/>
        <v>0</v>
      </c>
      <c r="Q1976" s="203">
        <f t="shared" si="245"/>
        <v>2.3000000000014054</v>
      </c>
      <c r="R1976" s="203" t="s">
        <v>55</v>
      </c>
      <c r="S1976" s="201">
        <f t="shared" si="246"/>
        <v>-1.1403421552781623E-2</v>
      </c>
    </row>
    <row r="1977" spans="1:19">
      <c r="A1977" s="196">
        <v>42836</v>
      </c>
      <c r="B1977" s="122">
        <v>22.469999000000001</v>
      </c>
      <c r="C1977" s="122">
        <v>22.709999</v>
      </c>
      <c r="D1977" s="122">
        <v>21.92</v>
      </c>
      <c r="E1977" s="122">
        <v>22.4</v>
      </c>
      <c r="F1977" s="122">
        <v>19.786591000000001</v>
      </c>
      <c r="G1977" s="197">
        <v>157000</v>
      </c>
      <c r="H1977" s="198">
        <f>IF(AND(E1976&gt;=H1976,E1977&gt;=E1976),E1976*(1+'Trading Model'!$E$13),IF(AND(E1977&lt;E1976,E1976&gt;=H1976),E1977*(1+'Trading Model'!$E$13),H1976))</f>
        <v>27.698998950000004</v>
      </c>
      <c r="I1977" s="198">
        <f>IF(K1977&gt;0,E1977*(1-'Trading Model'!E1987),IF(E1977&lt;I1976,I1976*(1-'Trading Model'!$E$14),I1976))</f>
        <v>8.9840153609188427</v>
      </c>
      <c r="J1977" s="198">
        <f t="shared" si="247"/>
        <v>0</v>
      </c>
      <c r="K1977" s="198">
        <f t="shared" si="242"/>
        <v>0</v>
      </c>
      <c r="L1977" s="198">
        <f>COUNTIF(J1977:K1977,"&lt;&gt;0")*-'Trading Model'!$E$15</f>
        <v>0</v>
      </c>
      <c r="M1977" s="198">
        <f t="shared" si="240"/>
        <v>0</v>
      </c>
      <c r="N1977" s="75">
        <f t="shared" si="243"/>
        <v>45</v>
      </c>
      <c r="O1977" s="202">
        <f t="shared" si="244"/>
        <v>0</v>
      </c>
      <c r="P1977" s="199">
        <f t="shared" si="241"/>
        <v>0</v>
      </c>
      <c r="Q1977" s="203">
        <f t="shared" si="245"/>
        <v>2.2000000000014053</v>
      </c>
      <c r="R1977" s="201">
        <f>E1977/B1973-1</f>
        <v>-1.7543816558939329E-2</v>
      </c>
      <c r="S1977" s="201">
        <f t="shared" si="246"/>
        <v>-6.2112242142314811E-3</v>
      </c>
    </row>
    <row r="1978" spans="1:19">
      <c r="A1978" s="196">
        <v>42837</v>
      </c>
      <c r="B1978" s="122">
        <v>22.42</v>
      </c>
      <c r="C1978" s="122">
        <v>22.549999</v>
      </c>
      <c r="D1978" s="122">
        <v>22.120000999999998</v>
      </c>
      <c r="E1978" s="122">
        <v>22.25</v>
      </c>
      <c r="F1978" s="122">
        <v>19.654091000000001</v>
      </c>
      <c r="G1978" s="197">
        <v>186600</v>
      </c>
      <c r="H1978" s="198">
        <f>IF(AND(E1977&gt;=H1977,E1978&gt;=E1977),E1977*(1+'Trading Model'!$E$13),IF(AND(E1978&lt;E1977,E1977&gt;=H1977),E1978*(1+'Trading Model'!$E$13),H1977))</f>
        <v>27.698998950000004</v>
      </c>
      <c r="I1978" s="198">
        <f>IF(K1978&gt;0,E1978*(1-'Trading Model'!E1988),IF(E1978&lt;I1977,I1977*(1-'Trading Model'!$E$14),I1977))</f>
        <v>8.9840153609188427</v>
      </c>
      <c r="J1978" s="198">
        <f t="shared" si="247"/>
        <v>0</v>
      </c>
      <c r="K1978" s="198">
        <f t="shared" si="242"/>
        <v>0</v>
      </c>
      <c r="L1978" s="198">
        <f>COUNTIF(J1978:K1978,"&lt;&gt;0")*-'Trading Model'!$E$15</f>
        <v>0</v>
      </c>
      <c r="M1978" s="198">
        <f t="shared" si="240"/>
        <v>0</v>
      </c>
      <c r="N1978" s="75">
        <f t="shared" si="243"/>
        <v>45</v>
      </c>
      <c r="O1978" s="202">
        <f t="shared" si="244"/>
        <v>0</v>
      </c>
      <c r="P1978" s="199">
        <f t="shared" si="241"/>
        <v>0</v>
      </c>
      <c r="Q1978" s="203">
        <f t="shared" si="245"/>
        <v>2.1000000000014052</v>
      </c>
      <c r="R1978" s="160" t="s">
        <v>55</v>
      </c>
      <c r="S1978" s="201">
        <f t="shared" si="246"/>
        <v>-6.6964285714284921E-3</v>
      </c>
    </row>
    <row r="1979" spans="1:19">
      <c r="A1979" s="196">
        <v>42838</v>
      </c>
      <c r="B1979" s="122">
        <v>22.110001</v>
      </c>
      <c r="C1979" s="122">
        <v>22.73</v>
      </c>
      <c r="D1979" s="122">
        <v>22.110001</v>
      </c>
      <c r="E1979" s="122">
        <v>22.32</v>
      </c>
      <c r="F1979" s="122">
        <v>19.715924999999999</v>
      </c>
      <c r="G1979" s="197">
        <v>79700</v>
      </c>
      <c r="H1979" s="198">
        <f>IF(AND(E1978&gt;=H1978,E1979&gt;=E1978),E1978*(1+'Trading Model'!$E$13),IF(AND(E1979&lt;E1978,E1978&gt;=H1978),E1979*(1+'Trading Model'!$E$13),H1978))</f>
        <v>27.698998950000004</v>
      </c>
      <c r="I1979" s="198">
        <f>IF(K1979&gt;0,E1979*(1-'Trading Model'!E1989),IF(E1979&lt;I1978,I1978*(1-'Trading Model'!$E$14),I1978))</f>
        <v>8.9840153609188427</v>
      </c>
      <c r="J1979" s="198">
        <f t="shared" si="247"/>
        <v>0</v>
      </c>
      <c r="K1979" s="198">
        <f t="shared" si="242"/>
        <v>0</v>
      </c>
      <c r="L1979" s="198">
        <f>COUNTIF(J1979:K1979,"&lt;&gt;0")*-'Trading Model'!$E$15</f>
        <v>0</v>
      </c>
      <c r="M1979" s="198">
        <f t="shared" si="240"/>
        <v>0</v>
      </c>
      <c r="N1979" s="75">
        <f t="shared" si="243"/>
        <v>45</v>
      </c>
      <c r="O1979" s="202">
        <f t="shared" si="244"/>
        <v>0</v>
      </c>
      <c r="P1979" s="199">
        <f t="shared" si="241"/>
        <v>0</v>
      </c>
      <c r="Q1979" s="203">
        <f t="shared" si="245"/>
        <v>2.1000000000014052</v>
      </c>
      <c r="R1979" s="203" t="s">
        <v>55</v>
      </c>
      <c r="S1979" s="201">
        <f t="shared" si="246"/>
        <v>3.1460674157304247E-3</v>
      </c>
    </row>
    <row r="1980" spans="1:19">
      <c r="A1980" s="196">
        <v>42842</v>
      </c>
      <c r="B1980" s="122">
        <v>22.299999</v>
      </c>
      <c r="C1980" s="122">
        <v>22.540001</v>
      </c>
      <c r="D1980" s="122">
        <v>22.18</v>
      </c>
      <c r="E1980" s="122">
        <v>22.370000999999998</v>
      </c>
      <c r="F1980" s="122">
        <v>19.760093999999999</v>
      </c>
      <c r="G1980" s="197">
        <v>42800</v>
      </c>
      <c r="H1980" s="198">
        <f>IF(AND(E1979&gt;=H1979,E1980&gt;=E1979),E1979*(1+'Trading Model'!$E$13),IF(AND(E1980&lt;E1979,E1979&gt;=H1979),E1980*(1+'Trading Model'!$E$13),H1979))</f>
        <v>27.698998950000004</v>
      </c>
      <c r="I1980" s="198">
        <f>IF(K1980&gt;0,E1980*(1-'Trading Model'!E1990),IF(E1980&lt;I1979,I1979*(1-'Trading Model'!$E$14),I1979))</f>
        <v>8.9840153609188427</v>
      </c>
      <c r="J1980" s="198">
        <f t="shared" si="247"/>
        <v>0</v>
      </c>
      <c r="K1980" s="198">
        <f t="shared" si="242"/>
        <v>0</v>
      </c>
      <c r="L1980" s="198">
        <f>COUNTIF(J1980:K1980,"&lt;&gt;0")*-'Trading Model'!$E$15</f>
        <v>0</v>
      </c>
      <c r="M1980" s="198">
        <f t="shared" si="240"/>
        <v>0</v>
      </c>
      <c r="N1980" s="75">
        <f t="shared" si="243"/>
        <v>45</v>
      </c>
      <c r="O1980" s="202">
        <f t="shared" si="244"/>
        <v>0</v>
      </c>
      <c r="P1980" s="199">
        <f t="shared" si="241"/>
        <v>0</v>
      </c>
      <c r="Q1980" s="203">
        <f t="shared" si="245"/>
        <v>2.1000000000014052</v>
      </c>
      <c r="R1980" s="203" t="s">
        <v>55</v>
      </c>
      <c r="S1980" s="201">
        <f t="shared" si="246"/>
        <v>2.2401881720428563E-3</v>
      </c>
    </row>
    <row r="1981" spans="1:19">
      <c r="A1981" s="196">
        <v>42843</v>
      </c>
      <c r="B1981" s="122">
        <v>22.370000999999998</v>
      </c>
      <c r="C1981" s="122">
        <v>23.5</v>
      </c>
      <c r="D1981" s="122">
        <v>22.280000999999999</v>
      </c>
      <c r="E1981" s="122">
        <v>22.34</v>
      </c>
      <c r="F1981" s="122">
        <v>19.733592999999999</v>
      </c>
      <c r="G1981" s="197">
        <v>98200</v>
      </c>
      <c r="H1981" s="198">
        <f>IF(AND(E1980&gt;=H1980,E1981&gt;=E1980),E1980*(1+'Trading Model'!$E$13),IF(AND(E1981&lt;E1980,E1980&gt;=H1980),E1981*(1+'Trading Model'!$E$13),H1980))</f>
        <v>27.698998950000004</v>
      </c>
      <c r="I1981" s="198">
        <f>IF(K1981&gt;0,E1981*(1-'Trading Model'!E1991),IF(E1981&lt;I1980,I1980*(1-'Trading Model'!$E$14),I1980))</f>
        <v>8.9840153609188427</v>
      </c>
      <c r="J1981" s="198">
        <f t="shared" si="247"/>
        <v>0</v>
      </c>
      <c r="K1981" s="198">
        <f t="shared" si="242"/>
        <v>0</v>
      </c>
      <c r="L1981" s="198">
        <f>COUNTIF(J1981:K1981,"&lt;&gt;0")*-'Trading Model'!$E$15</f>
        <v>0</v>
      </c>
      <c r="M1981" s="198">
        <f t="shared" si="240"/>
        <v>0</v>
      </c>
      <c r="N1981" s="75">
        <f t="shared" si="243"/>
        <v>45</v>
      </c>
      <c r="O1981" s="202">
        <f t="shared" si="244"/>
        <v>0</v>
      </c>
      <c r="P1981" s="199">
        <f t="shared" si="241"/>
        <v>0</v>
      </c>
      <c r="Q1981" s="203">
        <f t="shared" si="245"/>
        <v>2.0000000000014051</v>
      </c>
      <c r="R1981" s="203" t="s">
        <v>55</v>
      </c>
      <c r="S1981" s="201">
        <f t="shared" si="246"/>
        <v>-1.3411264487649399E-3</v>
      </c>
    </row>
    <row r="1982" spans="1:19">
      <c r="A1982" s="196">
        <v>42844</v>
      </c>
      <c r="B1982" s="122">
        <v>22.620000999999998</v>
      </c>
      <c r="C1982" s="122">
        <v>22.860001</v>
      </c>
      <c r="D1982" s="122">
        <v>22.42</v>
      </c>
      <c r="E1982" s="122">
        <v>22.43</v>
      </c>
      <c r="F1982" s="122">
        <v>19.813092999999999</v>
      </c>
      <c r="G1982" s="197">
        <v>210000</v>
      </c>
      <c r="H1982" s="198">
        <f>IF(AND(E1981&gt;=H1981,E1982&gt;=E1981),E1981*(1+'Trading Model'!$E$13),IF(AND(E1982&lt;E1981,E1981&gt;=H1981),E1982*(1+'Trading Model'!$E$13),H1981))</f>
        <v>27.698998950000004</v>
      </c>
      <c r="I1982" s="198">
        <f>IF(K1982&gt;0,E1982*(1-'Trading Model'!E1992),IF(E1982&lt;I1981,I1981*(1-'Trading Model'!$E$14),I1981))</f>
        <v>8.9840153609188427</v>
      </c>
      <c r="J1982" s="198">
        <f t="shared" si="247"/>
        <v>0</v>
      </c>
      <c r="K1982" s="198">
        <f t="shared" si="242"/>
        <v>0</v>
      </c>
      <c r="L1982" s="198">
        <f>COUNTIF(J1982:K1982,"&lt;&gt;0")*-'Trading Model'!$E$15</f>
        <v>0</v>
      </c>
      <c r="M1982" s="198">
        <f t="shared" si="240"/>
        <v>0</v>
      </c>
      <c r="N1982" s="75">
        <f t="shared" si="243"/>
        <v>45</v>
      </c>
      <c r="O1982" s="202">
        <f t="shared" si="244"/>
        <v>0</v>
      </c>
      <c r="P1982" s="199">
        <f t="shared" si="241"/>
        <v>0</v>
      </c>
      <c r="Q1982" s="203">
        <f t="shared" si="245"/>
        <v>2.0000000000014051</v>
      </c>
      <c r="R1982" s="201">
        <f>E1982/B1978-1</f>
        <v>4.46030330062408E-4</v>
      </c>
      <c r="S1982" s="201">
        <f t="shared" si="246"/>
        <v>4.0286481647269223E-3</v>
      </c>
    </row>
    <row r="1983" spans="1:19">
      <c r="A1983" s="196">
        <v>42845</v>
      </c>
      <c r="B1983" s="122">
        <v>22.76</v>
      </c>
      <c r="C1983" s="122">
        <v>22.959999</v>
      </c>
      <c r="D1983" s="122">
        <v>22.469999000000001</v>
      </c>
      <c r="E1983" s="122">
        <v>22.9</v>
      </c>
      <c r="F1983" s="122">
        <v>20.228255999999998</v>
      </c>
      <c r="G1983" s="197">
        <v>78700</v>
      </c>
      <c r="H1983" s="198">
        <f>IF(AND(E1982&gt;=H1982,E1983&gt;=E1982),E1982*(1+'Trading Model'!$E$13),IF(AND(E1983&lt;E1982,E1982&gt;=H1982),E1983*(1+'Trading Model'!$E$13),H1982))</f>
        <v>27.698998950000004</v>
      </c>
      <c r="I1983" s="198">
        <f>IF(K1983&gt;0,E1983*(1-'Trading Model'!E1993),IF(E1983&lt;I1982,I1982*(1-'Trading Model'!$E$14),I1982))</f>
        <v>8.9840153609188427</v>
      </c>
      <c r="J1983" s="198">
        <f t="shared" si="247"/>
        <v>0</v>
      </c>
      <c r="K1983" s="198">
        <f t="shared" si="242"/>
        <v>0</v>
      </c>
      <c r="L1983" s="198">
        <f>COUNTIF(J1983:K1983,"&lt;&gt;0")*-'Trading Model'!$E$15</f>
        <v>0</v>
      </c>
      <c r="M1983" s="198">
        <f t="shared" si="240"/>
        <v>0</v>
      </c>
      <c r="N1983" s="75">
        <f t="shared" si="243"/>
        <v>45</v>
      </c>
      <c r="O1983" s="202">
        <f t="shared" si="244"/>
        <v>0</v>
      </c>
      <c r="P1983" s="199">
        <f t="shared" si="241"/>
        <v>0</v>
      </c>
      <c r="Q1983" s="203">
        <f t="shared" si="245"/>
        <v>2.0000000000014051</v>
      </c>
      <c r="R1983" s="160" t="s">
        <v>55</v>
      </c>
      <c r="S1983" s="201">
        <f t="shared" si="246"/>
        <v>2.0954079358002531E-2</v>
      </c>
    </row>
    <row r="1984" spans="1:19">
      <c r="A1984" s="196">
        <v>42846</v>
      </c>
      <c r="B1984" s="122">
        <v>22.9</v>
      </c>
      <c r="C1984" s="122">
        <v>23.15</v>
      </c>
      <c r="D1984" s="122">
        <v>22.76</v>
      </c>
      <c r="E1984" s="122">
        <v>22.940000999999999</v>
      </c>
      <c r="F1984" s="122">
        <v>20.263591999999999</v>
      </c>
      <c r="G1984" s="197">
        <v>81500</v>
      </c>
      <c r="H1984" s="198">
        <f>IF(AND(E1983&gt;=H1983,E1984&gt;=E1983),E1983*(1+'Trading Model'!$E$13),IF(AND(E1984&lt;E1983,E1983&gt;=H1983),E1984*(1+'Trading Model'!$E$13),H1983))</f>
        <v>27.698998950000004</v>
      </c>
      <c r="I1984" s="198">
        <f>IF(K1984&gt;0,E1984*(1-'Trading Model'!E1994),IF(E1984&lt;I1983,I1983*(1-'Trading Model'!$E$14),I1983))</f>
        <v>8.9840153609188427</v>
      </c>
      <c r="J1984" s="198">
        <f t="shared" si="247"/>
        <v>0</v>
      </c>
      <c r="K1984" s="198">
        <f t="shared" si="242"/>
        <v>0</v>
      </c>
      <c r="L1984" s="198">
        <f>COUNTIF(J1984:K1984,"&lt;&gt;0")*-'Trading Model'!$E$15</f>
        <v>0</v>
      </c>
      <c r="M1984" s="198">
        <f t="shared" si="240"/>
        <v>0</v>
      </c>
      <c r="N1984" s="75">
        <f t="shared" si="243"/>
        <v>45</v>
      </c>
      <c r="O1984" s="202">
        <f t="shared" si="244"/>
        <v>0</v>
      </c>
      <c r="P1984" s="199">
        <f t="shared" si="241"/>
        <v>0</v>
      </c>
      <c r="Q1984" s="203">
        <f t="shared" si="245"/>
        <v>2.0000000000014051</v>
      </c>
      <c r="R1984" s="203" t="s">
        <v>55</v>
      </c>
      <c r="S1984" s="201">
        <f t="shared" si="246"/>
        <v>1.746768558952061E-3</v>
      </c>
    </row>
    <row r="1985" spans="1:19">
      <c r="A1985" s="196">
        <v>42849</v>
      </c>
      <c r="B1985" s="122">
        <v>23.370000999999998</v>
      </c>
      <c r="C1985" s="122">
        <v>23.370000999999998</v>
      </c>
      <c r="D1985" s="122">
        <v>22.889999</v>
      </c>
      <c r="E1985" s="122">
        <v>22.9</v>
      </c>
      <c r="F1985" s="122">
        <v>20.228255999999998</v>
      </c>
      <c r="G1985" s="197">
        <v>84600</v>
      </c>
      <c r="H1985" s="198">
        <f>IF(AND(E1984&gt;=H1984,E1985&gt;=E1984),E1984*(1+'Trading Model'!$E$13),IF(AND(E1985&lt;E1984,E1984&gt;=H1984),E1985*(1+'Trading Model'!$E$13),H1984))</f>
        <v>27.698998950000004</v>
      </c>
      <c r="I1985" s="198">
        <f>IF(K1985&gt;0,E1985*(1-'Trading Model'!E1995),IF(E1985&lt;I1984,I1984*(1-'Trading Model'!$E$14),I1984))</f>
        <v>8.9840153609188427</v>
      </c>
      <c r="J1985" s="198">
        <f t="shared" si="247"/>
        <v>0</v>
      </c>
      <c r="K1985" s="198">
        <f t="shared" si="242"/>
        <v>0</v>
      </c>
      <c r="L1985" s="198">
        <f>COUNTIF(J1985:K1985,"&lt;&gt;0")*-'Trading Model'!$E$15</f>
        <v>0</v>
      </c>
      <c r="M1985" s="198">
        <f t="shared" si="240"/>
        <v>0</v>
      </c>
      <c r="N1985" s="75">
        <f t="shared" si="243"/>
        <v>45</v>
      </c>
      <c r="O1985" s="202">
        <f t="shared" si="244"/>
        <v>0</v>
      </c>
      <c r="P1985" s="199">
        <f t="shared" si="241"/>
        <v>0</v>
      </c>
      <c r="Q1985" s="203">
        <f t="shared" si="245"/>
        <v>1.900000000001405</v>
      </c>
      <c r="R1985" s="203" t="s">
        <v>55</v>
      </c>
      <c r="S1985" s="201">
        <f t="shared" si="246"/>
        <v>-1.7437226790008031E-3</v>
      </c>
    </row>
    <row r="1986" spans="1:19">
      <c r="A1986" s="196">
        <v>42850</v>
      </c>
      <c r="B1986" s="122">
        <v>23.15</v>
      </c>
      <c r="C1986" s="122">
        <v>23.299999</v>
      </c>
      <c r="D1986" s="122">
        <v>22.889999</v>
      </c>
      <c r="E1986" s="122">
        <v>23.030000999999999</v>
      </c>
      <c r="F1986" s="122">
        <v>20.34309</v>
      </c>
      <c r="G1986" s="197">
        <v>90200</v>
      </c>
      <c r="H1986" s="198">
        <f>IF(AND(E1985&gt;=H1985,E1986&gt;=E1985),E1985*(1+'Trading Model'!$E$13),IF(AND(E1986&lt;E1985,E1985&gt;=H1985),E1986*(1+'Trading Model'!$E$13),H1985))</f>
        <v>27.698998950000004</v>
      </c>
      <c r="I1986" s="198">
        <f>IF(K1986&gt;0,E1986*(1-'Trading Model'!E1996),IF(E1986&lt;I1985,I1985*(1-'Trading Model'!$E$14),I1985))</f>
        <v>8.9840153609188427</v>
      </c>
      <c r="J1986" s="198">
        <f t="shared" si="247"/>
        <v>0</v>
      </c>
      <c r="K1986" s="198">
        <f t="shared" si="242"/>
        <v>0</v>
      </c>
      <c r="L1986" s="198">
        <f>COUNTIF(J1986:K1986,"&lt;&gt;0")*-'Trading Model'!$E$15</f>
        <v>0</v>
      </c>
      <c r="M1986" s="198">
        <f t="shared" si="240"/>
        <v>0</v>
      </c>
      <c r="N1986" s="75">
        <f t="shared" si="243"/>
        <v>45</v>
      </c>
      <c r="O1986" s="202">
        <f t="shared" si="244"/>
        <v>0</v>
      </c>
      <c r="P1986" s="199">
        <f t="shared" si="241"/>
        <v>0</v>
      </c>
      <c r="Q1986" s="203">
        <f t="shared" si="245"/>
        <v>1.900000000001405</v>
      </c>
      <c r="R1986" s="203" t="s">
        <v>55</v>
      </c>
      <c r="S1986" s="201">
        <f t="shared" si="246"/>
        <v>5.676899563318738E-3</v>
      </c>
    </row>
    <row r="1987" spans="1:19">
      <c r="A1987" s="196">
        <v>42851</v>
      </c>
      <c r="B1987" s="122">
        <v>23.07</v>
      </c>
      <c r="C1987" s="122">
        <v>23.280000999999999</v>
      </c>
      <c r="D1987" s="122">
        <v>22.84</v>
      </c>
      <c r="E1987" s="122">
        <v>23.07</v>
      </c>
      <c r="F1987" s="122">
        <v>20.378423999999999</v>
      </c>
      <c r="G1987" s="197">
        <v>75900</v>
      </c>
      <c r="H1987" s="198">
        <f>IF(AND(E1986&gt;=H1986,E1987&gt;=E1986),E1986*(1+'Trading Model'!$E$13),IF(AND(E1987&lt;E1986,E1986&gt;=H1986),E1987*(1+'Trading Model'!$E$13),H1986))</f>
        <v>27.698998950000004</v>
      </c>
      <c r="I1987" s="198">
        <f>IF(K1987&gt;0,E1987*(1-'Trading Model'!E1997),IF(E1987&lt;I1986,I1986*(1-'Trading Model'!$E$14),I1986))</f>
        <v>8.9840153609188427</v>
      </c>
      <c r="J1987" s="198">
        <f t="shared" si="247"/>
        <v>0</v>
      </c>
      <c r="K1987" s="198">
        <f t="shared" si="242"/>
        <v>0</v>
      </c>
      <c r="L1987" s="198">
        <f>COUNTIF(J1987:K1987,"&lt;&gt;0")*-'Trading Model'!$E$15</f>
        <v>0</v>
      </c>
      <c r="M1987" s="198">
        <f t="shared" ref="M1987:M2050" si="248">SUM(J1987:L1987)</f>
        <v>0</v>
      </c>
      <c r="N1987" s="75">
        <f t="shared" si="243"/>
        <v>45</v>
      </c>
      <c r="O1987" s="202">
        <f t="shared" si="244"/>
        <v>0</v>
      </c>
      <c r="P1987" s="199">
        <f t="shared" ref="P1987:P2050" si="249">IFERROR(VLOOKUP(A1987,Dividends,2,FALSE),$U$1)</f>
        <v>0</v>
      </c>
      <c r="Q1987" s="203">
        <f t="shared" si="245"/>
        <v>1.900000000001405</v>
      </c>
      <c r="R1987" s="201">
        <f>E1987/B1983-1</f>
        <v>1.3620386643233617E-2</v>
      </c>
      <c r="S1987" s="201">
        <f t="shared" si="246"/>
        <v>1.7368214617099476E-3</v>
      </c>
    </row>
    <row r="1988" spans="1:19">
      <c r="A1988" s="196">
        <v>42852</v>
      </c>
      <c r="B1988" s="122">
        <v>23.07</v>
      </c>
      <c r="C1988" s="122">
        <v>23.299999</v>
      </c>
      <c r="D1988" s="122">
        <v>22.85</v>
      </c>
      <c r="E1988" s="122">
        <v>23.16</v>
      </c>
      <c r="F1988" s="122">
        <v>20.457922</v>
      </c>
      <c r="G1988" s="197">
        <v>99800</v>
      </c>
      <c r="H1988" s="198">
        <f>IF(AND(E1987&gt;=H1987,E1988&gt;=E1987),E1987*(1+'Trading Model'!$E$13),IF(AND(E1988&lt;E1987,E1987&gt;=H1987),E1988*(1+'Trading Model'!$E$13),H1987))</f>
        <v>27.698998950000004</v>
      </c>
      <c r="I1988" s="198">
        <f>IF(K1988&gt;0,E1988*(1-'Trading Model'!E1998),IF(E1988&lt;I1987,I1987*(1-'Trading Model'!$E$14),I1987))</f>
        <v>8.9840153609188427</v>
      </c>
      <c r="J1988" s="198">
        <f t="shared" si="247"/>
        <v>0</v>
      </c>
      <c r="K1988" s="198">
        <f t="shared" ref="K1988:K2051" si="250">IF(E1988&gt;=H1988,E1988,0)</f>
        <v>0</v>
      </c>
      <c r="L1988" s="198">
        <f>COUNTIF(J1988:K1988,"&lt;&gt;0")*-'Trading Model'!$E$15</f>
        <v>0</v>
      </c>
      <c r="M1988" s="198">
        <f t="shared" si="248"/>
        <v>0</v>
      </c>
      <c r="N1988" s="75">
        <f t="shared" ref="N1988:N2051" si="251">IF(AND(J1988&lt;0,K1988&gt;0),N1987,(IF(J1988&lt;0,N1987+1,IF(K1988&gt;0,N1987+1,N1987))))</f>
        <v>45</v>
      </c>
      <c r="O1988" s="202">
        <f t="shared" ref="O1988:O2051" si="252">P1988</f>
        <v>0</v>
      </c>
      <c r="P1988" s="199">
        <f t="shared" si="249"/>
        <v>0</v>
      </c>
      <c r="Q1988" s="203">
        <f t="shared" ref="Q1988:Q2051" si="253">IF(E1988&lt;E1987,Q1987-0.1,Q1987)</f>
        <v>1.900000000001405</v>
      </c>
      <c r="R1988" s="160" t="s">
        <v>55</v>
      </c>
      <c r="S1988" s="201">
        <f t="shared" ref="S1988:S2051" si="254">E1988/E1987-1</f>
        <v>3.9011703511053764E-3</v>
      </c>
    </row>
    <row r="1989" spans="1:19">
      <c r="A1989" s="196">
        <v>42853</v>
      </c>
      <c r="B1989" s="122">
        <v>23.25</v>
      </c>
      <c r="C1989" s="122">
        <v>23.25</v>
      </c>
      <c r="D1989" s="122">
        <v>22.34</v>
      </c>
      <c r="E1989" s="122">
        <v>22.66</v>
      </c>
      <c r="F1989" s="122">
        <v>20.016255999999998</v>
      </c>
      <c r="G1989" s="197">
        <v>171800</v>
      </c>
      <c r="H1989" s="198">
        <f>IF(AND(E1988&gt;=H1988,E1989&gt;=E1988),E1988*(1+'Trading Model'!$E$13),IF(AND(E1989&lt;E1988,E1988&gt;=H1988),E1989*(1+'Trading Model'!$E$13),H1988))</f>
        <v>27.698998950000004</v>
      </c>
      <c r="I1989" s="198">
        <f>IF(K1989&gt;0,E1989*(1-'Trading Model'!E1999),IF(E1989&lt;I1988,I1988*(1-'Trading Model'!$E$14),I1988))</f>
        <v>8.9840153609188427</v>
      </c>
      <c r="J1989" s="198">
        <f t="shared" ref="J1989:J2052" si="255">IF(E1989&gt;=H1989,-E1989,IF(E1989&lt;=I1988,-E1989,0))</f>
        <v>0</v>
      </c>
      <c r="K1989" s="198">
        <f t="shared" si="250"/>
        <v>0</v>
      </c>
      <c r="L1989" s="198">
        <f>COUNTIF(J1989:K1989,"&lt;&gt;0")*-'Trading Model'!$E$15</f>
        <v>0</v>
      </c>
      <c r="M1989" s="198">
        <f t="shared" si="248"/>
        <v>0</v>
      </c>
      <c r="N1989" s="75">
        <f t="shared" si="251"/>
        <v>45</v>
      </c>
      <c r="O1989" s="202">
        <f t="shared" si="252"/>
        <v>0</v>
      </c>
      <c r="P1989" s="199">
        <f t="shared" si="249"/>
        <v>0</v>
      </c>
      <c r="Q1989" s="203">
        <f t="shared" si="253"/>
        <v>1.8000000000014049</v>
      </c>
      <c r="R1989" s="203" t="s">
        <v>55</v>
      </c>
      <c r="S1989" s="201">
        <f t="shared" si="254"/>
        <v>-2.1588946459412783E-2</v>
      </c>
    </row>
    <row r="1990" spans="1:19">
      <c r="A1990" s="196">
        <v>42856</v>
      </c>
      <c r="B1990" s="122">
        <v>22.709999</v>
      </c>
      <c r="C1990" s="122">
        <v>23.1</v>
      </c>
      <c r="D1990" s="122">
        <v>22.620000999999998</v>
      </c>
      <c r="E1990" s="122">
        <v>22.75</v>
      </c>
      <c r="F1990" s="122">
        <v>20.095758</v>
      </c>
      <c r="G1990" s="197">
        <v>43800</v>
      </c>
      <c r="H1990" s="198">
        <f>IF(AND(E1989&gt;=H1989,E1990&gt;=E1989),E1989*(1+'Trading Model'!$E$13),IF(AND(E1990&lt;E1989,E1989&gt;=H1989),E1990*(1+'Trading Model'!$E$13),H1989))</f>
        <v>27.698998950000004</v>
      </c>
      <c r="I1990" s="198">
        <f>IF(K1990&gt;0,E1990*(1-'Trading Model'!E2000),IF(E1990&lt;I1989,I1989*(1-'Trading Model'!$E$14),I1989))</f>
        <v>8.9840153609188427</v>
      </c>
      <c r="J1990" s="198">
        <f t="shared" si="255"/>
        <v>0</v>
      </c>
      <c r="K1990" s="198">
        <f t="shared" si="250"/>
        <v>0</v>
      </c>
      <c r="L1990" s="198">
        <f>COUNTIF(J1990:K1990,"&lt;&gt;0")*-'Trading Model'!$E$15</f>
        <v>0</v>
      </c>
      <c r="M1990" s="198">
        <f t="shared" si="248"/>
        <v>0</v>
      </c>
      <c r="N1990" s="75">
        <f t="shared" si="251"/>
        <v>45</v>
      </c>
      <c r="O1990" s="202">
        <f t="shared" si="252"/>
        <v>0</v>
      </c>
      <c r="P1990" s="199">
        <f t="shared" si="249"/>
        <v>0</v>
      </c>
      <c r="Q1990" s="203">
        <f t="shared" si="253"/>
        <v>1.8000000000014049</v>
      </c>
      <c r="R1990" s="203" t="s">
        <v>55</v>
      </c>
      <c r="S1990" s="201">
        <f t="shared" si="254"/>
        <v>3.9717563989407623E-3</v>
      </c>
    </row>
    <row r="1991" spans="1:19">
      <c r="A1991" s="196">
        <v>42857</v>
      </c>
      <c r="B1991" s="122">
        <v>22.790001</v>
      </c>
      <c r="C1991" s="122">
        <v>23.84</v>
      </c>
      <c r="D1991" s="122">
        <v>22.700001</v>
      </c>
      <c r="E1991" s="122">
        <v>23.66</v>
      </c>
      <c r="F1991" s="122">
        <v>20.899588000000001</v>
      </c>
      <c r="G1991" s="197">
        <v>129500</v>
      </c>
      <c r="H1991" s="198">
        <f>IF(AND(E1990&gt;=H1990,E1991&gt;=E1990),E1990*(1+'Trading Model'!$E$13),IF(AND(E1991&lt;E1990,E1990&gt;=H1990),E1991*(1+'Trading Model'!$E$13),H1990))</f>
        <v>27.698998950000004</v>
      </c>
      <c r="I1991" s="198">
        <f>IF(K1991&gt;0,E1991*(1-'Trading Model'!E2001),IF(E1991&lt;I1990,I1990*(1-'Trading Model'!$E$14),I1990))</f>
        <v>8.9840153609188427</v>
      </c>
      <c r="J1991" s="198">
        <f t="shared" si="255"/>
        <v>0</v>
      </c>
      <c r="K1991" s="198">
        <f t="shared" si="250"/>
        <v>0</v>
      </c>
      <c r="L1991" s="198">
        <f>COUNTIF(J1991:K1991,"&lt;&gt;0")*-'Trading Model'!$E$15</f>
        <v>0</v>
      </c>
      <c r="M1991" s="198">
        <f t="shared" si="248"/>
        <v>0</v>
      </c>
      <c r="N1991" s="75">
        <f t="shared" si="251"/>
        <v>45</v>
      </c>
      <c r="O1991" s="202">
        <f t="shared" si="252"/>
        <v>0</v>
      </c>
      <c r="P1991" s="199">
        <f t="shared" si="249"/>
        <v>0</v>
      </c>
      <c r="Q1991" s="203">
        <f t="shared" si="253"/>
        <v>1.8000000000014049</v>
      </c>
      <c r="R1991" s="203" t="s">
        <v>55</v>
      </c>
      <c r="S1991" s="201">
        <f t="shared" si="254"/>
        <v>4.0000000000000036E-2</v>
      </c>
    </row>
    <row r="1992" spans="1:19">
      <c r="A1992" s="196">
        <v>42858</v>
      </c>
      <c r="B1992" s="122">
        <v>23.75</v>
      </c>
      <c r="C1992" s="122">
        <v>24.219999000000001</v>
      </c>
      <c r="D1992" s="122">
        <v>23.42</v>
      </c>
      <c r="E1992" s="122">
        <v>24.1</v>
      </c>
      <c r="F1992" s="122">
        <v>21.288253999999998</v>
      </c>
      <c r="G1992" s="197">
        <v>273900</v>
      </c>
      <c r="H1992" s="198">
        <f>IF(AND(E1991&gt;=H1991,E1992&gt;=E1991),E1991*(1+'Trading Model'!$E$13),IF(AND(E1992&lt;E1991,E1991&gt;=H1991),E1992*(1+'Trading Model'!$E$13),H1991))</f>
        <v>27.698998950000004</v>
      </c>
      <c r="I1992" s="198">
        <f>IF(K1992&gt;0,E1992*(1-'Trading Model'!E2002),IF(E1992&lt;I1991,I1991*(1-'Trading Model'!$E$14),I1991))</f>
        <v>8.9840153609188427</v>
      </c>
      <c r="J1992" s="198">
        <f t="shared" si="255"/>
        <v>0</v>
      </c>
      <c r="K1992" s="198">
        <f t="shared" si="250"/>
        <v>0</v>
      </c>
      <c r="L1992" s="198">
        <f>COUNTIF(J1992:K1992,"&lt;&gt;0")*-'Trading Model'!$E$15</f>
        <v>0</v>
      </c>
      <c r="M1992" s="198">
        <f t="shared" si="248"/>
        <v>0</v>
      </c>
      <c r="N1992" s="75">
        <f t="shared" si="251"/>
        <v>45</v>
      </c>
      <c r="O1992" s="202">
        <f t="shared" si="252"/>
        <v>0</v>
      </c>
      <c r="P1992" s="199">
        <f t="shared" si="249"/>
        <v>0</v>
      </c>
      <c r="Q1992" s="203">
        <f t="shared" si="253"/>
        <v>1.8000000000014049</v>
      </c>
      <c r="R1992" s="201">
        <f>E1992/B1988-1</f>
        <v>4.464672735153874E-2</v>
      </c>
      <c r="S1992" s="201">
        <f t="shared" si="254"/>
        <v>1.8596787827557026E-2</v>
      </c>
    </row>
    <row r="1993" spans="1:19">
      <c r="A1993" s="196">
        <v>42859</v>
      </c>
      <c r="B1993" s="122">
        <v>24.200001</v>
      </c>
      <c r="C1993" s="122">
        <v>24.41</v>
      </c>
      <c r="D1993" s="122">
        <v>23.65</v>
      </c>
      <c r="E1993" s="122">
        <v>23.889999</v>
      </c>
      <c r="F1993" s="122">
        <v>21.102754999999998</v>
      </c>
      <c r="G1993" s="197">
        <v>106700</v>
      </c>
      <c r="H1993" s="198">
        <f>IF(AND(E1992&gt;=H1992,E1993&gt;=E1992),E1992*(1+'Trading Model'!$E$13),IF(AND(E1993&lt;E1992,E1992&gt;=H1992),E1993*(1+'Trading Model'!$E$13),H1992))</f>
        <v>27.698998950000004</v>
      </c>
      <c r="I1993" s="198">
        <f>IF(K1993&gt;0,E1993*(1-'Trading Model'!E2003),IF(E1993&lt;I1992,I1992*(1-'Trading Model'!$E$14),I1992))</f>
        <v>8.9840153609188427</v>
      </c>
      <c r="J1993" s="198">
        <f t="shared" si="255"/>
        <v>0</v>
      </c>
      <c r="K1993" s="198">
        <f t="shared" si="250"/>
        <v>0</v>
      </c>
      <c r="L1993" s="198">
        <f>COUNTIF(J1993:K1993,"&lt;&gt;0")*-'Trading Model'!$E$15</f>
        <v>0</v>
      </c>
      <c r="M1993" s="198">
        <f t="shared" si="248"/>
        <v>0</v>
      </c>
      <c r="N1993" s="75">
        <f t="shared" si="251"/>
        <v>45</v>
      </c>
      <c r="O1993" s="202">
        <f t="shared" si="252"/>
        <v>0</v>
      </c>
      <c r="P1993" s="199">
        <f t="shared" si="249"/>
        <v>0</v>
      </c>
      <c r="Q1993" s="203">
        <f t="shared" si="253"/>
        <v>1.7000000000014048</v>
      </c>
      <c r="R1993" s="160" t="s">
        <v>55</v>
      </c>
      <c r="S1993" s="201">
        <f t="shared" si="254"/>
        <v>-8.7137344398341421E-3</v>
      </c>
    </row>
    <row r="1994" spans="1:19">
      <c r="A1994" s="196">
        <v>42860</v>
      </c>
      <c r="B1994" s="122">
        <v>23.99</v>
      </c>
      <c r="C1994" s="122">
        <v>24.1</v>
      </c>
      <c r="D1994" s="122">
        <v>23.68</v>
      </c>
      <c r="E1994" s="122">
        <v>23.9</v>
      </c>
      <c r="F1994" s="122">
        <v>21.111585999999999</v>
      </c>
      <c r="G1994" s="197">
        <v>92900</v>
      </c>
      <c r="H1994" s="198">
        <f>IF(AND(E1993&gt;=H1993,E1994&gt;=E1993),E1993*(1+'Trading Model'!$E$13),IF(AND(E1994&lt;E1993,E1993&gt;=H1993),E1994*(1+'Trading Model'!$E$13),H1993))</f>
        <v>27.698998950000004</v>
      </c>
      <c r="I1994" s="198">
        <f>IF(K1994&gt;0,E1994*(1-'Trading Model'!E2004),IF(E1994&lt;I1993,I1993*(1-'Trading Model'!$E$14),I1993))</f>
        <v>8.9840153609188427</v>
      </c>
      <c r="J1994" s="198">
        <f t="shared" si="255"/>
        <v>0</v>
      </c>
      <c r="K1994" s="198">
        <f t="shared" si="250"/>
        <v>0</v>
      </c>
      <c r="L1994" s="198">
        <f>COUNTIF(J1994:K1994,"&lt;&gt;0")*-'Trading Model'!$E$15</f>
        <v>0</v>
      </c>
      <c r="M1994" s="198">
        <f t="shared" si="248"/>
        <v>0</v>
      </c>
      <c r="N1994" s="75">
        <f t="shared" si="251"/>
        <v>45</v>
      </c>
      <c r="O1994" s="202">
        <f t="shared" si="252"/>
        <v>0</v>
      </c>
      <c r="P1994" s="199">
        <f t="shared" si="249"/>
        <v>0</v>
      </c>
      <c r="Q1994" s="203">
        <f t="shared" si="253"/>
        <v>1.7000000000014048</v>
      </c>
      <c r="R1994" s="203" t="s">
        <v>55</v>
      </c>
      <c r="S1994" s="201">
        <f t="shared" si="254"/>
        <v>4.1862705812589773E-4</v>
      </c>
    </row>
    <row r="1995" spans="1:19">
      <c r="A1995" s="196">
        <v>42863</v>
      </c>
      <c r="B1995" s="122">
        <v>24.059999000000001</v>
      </c>
      <c r="C1995" s="122">
        <v>24.440000999999999</v>
      </c>
      <c r="D1995" s="122">
        <v>23.73</v>
      </c>
      <c r="E1995" s="122">
        <v>23.889999</v>
      </c>
      <c r="F1995" s="122">
        <v>21.102754999999998</v>
      </c>
      <c r="G1995" s="197">
        <v>50600</v>
      </c>
      <c r="H1995" s="198">
        <f>IF(AND(E1994&gt;=H1994,E1995&gt;=E1994),E1994*(1+'Trading Model'!$E$13),IF(AND(E1995&lt;E1994,E1994&gt;=H1994),E1995*(1+'Trading Model'!$E$13),H1994))</f>
        <v>27.698998950000004</v>
      </c>
      <c r="I1995" s="198">
        <f>IF(K1995&gt;0,E1995*(1-'Trading Model'!E2005),IF(E1995&lt;I1994,I1994*(1-'Trading Model'!$E$14),I1994))</f>
        <v>8.9840153609188427</v>
      </c>
      <c r="J1995" s="198">
        <f t="shared" si="255"/>
        <v>0</v>
      </c>
      <c r="K1995" s="198">
        <f t="shared" si="250"/>
        <v>0</v>
      </c>
      <c r="L1995" s="198">
        <f>COUNTIF(J1995:K1995,"&lt;&gt;0")*-'Trading Model'!$E$15</f>
        <v>0</v>
      </c>
      <c r="M1995" s="198">
        <f t="shared" si="248"/>
        <v>0</v>
      </c>
      <c r="N1995" s="75">
        <f t="shared" si="251"/>
        <v>45</v>
      </c>
      <c r="O1995" s="202">
        <f t="shared" si="252"/>
        <v>0</v>
      </c>
      <c r="P1995" s="199">
        <f t="shared" si="249"/>
        <v>0</v>
      </c>
      <c r="Q1995" s="203">
        <f t="shared" si="253"/>
        <v>1.6000000000014047</v>
      </c>
      <c r="R1995" s="203" t="s">
        <v>55</v>
      </c>
      <c r="S1995" s="201">
        <f t="shared" si="254"/>
        <v>-4.1845188284517221E-4</v>
      </c>
    </row>
    <row r="1996" spans="1:19">
      <c r="A1996" s="196">
        <v>42864</v>
      </c>
      <c r="B1996" s="122">
        <v>23.98</v>
      </c>
      <c r="C1996" s="122">
        <v>24.110001</v>
      </c>
      <c r="D1996" s="122">
        <v>23.67</v>
      </c>
      <c r="E1996" s="122">
        <v>23.75</v>
      </c>
      <c r="F1996" s="122">
        <v>20.979088000000001</v>
      </c>
      <c r="G1996" s="197">
        <v>56500</v>
      </c>
      <c r="H1996" s="198">
        <f>IF(AND(E1995&gt;=H1995,E1996&gt;=E1995),E1995*(1+'Trading Model'!$E$13),IF(AND(E1996&lt;E1995,E1995&gt;=H1995),E1996*(1+'Trading Model'!$E$13),H1995))</f>
        <v>27.698998950000004</v>
      </c>
      <c r="I1996" s="198">
        <f>IF(K1996&gt;0,E1996*(1-'Trading Model'!E2006),IF(E1996&lt;I1995,I1995*(1-'Trading Model'!$E$14),I1995))</f>
        <v>8.9840153609188427</v>
      </c>
      <c r="J1996" s="198">
        <f t="shared" si="255"/>
        <v>0</v>
      </c>
      <c r="K1996" s="198">
        <f t="shared" si="250"/>
        <v>0</v>
      </c>
      <c r="L1996" s="198">
        <f>COUNTIF(J1996:K1996,"&lt;&gt;0")*-'Trading Model'!$E$15</f>
        <v>0</v>
      </c>
      <c r="M1996" s="198">
        <f t="shared" si="248"/>
        <v>0</v>
      </c>
      <c r="N1996" s="75">
        <f t="shared" si="251"/>
        <v>45</v>
      </c>
      <c r="O1996" s="202">
        <f t="shared" si="252"/>
        <v>0</v>
      </c>
      <c r="P1996" s="199">
        <f t="shared" si="249"/>
        <v>0</v>
      </c>
      <c r="Q1996" s="203">
        <f t="shared" si="253"/>
        <v>1.5000000000014047</v>
      </c>
      <c r="R1996" s="203" t="s">
        <v>55</v>
      </c>
      <c r="S1996" s="201">
        <f t="shared" si="254"/>
        <v>-5.8601509359628157E-3</v>
      </c>
    </row>
    <row r="1997" spans="1:19">
      <c r="A1997" s="196">
        <v>42865</v>
      </c>
      <c r="B1997" s="122">
        <v>23.690000999999999</v>
      </c>
      <c r="C1997" s="122">
        <v>23.99</v>
      </c>
      <c r="D1997" s="122">
        <v>23.629999000000002</v>
      </c>
      <c r="E1997" s="122">
        <v>23.75</v>
      </c>
      <c r="F1997" s="122">
        <v>20.979088000000001</v>
      </c>
      <c r="G1997" s="197">
        <v>136800</v>
      </c>
      <c r="H1997" s="198">
        <f>IF(AND(E1996&gt;=H1996,E1997&gt;=E1996),E1996*(1+'Trading Model'!$E$13),IF(AND(E1997&lt;E1996,E1996&gt;=H1996),E1997*(1+'Trading Model'!$E$13),H1996))</f>
        <v>27.698998950000004</v>
      </c>
      <c r="I1997" s="198">
        <f>IF(K1997&gt;0,E1997*(1-'Trading Model'!E2007),IF(E1997&lt;I1996,I1996*(1-'Trading Model'!$E$14),I1996))</f>
        <v>8.9840153609188427</v>
      </c>
      <c r="J1997" s="198">
        <f t="shared" si="255"/>
        <v>0</v>
      </c>
      <c r="K1997" s="198">
        <f t="shared" si="250"/>
        <v>0</v>
      </c>
      <c r="L1997" s="198">
        <f>COUNTIF(J1997:K1997,"&lt;&gt;0")*-'Trading Model'!$E$15</f>
        <v>0</v>
      </c>
      <c r="M1997" s="198">
        <f t="shared" si="248"/>
        <v>0</v>
      </c>
      <c r="N1997" s="75">
        <f t="shared" si="251"/>
        <v>45</v>
      </c>
      <c r="O1997" s="202">
        <f t="shared" si="252"/>
        <v>0</v>
      </c>
      <c r="P1997" s="199">
        <f t="shared" si="249"/>
        <v>0</v>
      </c>
      <c r="Q1997" s="203">
        <f t="shared" si="253"/>
        <v>1.5000000000014047</v>
      </c>
      <c r="R1997" s="201">
        <f>E1997/B1993-1</f>
        <v>-1.8595081876236264E-2</v>
      </c>
      <c r="S1997" s="201">
        <f t="shared" si="254"/>
        <v>0</v>
      </c>
    </row>
    <row r="1998" spans="1:19">
      <c r="A1998" s="196">
        <v>42866</v>
      </c>
      <c r="B1998" s="122">
        <v>23.620000999999998</v>
      </c>
      <c r="C1998" s="122">
        <v>24.440000999999999</v>
      </c>
      <c r="D1998" s="122">
        <v>23.620000999999998</v>
      </c>
      <c r="E1998" s="122">
        <v>24.360001</v>
      </c>
      <c r="F1998" s="122">
        <v>21.51792</v>
      </c>
      <c r="G1998" s="197">
        <v>142000</v>
      </c>
      <c r="H1998" s="198">
        <f>IF(AND(E1997&gt;=H1997,E1998&gt;=E1997),E1997*(1+'Trading Model'!$E$13),IF(AND(E1998&lt;E1997,E1997&gt;=H1997),E1998*(1+'Trading Model'!$E$13),H1997))</f>
        <v>27.698998950000004</v>
      </c>
      <c r="I1998" s="198">
        <f>IF(K1998&gt;0,E1998*(1-'Trading Model'!E2008),IF(E1998&lt;I1997,I1997*(1-'Trading Model'!$E$14),I1997))</f>
        <v>8.9840153609188427</v>
      </c>
      <c r="J1998" s="198">
        <f t="shared" si="255"/>
        <v>0</v>
      </c>
      <c r="K1998" s="198">
        <f t="shared" si="250"/>
        <v>0</v>
      </c>
      <c r="L1998" s="198">
        <f>COUNTIF(J1998:K1998,"&lt;&gt;0")*-'Trading Model'!$E$15</f>
        <v>0</v>
      </c>
      <c r="M1998" s="198">
        <f t="shared" si="248"/>
        <v>0</v>
      </c>
      <c r="N1998" s="75">
        <f t="shared" si="251"/>
        <v>45</v>
      </c>
      <c r="O1998" s="202">
        <f t="shared" si="252"/>
        <v>0</v>
      </c>
      <c r="P1998" s="199">
        <f t="shared" si="249"/>
        <v>0</v>
      </c>
      <c r="Q1998" s="203">
        <f t="shared" si="253"/>
        <v>1.5000000000014047</v>
      </c>
      <c r="R1998" s="160" t="s">
        <v>55</v>
      </c>
      <c r="S1998" s="201">
        <f t="shared" si="254"/>
        <v>2.568425263157903E-2</v>
      </c>
    </row>
    <row r="1999" spans="1:19">
      <c r="A1999" s="196">
        <v>42867</v>
      </c>
      <c r="B1999" s="122">
        <v>24.34</v>
      </c>
      <c r="C1999" s="122">
        <v>24.790001</v>
      </c>
      <c r="D1999" s="122">
        <v>24.209999</v>
      </c>
      <c r="E1999" s="122">
        <v>24.57</v>
      </c>
      <c r="F1999" s="122">
        <v>21.703419</v>
      </c>
      <c r="G1999" s="197">
        <v>109600</v>
      </c>
      <c r="H1999" s="198">
        <f>IF(AND(E1998&gt;=H1998,E1999&gt;=E1998),E1998*(1+'Trading Model'!$E$13),IF(AND(E1999&lt;E1998,E1998&gt;=H1998),E1999*(1+'Trading Model'!$E$13),H1998))</f>
        <v>27.698998950000004</v>
      </c>
      <c r="I1999" s="198">
        <f>IF(K1999&gt;0,E1999*(1-'Trading Model'!E2009),IF(E1999&lt;I1998,I1998*(1-'Trading Model'!$E$14),I1998))</f>
        <v>8.9840153609188427</v>
      </c>
      <c r="J1999" s="198">
        <f t="shared" si="255"/>
        <v>0</v>
      </c>
      <c r="K1999" s="198">
        <f t="shared" si="250"/>
        <v>0</v>
      </c>
      <c r="L1999" s="198">
        <f>COUNTIF(J1999:K1999,"&lt;&gt;0")*-'Trading Model'!$E$15</f>
        <v>0</v>
      </c>
      <c r="M1999" s="198">
        <f t="shared" si="248"/>
        <v>0</v>
      </c>
      <c r="N1999" s="75">
        <f t="shared" si="251"/>
        <v>45</v>
      </c>
      <c r="O1999" s="202">
        <f t="shared" si="252"/>
        <v>0</v>
      </c>
      <c r="P1999" s="199">
        <f t="shared" si="249"/>
        <v>0</v>
      </c>
      <c r="Q1999" s="203">
        <f t="shared" si="253"/>
        <v>1.5000000000014047</v>
      </c>
      <c r="R1999" s="203" t="s">
        <v>55</v>
      </c>
      <c r="S1999" s="201">
        <f t="shared" si="254"/>
        <v>8.6206482503838888E-3</v>
      </c>
    </row>
    <row r="2000" spans="1:19">
      <c r="A2000" s="196">
        <v>42870</v>
      </c>
      <c r="B2000" s="122">
        <v>24.950001</v>
      </c>
      <c r="C2000" s="122">
        <v>25.969999000000001</v>
      </c>
      <c r="D2000" s="122">
        <v>24.950001</v>
      </c>
      <c r="E2000" s="122">
        <v>24.99</v>
      </c>
      <c r="F2000" s="122">
        <v>22.074417</v>
      </c>
      <c r="G2000" s="197">
        <v>480000</v>
      </c>
      <c r="H2000" s="198">
        <f>IF(AND(E1999&gt;=H1999,E2000&gt;=E1999),E1999*(1+'Trading Model'!$E$13),IF(AND(E2000&lt;E1999,E1999&gt;=H1999),E2000*(1+'Trading Model'!$E$13),H1999))</f>
        <v>27.698998950000004</v>
      </c>
      <c r="I2000" s="198">
        <f>IF(K2000&gt;0,E2000*(1-'Trading Model'!E2010),IF(E2000&lt;I1999,I1999*(1-'Trading Model'!$E$14),I1999))</f>
        <v>8.9840153609188427</v>
      </c>
      <c r="J2000" s="198">
        <f t="shared" si="255"/>
        <v>0</v>
      </c>
      <c r="K2000" s="198">
        <f t="shared" si="250"/>
        <v>0</v>
      </c>
      <c r="L2000" s="198">
        <f>COUNTIF(J2000:K2000,"&lt;&gt;0")*-'Trading Model'!$E$15</f>
        <v>0</v>
      </c>
      <c r="M2000" s="198">
        <f t="shared" si="248"/>
        <v>0</v>
      </c>
      <c r="N2000" s="75">
        <f t="shared" si="251"/>
        <v>45</v>
      </c>
      <c r="O2000" s="202">
        <f t="shared" si="252"/>
        <v>0</v>
      </c>
      <c r="P2000" s="199">
        <f t="shared" si="249"/>
        <v>0</v>
      </c>
      <c r="Q2000" s="203">
        <f t="shared" si="253"/>
        <v>1.5000000000014047</v>
      </c>
      <c r="R2000" s="203" t="s">
        <v>55</v>
      </c>
      <c r="S2000" s="201">
        <f t="shared" si="254"/>
        <v>1.7094017094017033E-2</v>
      </c>
    </row>
    <row r="2001" spans="1:19">
      <c r="A2001" s="196">
        <v>42871</v>
      </c>
      <c r="B2001" s="122">
        <v>25.379999000000002</v>
      </c>
      <c r="C2001" s="122">
        <v>25.700001</v>
      </c>
      <c r="D2001" s="122">
        <v>24.68</v>
      </c>
      <c r="E2001" s="122">
        <v>24.940000999999999</v>
      </c>
      <c r="F2001" s="122">
        <v>22.030251</v>
      </c>
      <c r="G2001" s="197">
        <v>184900</v>
      </c>
      <c r="H2001" s="198">
        <f>IF(AND(E2000&gt;=H2000,E2001&gt;=E2000),E2000*(1+'Trading Model'!$E$13),IF(AND(E2001&lt;E2000,E2000&gt;=H2000),E2001*(1+'Trading Model'!$E$13),H2000))</f>
        <v>27.698998950000004</v>
      </c>
      <c r="I2001" s="198">
        <f>IF(K2001&gt;0,E2001*(1-'Trading Model'!E2011),IF(E2001&lt;I2000,I2000*(1-'Trading Model'!$E$14),I2000))</f>
        <v>8.9840153609188427</v>
      </c>
      <c r="J2001" s="198">
        <f t="shared" si="255"/>
        <v>0</v>
      </c>
      <c r="K2001" s="198">
        <f t="shared" si="250"/>
        <v>0</v>
      </c>
      <c r="L2001" s="198">
        <f>COUNTIF(J2001:K2001,"&lt;&gt;0")*-'Trading Model'!$E$15</f>
        <v>0</v>
      </c>
      <c r="M2001" s="198">
        <f t="shared" si="248"/>
        <v>0</v>
      </c>
      <c r="N2001" s="75">
        <f t="shared" si="251"/>
        <v>45</v>
      </c>
      <c r="O2001" s="202">
        <f t="shared" si="252"/>
        <v>0</v>
      </c>
      <c r="P2001" s="199">
        <f t="shared" si="249"/>
        <v>0</v>
      </c>
      <c r="Q2001" s="203">
        <f t="shared" si="253"/>
        <v>1.4000000000014046</v>
      </c>
      <c r="R2001" s="203" t="s">
        <v>55</v>
      </c>
      <c r="S2001" s="201">
        <f t="shared" si="254"/>
        <v>-2.0007603041216626E-3</v>
      </c>
    </row>
    <row r="2002" spans="1:19">
      <c r="A2002" s="196">
        <v>42872</v>
      </c>
      <c r="B2002" s="122">
        <v>24.6</v>
      </c>
      <c r="C2002" s="122">
        <v>24.91</v>
      </c>
      <c r="D2002" s="122">
        <v>24.299999</v>
      </c>
      <c r="E2002" s="122">
        <v>24.34</v>
      </c>
      <c r="F2002" s="122">
        <v>21.500252</v>
      </c>
      <c r="G2002" s="197">
        <v>192000</v>
      </c>
      <c r="H2002" s="198">
        <f>IF(AND(E2001&gt;=H2001,E2002&gt;=E2001),E2001*(1+'Trading Model'!$E$13),IF(AND(E2002&lt;E2001,E2001&gt;=H2001),E2002*(1+'Trading Model'!$E$13),H2001))</f>
        <v>27.698998950000004</v>
      </c>
      <c r="I2002" s="198">
        <f>IF(K2002&gt;0,E2002*(1-'Trading Model'!E2012),IF(E2002&lt;I2001,I2001*(1-'Trading Model'!$E$14),I2001))</f>
        <v>8.9840153609188427</v>
      </c>
      <c r="J2002" s="198">
        <f t="shared" si="255"/>
        <v>0</v>
      </c>
      <c r="K2002" s="198">
        <f t="shared" si="250"/>
        <v>0</v>
      </c>
      <c r="L2002" s="198">
        <f>COUNTIF(J2002:K2002,"&lt;&gt;0")*-'Trading Model'!$E$15</f>
        <v>0</v>
      </c>
      <c r="M2002" s="198">
        <f t="shared" si="248"/>
        <v>0</v>
      </c>
      <c r="N2002" s="75">
        <f t="shared" si="251"/>
        <v>45</v>
      </c>
      <c r="O2002" s="202">
        <f t="shared" si="252"/>
        <v>0</v>
      </c>
      <c r="P2002" s="199">
        <f t="shared" si="249"/>
        <v>0</v>
      </c>
      <c r="Q2002" s="203">
        <f t="shared" si="253"/>
        <v>1.3000000000014045</v>
      </c>
      <c r="R2002" s="201">
        <f>E2002/B1998-1</f>
        <v>3.0482598201414302E-2</v>
      </c>
      <c r="S2002" s="201">
        <f t="shared" si="254"/>
        <v>-2.4057777704178829E-2</v>
      </c>
    </row>
    <row r="2003" spans="1:19">
      <c r="A2003" s="196">
        <v>42873</v>
      </c>
      <c r="B2003" s="122">
        <v>23.969999000000001</v>
      </c>
      <c r="C2003" s="122">
        <v>24.030000999999999</v>
      </c>
      <c r="D2003" s="122">
        <v>23.299999</v>
      </c>
      <c r="E2003" s="122">
        <v>23.700001</v>
      </c>
      <c r="F2003" s="122">
        <v>20.934923000000001</v>
      </c>
      <c r="G2003" s="197">
        <v>147000</v>
      </c>
      <c r="H2003" s="198">
        <f>IF(AND(E2002&gt;=H2002,E2003&gt;=E2002),E2002*(1+'Trading Model'!$E$13),IF(AND(E2003&lt;E2002,E2002&gt;=H2002),E2003*(1+'Trading Model'!$E$13),H2002))</f>
        <v>27.698998950000004</v>
      </c>
      <c r="I2003" s="198">
        <f>IF(K2003&gt;0,E2003*(1-'Trading Model'!E2013),IF(E2003&lt;I2002,I2002*(1-'Trading Model'!$E$14),I2002))</f>
        <v>8.9840153609188427</v>
      </c>
      <c r="J2003" s="198">
        <f t="shared" si="255"/>
        <v>0</v>
      </c>
      <c r="K2003" s="198">
        <f t="shared" si="250"/>
        <v>0</v>
      </c>
      <c r="L2003" s="198">
        <f>COUNTIF(J2003:K2003,"&lt;&gt;0")*-'Trading Model'!$E$15</f>
        <v>0</v>
      </c>
      <c r="M2003" s="198">
        <f t="shared" si="248"/>
        <v>0</v>
      </c>
      <c r="N2003" s="75">
        <f t="shared" si="251"/>
        <v>45</v>
      </c>
      <c r="O2003" s="202">
        <f t="shared" si="252"/>
        <v>0</v>
      </c>
      <c r="P2003" s="199">
        <f t="shared" si="249"/>
        <v>0</v>
      </c>
      <c r="Q2003" s="203">
        <f t="shared" si="253"/>
        <v>1.2000000000014044</v>
      </c>
      <c r="R2003" s="160" t="s">
        <v>55</v>
      </c>
      <c r="S2003" s="201">
        <f t="shared" si="254"/>
        <v>-2.629412489728844E-2</v>
      </c>
    </row>
    <row r="2004" spans="1:19">
      <c r="A2004" s="196">
        <v>42874</v>
      </c>
      <c r="B2004" s="122">
        <v>23.700001</v>
      </c>
      <c r="C2004" s="122">
        <v>24.6</v>
      </c>
      <c r="D2004" s="122">
        <v>23.700001</v>
      </c>
      <c r="E2004" s="122">
        <v>24.34</v>
      </c>
      <c r="F2004" s="122">
        <v>21.500252</v>
      </c>
      <c r="G2004" s="197">
        <v>214600</v>
      </c>
      <c r="H2004" s="198">
        <f>IF(AND(E2003&gt;=H2003,E2004&gt;=E2003),E2003*(1+'Trading Model'!$E$13),IF(AND(E2004&lt;E2003,E2003&gt;=H2003),E2004*(1+'Trading Model'!$E$13),H2003))</f>
        <v>27.698998950000004</v>
      </c>
      <c r="I2004" s="198">
        <f>IF(K2004&gt;0,E2004*(1-'Trading Model'!E2014),IF(E2004&lt;I2003,I2003*(1-'Trading Model'!$E$14),I2003))</f>
        <v>8.9840153609188427</v>
      </c>
      <c r="J2004" s="198">
        <f t="shared" si="255"/>
        <v>0</v>
      </c>
      <c r="K2004" s="198">
        <f t="shared" si="250"/>
        <v>0</v>
      </c>
      <c r="L2004" s="198">
        <f>COUNTIF(J2004:K2004,"&lt;&gt;0")*-'Trading Model'!$E$15</f>
        <v>0</v>
      </c>
      <c r="M2004" s="198">
        <f t="shared" si="248"/>
        <v>0</v>
      </c>
      <c r="N2004" s="75">
        <f t="shared" si="251"/>
        <v>45</v>
      </c>
      <c r="O2004" s="202">
        <f t="shared" si="252"/>
        <v>0</v>
      </c>
      <c r="P2004" s="199">
        <f t="shared" si="249"/>
        <v>0</v>
      </c>
      <c r="Q2004" s="203">
        <f t="shared" si="253"/>
        <v>1.2000000000014044</v>
      </c>
      <c r="R2004" s="203" t="s">
        <v>55</v>
      </c>
      <c r="S2004" s="201">
        <f t="shared" si="254"/>
        <v>2.7004176075773101E-2</v>
      </c>
    </row>
    <row r="2005" spans="1:19">
      <c r="A2005" s="196">
        <v>42877</v>
      </c>
      <c r="B2005" s="122">
        <v>24.219999000000001</v>
      </c>
      <c r="C2005" s="122">
        <v>24.700001</v>
      </c>
      <c r="D2005" s="122">
        <v>24.16</v>
      </c>
      <c r="E2005" s="122">
        <v>24.27</v>
      </c>
      <c r="F2005" s="122">
        <v>21.438419</v>
      </c>
      <c r="G2005" s="197">
        <v>90100</v>
      </c>
      <c r="H2005" s="198">
        <f>IF(AND(E2004&gt;=H2004,E2005&gt;=E2004),E2004*(1+'Trading Model'!$E$13),IF(AND(E2005&lt;E2004,E2004&gt;=H2004),E2005*(1+'Trading Model'!$E$13),H2004))</f>
        <v>27.698998950000004</v>
      </c>
      <c r="I2005" s="198">
        <f>IF(K2005&gt;0,E2005*(1-'Trading Model'!E2015),IF(E2005&lt;I2004,I2004*(1-'Trading Model'!$E$14),I2004))</f>
        <v>8.9840153609188427</v>
      </c>
      <c r="J2005" s="198">
        <f t="shared" si="255"/>
        <v>0</v>
      </c>
      <c r="K2005" s="198">
        <f t="shared" si="250"/>
        <v>0</v>
      </c>
      <c r="L2005" s="198">
        <f>COUNTIF(J2005:K2005,"&lt;&gt;0")*-'Trading Model'!$E$15</f>
        <v>0</v>
      </c>
      <c r="M2005" s="198">
        <f t="shared" si="248"/>
        <v>0</v>
      </c>
      <c r="N2005" s="75">
        <f t="shared" si="251"/>
        <v>45</v>
      </c>
      <c r="O2005" s="202">
        <f t="shared" si="252"/>
        <v>0</v>
      </c>
      <c r="P2005" s="199">
        <f t="shared" si="249"/>
        <v>0</v>
      </c>
      <c r="Q2005" s="203">
        <f t="shared" si="253"/>
        <v>1.1000000000014043</v>
      </c>
      <c r="R2005" s="203" t="s">
        <v>55</v>
      </c>
      <c r="S2005" s="201">
        <f t="shared" si="254"/>
        <v>-2.8759244042728671E-3</v>
      </c>
    </row>
    <row r="2006" spans="1:19">
      <c r="A2006" s="196">
        <v>42878</v>
      </c>
      <c r="B2006" s="122">
        <v>24.290001</v>
      </c>
      <c r="C2006" s="122">
        <v>24.49</v>
      </c>
      <c r="D2006" s="122">
        <v>23.98</v>
      </c>
      <c r="E2006" s="122">
        <v>23.99</v>
      </c>
      <c r="F2006" s="122">
        <v>21.191088000000001</v>
      </c>
      <c r="G2006" s="197">
        <v>111100</v>
      </c>
      <c r="H2006" s="198">
        <f>IF(AND(E2005&gt;=H2005,E2006&gt;=E2005),E2005*(1+'Trading Model'!$E$13),IF(AND(E2006&lt;E2005,E2005&gt;=H2005),E2006*(1+'Trading Model'!$E$13),H2005))</f>
        <v>27.698998950000004</v>
      </c>
      <c r="I2006" s="198">
        <f>IF(K2006&gt;0,E2006*(1-'Trading Model'!E2016),IF(E2006&lt;I2005,I2005*(1-'Trading Model'!$E$14),I2005))</f>
        <v>8.9840153609188427</v>
      </c>
      <c r="J2006" s="198">
        <f t="shared" si="255"/>
        <v>0</v>
      </c>
      <c r="K2006" s="198">
        <f t="shared" si="250"/>
        <v>0</v>
      </c>
      <c r="L2006" s="198">
        <f>COUNTIF(J2006:K2006,"&lt;&gt;0")*-'Trading Model'!$E$15</f>
        <v>0</v>
      </c>
      <c r="M2006" s="198">
        <f t="shared" si="248"/>
        <v>0</v>
      </c>
      <c r="N2006" s="75">
        <f t="shared" si="251"/>
        <v>45</v>
      </c>
      <c r="O2006" s="202">
        <f t="shared" si="252"/>
        <v>0</v>
      </c>
      <c r="P2006" s="199">
        <f t="shared" si="249"/>
        <v>0</v>
      </c>
      <c r="Q2006" s="203">
        <f t="shared" si="253"/>
        <v>1.0000000000014042</v>
      </c>
      <c r="R2006" s="203" t="s">
        <v>55</v>
      </c>
      <c r="S2006" s="201">
        <f t="shared" si="254"/>
        <v>-1.1536876802637042E-2</v>
      </c>
    </row>
    <row r="2007" spans="1:19">
      <c r="A2007" s="196">
        <v>42879</v>
      </c>
      <c r="B2007" s="122">
        <v>24.18</v>
      </c>
      <c r="C2007" s="122">
        <v>24.26</v>
      </c>
      <c r="D2007" s="122">
        <v>23.58</v>
      </c>
      <c r="E2007" s="122">
        <v>24.26</v>
      </c>
      <c r="F2007" s="122">
        <v>21.429586</v>
      </c>
      <c r="G2007" s="197">
        <v>74900</v>
      </c>
      <c r="H2007" s="198">
        <f>IF(AND(E2006&gt;=H2006,E2007&gt;=E2006),E2006*(1+'Trading Model'!$E$13),IF(AND(E2007&lt;E2006,E2006&gt;=H2006),E2007*(1+'Trading Model'!$E$13),H2006))</f>
        <v>27.698998950000004</v>
      </c>
      <c r="I2007" s="198">
        <f>IF(K2007&gt;0,E2007*(1-'Trading Model'!E2017),IF(E2007&lt;I2006,I2006*(1-'Trading Model'!$E$14),I2006))</f>
        <v>8.9840153609188427</v>
      </c>
      <c r="J2007" s="198">
        <f t="shared" si="255"/>
        <v>0</v>
      </c>
      <c r="K2007" s="198">
        <f t="shared" si="250"/>
        <v>0</v>
      </c>
      <c r="L2007" s="198">
        <f>COUNTIF(J2007:K2007,"&lt;&gt;0")*-'Trading Model'!$E$15</f>
        <v>0</v>
      </c>
      <c r="M2007" s="198">
        <f t="shared" si="248"/>
        <v>0</v>
      </c>
      <c r="N2007" s="75">
        <f t="shared" si="251"/>
        <v>45</v>
      </c>
      <c r="O2007" s="202">
        <f t="shared" si="252"/>
        <v>0</v>
      </c>
      <c r="P2007" s="199">
        <f t="shared" si="249"/>
        <v>0</v>
      </c>
      <c r="Q2007" s="203">
        <f t="shared" si="253"/>
        <v>1.0000000000014042</v>
      </c>
      <c r="R2007" s="201">
        <f>E2007/B2003-1</f>
        <v>1.2098498627388432E-2</v>
      </c>
      <c r="S2007" s="201">
        <f t="shared" si="254"/>
        <v>1.125468945393937E-2</v>
      </c>
    </row>
    <row r="2008" spans="1:19">
      <c r="A2008" s="196">
        <v>42880</v>
      </c>
      <c r="B2008" s="122">
        <v>24.379999000000002</v>
      </c>
      <c r="C2008" s="122">
        <v>24.860001</v>
      </c>
      <c r="D2008" s="122">
        <v>24.379999000000002</v>
      </c>
      <c r="E2008" s="122">
        <v>24.49</v>
      </c>
      <c r="F2008" s="122">
        <v>21.632750999999999</v>
      </c>
      <c r="G2008" s="197">
        <v>33000</v>
      </c>
      <c r="H2008" s="198">
        <f>IF(AND(E2007&gt;=H2007,E2008&gt;=E2007),E2007*(1+'Trading Model'!$E$13),IF(AND(E2008&lt;E2007,E2007&gt;=H2007),E2008*(1+'Trading Model'!$E$13),H2007))</f>
        <v>27.698998950000004</v>
      </c>
      <c r="I2008" s="198">
        <f>IF(K2008&gt;0,E2008*(1-'Trading Model'!E2018),IF(E2008&lt;I2007,I2007*(1-'Trading Model'!$E$14),I2007))</f>
        <v>8.9840153609188427</v>
      </c>
      <c r="J2008" s="198">
        <f t="shared" si="255"/>
        <v>0</v>
      </c>
      <c r="K2008" s="198">
        <f t="shared" si="250"/>
        <v>0</v>
      </c>
      <c r="L2008" s="198">
        <f>COUNTIF(J2008:K2008,"&lt;&gt;0")*-'Trading Model'!$E$15</f>
        <v>0</v>
      </c>
      <c r="M2008" s="198">
        <f t="shared" si="248"/>
        <v>0</v>
      </c>
      <c r="N2008" s="75">
        <f t="shared" si="251"/>
        <v>45</v>
      </c>
      <c r="O2008" s="202">
        <f t="shared" si="252"/>
        <v>0</v>
      </c>
      <c r="P2008" s="199">
        <f t="shared" si="249"/>
        <v>0</v>
      </c>
      <c r="Q2008" s="203">
        <f t="shared" si="253"/>
        <v>1.0000000000014042</v>
      </c>
      <c r="R2008" s="160" t="s">
        <v>55</v>
      </c>
      <c r="S2008" s="201">
        <f t="shared" si="254"/>
        <v>9.4806265457541006E-3</v>
      </c>
    </row>
    <row r="2009" spans="1:19">
      <c r="A2009" s="196">
        <v>42881</v>
      </c>
      <c r="B2009" s="122">
        <v>24.620000999999998</v>
      </c>
      <c r="C2009" s="122">
        <v>25.49</v>
      </c>
      <c r="D2009" s="122">
        <v>24.32</v>
      </c>
      <c r="E2009" s="122">
        <v>25.07</v>
      </c>
      <c r="F2009" s="122">
        <v>22.145081999999999</v>
      </c>
      <c r="G2009" s="197">
        <v>221200</v>
      </c>
      <c r="H2009" s="198">
        <f>IF(AND(E2008&gt;=H2008,E2009&gt;=E2008),E2008*(1+'Trading Model'!$E$13),IF(AND(E2009&lt;E2008,E2008&gt;=H2008),E2009*(1+'Trading Model'!$E$13),H2008))</f>
        <v>27.698998950000004</v>
      </c>
      <c r="I2009" s="198">
        <f>IF(K2009&gt;0,E2009*(1-'Trading Model'!E2019),IF(E2009&lt;I2008,I2008*(1-'Trading Model'!$E$14),I2008))</f>
        <v>8.9840153609188427</v>
      </c>
      <c r="J2009" s="198">
        <f t="shared" si="255"/>
        <v>0</v>
      </c>
      <c r="K2009" s="198">
        <f t="shared" si="250"/>
        <v>0</v>
      </c>
      <c r="L2009" s="198">
        <f>COUNTIF(J2009:K2009,"&lt;&gt;0")*-'Trading Model'!$E$15</f>
        <v>0</v>
      </c>
      <c r="M2009" s="198">
        <f t="shared" si="248"/>
        <v>0</v>
      </c>
      <c r="N2009" s="75">
        <f t="shared" si="251"/>
        <v>45</v>
      </c>
      <c r="O2009" s="202">
        <f t="shared" si="252"/>
        <v>0</v>
      </c>
      <c r="P2009" s="199">
        <f t="shared" si="249"/>
        <v>0</v>
      </c>
      <c r="Q2009" s="203">
        <f t="shared" si="253"/>
        <v>1.0000000000014042</v>
      </c>
      <c r="R2009" s="203" t="s">
        <v>55</v>
      </c>
      <c r="S2009" s="201">
        <f t="shared" si="254"/>
        <v>2.3683135973866953E-2</v>
      </c>
    </row>
    <row r="2010" spans="1:19">
      <c r="A2010" s="196">
        <v>42885</v>
      </c>
      <c r="B2010" s="122">
        <v>25.35</v>
      </c>
      <c r="C2010" s="122">
        <v>25.6</v>
      </c>
      <c r="D2010" s="122">
        <v>25.290001</v>
      </c>
      <c r="E2010" s="122">
        <v>25.360001</v>
      </c>
      <c r="F2010" s="122">
        <v>22.401249</v>
      </c>
      <c r="G2010" s="197">
        <v>287800</v>
      </c>
      <c r="H2010" s="198">
        <f>IF(AND(E2009&gt;=H2009,E2010&gt;=E2009),E2009*(1+'Trading Model'!$E$13),IF(AND(E2010&lt;E2009,E2009&gt;=H2009),E2010*(1+'Trading Model'!$E$13),H2009))</f>
        <v>27.698998950000004</v>
      </c>
      <c r="I2010" s="198">
        <f>IF(K2010&gt;0,E2010*(1-'Trading Model'!E2020),IF(E2010&lt;I2009,I2009*(1-'Trading Model'!$E$14),I2009))</f>
        <v>8.9840153609188427</v>
      </c>
      <c r="J2010" s="198">
        <f t="shared" si="255"/>
        <v>0</v>
      </c>
      <c r="K2010" s="198">
        <f t="shared" si="250"/>
        <v>0</v>
      </c>
      <c r="L2010" s="198">
        <f>COUNTIF(J2010:K2010,"&lt;&gt;0")*-'Trading Model'!$E$15</f>
        <v>0</v>
      </c>
      <c r="M2010" s="198">
        <f t="shared" si="248"/>
        <v>0</v>
      </c>
      <c r="N2010" s="75">
        <f t="shared" si="251"/>
        <v>45</v>
      </c>
      <c r="O2010" s="202">
        <f t="shared" si="252"/>
        <v>0</v>
      </c>
      <c r="P2010" s="199">
        <f t="shared" si="249"/>
        <v>0</v>
      </c>
      <c r="Q2010" s="203">
        <f t="shared" si="253"/>
        <v>1.0000000000014042</v>
      </c>
      <c r="R2010" s="203" t="s">
        <v>55</v>
      </c>
      <c r="S2010" s="201">
        <f t="shared" si="254"/>
        <v>1.1567650578380606E-2</v>
      </c>
    </row>
    <row r="2011" spans="1:19">
      <c r="A2011" s="196">
        <v>42886</v>
      </c>
      <c r="B2011" s="122">
        <v>25.41</v>
      </c>
      <c r="C2011" s="122">
        <v>25.940000999999999</v>
      </c>
      <c r="D2011" s="122">
        <v>25.41</v>
      </c>
      <c r="E2011" s="122">
        <v>25.77</v>
      </c>
      <c r="F2011" s="122">
        <v>22.763415999999999</v>
      </c>
      <c r="G2011" s="197">
        <v>152700</v>
      </c>
      <c r="H2011" s="198">
        <f>IF(AND(E2010&gt;=H2010,E2011&gt;=E2010),E2010*(1+'Trading Model'!$E$13),IF(AND(E2011&lt;E2010,E2010&gt;=H2010),E2011*(1+'Trading Model'!$E$13),H2010))</f>
        <v>27.698998950000004</v>
      </c>
      <c r="I2011" s="198">
        <f>IF(K2011&gt;0,E2011*(1-'Trading Model'!E2021),IF(E2011&lt;I2010,I2010*(1-'Trading Model'!$E$14),I2010))</f>
        <v>8.9840153609188427</v>
      </c>
      <c r="J2011" s="198">
        <f t="shared" si="255"/>
        <v>0</v>
      </c>
      <c r="K2011" s="198">
        <f t="shared" si="250"/>
        <v>0</v>
      </c>
      <c r="L2011" s="198">
        <f>COUNTIF(J2011:K2011,"&lt;&gt;0")*-'Trading Model'!$E$15</f>
        <v>0</v>
      </c>
      <c r="M2011" s="198">
        <f t="shared" si="248"/>
        <v>0</v>
      </c>
      <c r="N2011" s="75">
        <f t="shared" si="251"/>
        <v>45</v>
      </c>
      <c r="O2011" s="202">
        <f t="shared" si="252"/>
        <v>0</v>
      </c>
      <c r="P2011" s="199">
        <f t="shared" si="249"/>
        <v>0</v>
      </c>
      <c r="Q2011" s="203">
        <f t="shared" si="253"/>
        <v>1.0000000000014042</v>
      </c>
      <c r="R2011" s="203" t="s">
        <v>55</v>
      </c>
      <c r="S2011" s="201">
        <f t="shared" si="254"/>
        <v>1.616715235933941E-2</v>
      </c>
    </row>
    <row r="2012" spans="1:19">
      <c r="A2012" s="196">
        <v>42887</v>
      </c>
      <c r="B2012" s="122">
        <v>25.799999</v>
      </c>
      <c r="C2012" s="122">
        <v>26.049999</v>
      </c>
      <c r="D2012" s="122">
        <v>25.52</v>
      </c>
      <c r="E2012" s="122">
        <v>25.84</v>
      </c>
      <c r="F2012" s="122">
        <v>22.825247000000001</v>
      </c>
      <c r="G2012" s="197">
        <v>105200</v>
      </c>
      <c r="H2012" s="198">
        <f>IF(AND(E2011&gt;=H2011,E2012&gt;=E2011),E2011*(1+'Trading Model'!$E$13),IF(AND(E2012&lt;E2011,E2011&gt;=H2011),E2012*(1+'Trading Model'!$E$13),H2011))</f>
        <v>27.698998950000004</v>
      </c>
      <c r="I2012" s="198">
        <f>IF(K2012&gt;0,E2012*(1-'Trading Model'!E2022),IF(E2012&lt;I2011,I2011*(1-'Trading Model'!$E$14),I2011))</f>
        <v>8.9840153609188427</v>
      </c>
      <c r="J2012" s="198">
        <f t="shared" si="255"/>
        <v>0</v>
      </c>
      <c r="K2012" s="198">
        <f t="shared" si="250"/>
        <v>0</v>
      </c>
      <c r="L2012" s="198">
        <f>COUNTIF(J2012:K2012,"&lt;&gt;0")*-'Trading Model'!$E$15</f>
        <v>0</v>
      </c>
      <c r="M2012" s="198">
        <f t="shared" si="248"/>
        <v>0</v>
      </c>
      <c r="N2012" s="75">
        <f t="shared" si="251"/>
        <v>45</v>
      </c>
      <c r="O2012" s="202">
        <f t="shared" si="252"/>
        <v>0</v>
      </c>
      <c r="P2012" s="199">
        <f t="shared" si="249"/>
        <v>0</v>
      </c>
      <c r="Q2012" s="203">
        <f t="shared" si="253"/>
        <v>1.0000000000014042</v>
      </c>
      <c r="R2012" s="201">
        <f>E2012/B2008-1</f>
        <v>5.9885195237292521E-2</v>
      </c>
      <c r="S2012" s="201">
        <f t="shared" si="254"/>
        <v>2.7163368257663301E-3</v>
      </c>
    </row>
    <row r="2013" spans="1:19">
      <c r="A2013" s="196">
        <v>42888</v>
      </c>
      <c r="B2013" s="122">
        <v>25.74</v>
      </c>
      <c r="C2013" s="122">
        <v>25.99</v>
      </c>
      <c r="D2013" s="122">
        <v>25.459999</v>
      </c>
      <c r="E2013" s="122">
        <v>25.74</v>
      </c>
      <c r="F2013" s="122">
        <v>22.736913999999999</v>
      </c>
      <c r="G2013" s="197">
        <v>145100</v>
      </c>
      <c r="H2013" s="198">
        <f>IF(AND(E2012&gt;=H2012,E2013&gt;=E2012),E2012*(1+'Trading Model'!$E$13),IF(AND(E2013&lt;E2012,E2012&gt;=H2012),E2013*(1+'Trading Model'!$E$13),H2012))</f>
        <v>27.698998950000004</v>
      </c>
      <c r="I2013" s="198">
        <f>IF(K2013&gt;0,E2013*(1-'Trading Model'!E2023),IF(E2013&lt;I2012,I2012*(1-'Trading Model'!$E$14),I2012))</f>
        <v>8.9840153609188427</v>
      </c>
      <c r="J2013" s="198">
        <f t="shared" si="255"/>
        <v>0</v>
      </c>
      <c r="K2013" s="198">
        <f t="shared" si="250"/>
        <v>0</v>
      </c>
      <c r="L2013" s="198">
        <f>COUNTIF(J2013:K2013,"&lt;&gt;0")*-'Trading Model'!$E$15</f>
        <v>0</v>
      </c>
      <c r="M2013" s="198">
        <f t="shared" si="248"/>
        <v>0</v>
      </c>
      <c r="N2013" s="75">
        <f t="shared" si="251"/>
        <v>45</v>
      </c>
      <c r="O2013" s="202">
        <f t="shared" si="252"/>
        <v>0</v>
      </c>
      <c r="P2013" s="199">
        <f t="shared" si="249"/>
        <v>0</v>
      </c>
      <c r="Q2013" s="203">
        <f t="shared" si="253"/>
        <v>0.90000000000140423</v>
      </c>
      <c r="R2013" s="160" t="s">
        <v>55</v>
      </c>
      <c r="S2013" s="201">
        <f t="shared" si="254"/>
        <v>-3.8699690402477227E-3</v>
      </c>
    </row>
    <row r="2014" spans="1:19">
      <c r="A2014" s="196">
        <v>42891</v>
      </c>
      <c r="B2014" s="122">
        <v>25.799999</v>
      </c>
      <c r="C2014" s="122">
        <v>25.91</v>
      </c>
      <c r="D2014" s="122">
        <v>25.360001</v>
      </c>
      <c r="E2014" s="122">
        <v>25.4</v>
      </c>
      <c r="F2014" s="122">
        <v>22.436582999999999</v>
      </c>
      <c r="G2014" s="197">
        <v>52100</v>
      </c>
      <c r="H2014" s="198">
        <f>IF(AND(E2013&gt;=H2013,E2014&gt;=E2013),E2013*(1+'Trading Model'!$E$13),IF(AND(E2014&lt;E2013,E2013&gt;=H2013),E2014*(1+'Trading Model'!$E$13),H2013))</f>
        <v>27.698998950000004</v>
      </c>
      <c r="I2014" s="198">
        <f>IF(K2014&gt;0,E2014*(1-'Trading Model'!E2024),IF(E2014&lt;I2013,I2013*(1-'Trading Model'!$E$14),I2013))</f>
        <v>8.9840153609188427</v>
      </c>
      <c r="J2014" s="198">
        <f t="shared" si="255"/>
        <v>0</v>
      </c>
      <c r="K2014" s="198">
        <f t="shared" si="250"/>
        <v>0</v>
      </c>
      <c r="L2014" s="198">
        <f>COUNTIF(J2014:K2014,"&lt;&gt;0")*-'Trading Model'!$E$15</f>
        <v>0</v>
      </c>
      <c r="M2014" s="198">
        <f t="shared" si="248"/>
        <v>0</v>
      </c>
      <c r="N2014" s="75">
        <f t="shared" si="251"/>
        <v>45</v>
      </c>
      <c r="O2014" s="202">
        <f t="shared" si="252"/>
        <v>0</v>
      </c>
      <c r="P2014" s="199">
        <f t="shared" si="249"/>
        <v>0</v>
      </c>
      <c r="Q2014" s="203">
        <f t="shared" si="253"/>
        <v>0.80000000000140425</v>
      </c>
      <c r="R2014" s="203" t="s">
        <v>55</v>
      </c>
      <c r="S2014" s="201">
        <f t="shared" si="254"/>
        <v>-1.3209013209013243E-2</v>
      </c>
    </row>
    <row r="2015" spans="1:19">
      <c r="A2015" s="196">
        <v>42892</v>
      </c>
      <c r="B2015" s="122">
        <v>25.299999</v>
      </c>
      <c r="C2015" s="122">
        <v>25.719999000000001</v>
      </c>
      <c r="D2015" s="122">
        <v>25.280000999999999</v>
      </c>
      <c r="E2015" s="122">
        <v>25.610001</v>
      </c>
      <c r="F2015" s="122">
        <v>22.622084000000001</v>
      </c>
      <c r="G2015" s="197">
        <v>86000</v>
      </c>
      <c r="H2015" s="198">
        <f>IF(AND(E2014&gt;=H2014,E2015&gt;=E2014),E2014*(1+'Trading Model'!$E$13),IF(AND(E2015&lt;E2014,E2014&gt;=H2014),E2015*(1+'Trading Model'!$E$13),H2014))</f>
        <v>27.698998950000004</v>
      </c>
      <c r="I2015" s="198">
        <f>IF(K2015&gt;0,E2015*(1-'Trading Model'!E2025),IF(E2015&lt;I2014,I2014*(1-'Trading Model'!$E$14),I2014))</f>
        <v>8.9840153609188427</v>
      </c>
      <c r="J2015" s="198">
        <f t="shared" si="255"/>
        <v>0</v>
      </c>
      <c r="K2015" s="198">
        <f t="shared" si="250"/>
        <v>0</v>
      </c>
      <c r="L2015" s="198">
        <f>COUNTIF(J2015:K2015,"&lt;&gt;0")*-'Trading Model'!$E$15</f>
        <v>0</v>
      </c>
      <c r="M2015" s="198">
        <f t="shared" si="248"/>
        <v>0</v>
      </c>
      <c r="N2015" s="75">
        <f t="shared" si="251"/>
        <v>45</v>
      </c>
      <c r="O2015" s="202">
        <f t="shared" si="252"/>
        <v>0</v>
      </c>
      <c r="P2015" s="199">
        <f t="shared" si="249"/>
        <v>0</v>
      </c>
      <c r="Q2015" s="203">
        <f t="shared" si="253"/>
        <v>0.80000000000140425</v>
      </c>
      <c r="R2015" s="203" t="s">
        <v>55</v>
      </c>
      <c r="S2015" s="201">
        <f t="shared" si="254"/>
        <v>8.2677559055119865E-3</v>
      </c>
    </row>
    <row r="2016" spans="1:19">
      <c r="A2016" s="196">
        <v>42893</v>
      </c>
      <c r="B2016" s="122">
        <v>25.719999000000001</v>
      </c>
      <c r="C2016" s="122">
        <v>25.799999</v>
      </c>
      <c r="D2016" s="122">
        <v>25.17</v>
      </c>
      <c r="E2016" s="122">
        <v>25.549999</v>
      </c>
      <c r="F2016" s="122">
        <v>22.569082000000002</v>
      </c>
      <c r="G2016" s="197">
        <v>317600</v>
      </c>
      <c r="H2016" s="198">
        <f>IF(AND(E2015&gt;=H2015,E2016&gt;=E2015),E2015*(1+'Trading Model'!$E$13),IF(AND(E2016&lt;E2015,E2015&gt;=H2015),E2016*(1+'Trading Model'!$E$13),H2015))</f>
        <v>27.698998950000004</v>
      </c>
      <c r="I2016" s="198">
        <f>IF(K2016&gt;0,E2016*(1-'Trading Model'!E2026),IF(E2016&lt;I2015,I2015*(1-'Trading Model'!$E$14),I2015))</f>
        <v>8.9840153609188427</v>
      </c>
      <c r="J2016" s="198">
        <f t="shared" si="255"/>
        <v>0</v>
      </c>
      <c r="K2016" s="198">
        <f t="shared" si="250"/>
        <v>0</v>
      </c>
      <c r="L2016" s="198">
        <f>COUNTIF(J2016:K2016,"&lt;&gt;0")*-'Trading Model'!$E$15</f>
        <v>0</v>
      </c>
      <c r="M2016" s="198">
        <f t="shared" si="248"/>
        <v>0</v>
      </c>
      <c r="N2016" s="75">
        <f t="shared" si="251"/>
        <v>45</v>
      </c>
      <c r="O2016" s="202">
        <f t="shared" si="252"/>
        <v>0</v>
      </c>
      <c r="P2016" s="199">
        <f t="shared" si="249"/>
        <v>0</v>
      </c>
      <c r="Q2016" s="203">
        <f t="shared" si="253"/>
        <v>0.70000000000140428</v>
      </c>
      <c r="R2016" s="203" t="s">
        <v>55</v>
      </c>
      <c r="S2016" s="201">
        <f t="shared" si="254"/>
        <v>-2.3429128331545757E-3</v>
      </c>
    </row>
    <row r="2017" spans="1:19">
      <c r="A2017" s="196">
        <v>42894</v>
      </c>
      <c r="B2017" s="122">
        <v>25.530000999999999</v>
      </c>
      <c r="C2017" s="122">
        <v>25.530000999999999</v>
      </c>
      <c r="D2017" s="122">
        <v>25.02</v>
      </c>
      <c r="E2017" s="122">
        <v>25.07</v>
      </c>
      <c r="F2017" s="122">
        <v>22.145081999999999</v>
      </c>
      <c r="G2017" s="197">
        <v>143300</v>
      </c>
      <c r="H2017" s="198">
        <f>IF(AND(E2016&gt;=H2016,E2017&gt;=E2016),E2016*(1+'Trading Model'!$E$13),IF(AND(E2017&lt;E2016,E2016&gt;=H2016),E2017*(1+'Trading Model'!$E$13),H2016))</f>
        <v>27.698998950000004</v>
      </c>
      <c r="I2017" s="198">
        <f>IF(K2017&gt;0,E2017*(1-'Trading Model'!E2027),IF(E2017&lt;I2016,I2016*(1-'Trading Model'!$E$14),I2016))</f>
        <v>8.9840153609188427</v>
      </c>
      <c r="J2017" s="198">
        <f t="shared" si="255"/>
        <v>0</v>
      </c>
      <c r="K2017" s="198">
        <f t="shared" si="250"/>
        <v>0</v>
      </c>
      <c r="L2017" s="198">
        <f>COUNTIF(J2017:K2017,"&lt;&gt;0")*-'Trading Model'!$E$15</f>
        <v>0</v>
      </c>
      <c r="M2017" s="198">
        <f t="shared" si="248"/>
        <v>0</v>
      </c>
      <c r="N2017" s="75">
        <f t="shared" si="251"/>
        <v>45</v>
      </c>
      <c r="O2017" s="202">
        <f t="shared" si="252"/>
        <v>0</v>
      </c>
      <c r="P2017" s="199">
        <f t="shared" si="249"/>
        <v>0</v>
      </c>
      <c r="Q2017" s="203">
        <f t="shared" si="253"/>
        <v>0.6000000000014043</v>
      </c>
      <c r="R2017" s="201">
        <f>E2017/B2013-1</f>
        <v>-2.6029526029525907E-2</v>
      </c>
      <c r="S2017" s="201">
        <f t="shared" si="254"/>
        <v>-1.8786654355641974E-2</v>
      </c>
    </row>
    <row r="2018" spans="1:19">
      <c r="A2018" s="196">
        <v>42895</v>
      </c>
      <c r="B2018" s="122">
        <v>25.23</v>
      </c>
      <c r="C2018" s="122">
        <v>25.73</v>
      </c>
      <c r="D2018" s="122">
        <v>25.030000999999999</v>
      </c>
      <c r="E2018" s="122">
        <v>25.42</v>
      </c>
      <c r="F2018" s="122">
        <v>22.454248</v>
      </c>
      <c r="G2018" s="197">
        <v>171100</v>
      </c>
      <c r="H2018" s="198">
        <f>IF(AND(E2017&gt;=H2017,E2018&gt;=E2017),E2017*(1+'Trading Model'!$E$13),IF(AND(E2018&lt;E2017,E2017&gt;=H2017),E2018*(1+'Trading Model'!$E$13),H2017))</f>
        <v>27.698998950000004</v>
      </c>
      <c r="I2018" s="198">
        <f>IF(K2018&gt;0,E2018*(1-'Trading Model'!E2028),IF(E2018&lt;I2017,I2017*(1-'Trading Model'!$E$14),I2017))</f>
        <v>8.9840153609188427</v>
      </c>
      <c r="J2018" s="198">
        <f t="shared" si="255"/>
        <v>0</v>
      </c>
      <c r="K2018" s="198">
        <f t="shared" si="250"/>
        <v>0</v>
      </c>
      <c r="L2018" s="198">
        <f>COUNTIF(J2018:K2018,"&lt;&gt;0")*-'Trading Model'!$E$15</f>
        <v>0</v>
      </c>
      <c r="M2018" s="198">
        <f t="shared" si="248"/>
        <v>0</v>
      </c>
      <c r="N2018" s="75">
        <f t="shared" si="251"/>
        <v>45</v>
      </c>
      <c r="O2018" s="202">
        <f t="shared" si="252"/>
        <v>0</v>
      </c>
      <c r="P2018" s="199">
        <f t="shared" si="249"/>
        <v>0</v>
      </c>
      <c r="Q2018" s="203">
        <f t="shared" si="253"/>
        <v>0.6000000000014043</v>
      </c>
      <c r="R2018" s="160" t="s">
        <v>55</v>
      </c>
      <c r="S2018" s="201">
        <f t="shared" si="254"/>
        <v>1.3960909453530235E-2</v>
      </c>
    </row>
    <row r="2019" spans="1:19">
      <c r="A2019" s="196">
        <v>42898</v>
      </c>
      <c r="B2019" s="122">
        <v>25.6</v>
      </c>
      <c r="C2019" s="122">
        <v>25.940000999999999</v>
      </c>
      <c r="D2019" s="122">
        <v>24.93</v>
      </c>
      <c r="E2019" s="122">
        <v>25.870000999999998</v>
      </c>
      <c r="F2019" s="122">
        <v>22.851748000000001</v>
      </c>
      <c r="G2019" s="197">
        <v>283100</v>
      </c>
      <c r="H2019" s="198">
        <f>IF(AND(E2018&gt;=H2018,E2019&gt;=E2018),E2018*(1+'Trading Model'!$E$13),IF(AND(E2019&lt;E2018,E2018&gt;=H2018),E2019*(1+'Trading Model'!$E$13),H2018))</f>
        <v>27.698998950000004</v>
      </c>
      <c r="I2019" s="198">
        <f>IF(K2019&gt;0,E2019*(1-'Trading Model'!E2029),IF(E2019&lt;I2018,I2018*(1-'Trading Model'!$E$14),I2018))</f>
        <v>8.9840153609188427</v>
      </c>
      <c r="J2019" s="198">
        <f t="shared" si="255"/>
        <v>0</v>
      </c>
      <c r="K2019" s="198">
        <f t="shared" si="250"/>
        <v>0</v>
      </c>
      <c r="L2019" s="198">
        <f>COUNTIF(J2019:K2019,"&lt;&gt;0")*-'Trading Model'!$E$15</f>
        <v>0</v>
      </c>
      <c r="M2019" s="198">
        <f t="shared" si="248"/>
        <v>0</v>
      </c>
      <c r="N2019" s="75">
        <f t="shared" si="251"/>
        <v>45</v>
      </c>
      <c r="O2019" s="202">
        <f t="shared" si="252"/>
        <v>0</v>
      </c>
      <c r="P2019" s="199">
        <f t="shared" si="249"/>
        <v>0</v>
      </c>
      <c r="Q2019" s="203">
        <f t="shared" si="253"/>
        <v>0.6000000000014043</v>
      </c>
      <c r="R2019" s="203" t="s">
        <v>55</v>
      </c>
      <c r="S2019" s="201">
        <f t="shared" si="254"/>
        <v>1.7702635719905491E-2</v>
      </c>
    </row>
    <row r="2020" spans="1:19">
      <c r="A2020" s="196">
        <v>42899</v>
      </c>
      <c r="B2020" s="122">
        <v>26.049999</v>
      </c>
      <c r="C2020" s="122">
        <v>26.17</v>
      </c>
      <c r="D2020" s="122">
        <v>25.59</v>
      </c>
      <c r="E2020" s="122">
        <v>25.75</v>
      </c>
      <c r="F2020" s="122">
        <v>22.745747000000001</v>
      </c>
      <c r="G2020" s="197">
        <v>166600</v>
      </c>
      <c r="H2020" s="198">
        <f>IF(AND(E2019&gt;=H2019,E2020&gt;=E2019),E2019*(1+'Trading Model'!$E$13),IF(AND(E2020&lt;E2019,E2019&gt;=H2019),E2020*(1+'Trading Model'!$E$13),H2019))</f>
        <v>27.698998950000004</v>
      </c>
      <c r="I2020" s="198">
        <f>IF(K2020&gt;0,E2020*(1-'Trading Model'!E2030),IF(E2020&lt;I2019,I2019*(1-'Trading Model'!$E$14),I2019))</f>
        <v>8.9840153609188427</v>
      </c>
      <c r="J2020" s="198">
        <f t="shared" si="255"/>
        <v>0</v>
      </c>
      <c r="K2020" s="198">
        <f t="shared" si="250"/>
        <v>0</v>
      </c>
      <c r="L2020" s="198">
        <f>COUNTIF(J2020:K2020,"&lt;&gt;0")*-'Trading Model'!$E$15</f>
        <v>0</v>
      </c>
      <c r="M2020" s="198">
        <f t="shared" si="248"/>
        <v>0</v>
      </c>
      <c r="N2020" s="75">
        <f t="shared" si="251"/>
        <v>45</v>
      </c>
      <c r="O2020" s="202">
        <f t="shared" si="252"/>
        <v>0</v>
      </c>
      <c r="P2020" s="199">
        <f t="shared" si="249"/>
        <v>0</v>
      </c>
      <c r="Q2020" s="203">
        <f t="shared" si="253"/>
        <v>0.50000000000140432</v>
      </c>
      <c r="R2020" s="203" t="s">
        <v>55</v>
      </c>
      <c r="S2020" s="201">
        <f t="shared" si="254"/>
        <v>-4.6386159784067571E-3</v>
      </c>
    </row>
    <row r="2021" spans="1:19">
      <c r="A2021" s="196">
        <v>42900</v>
      </c>
      <c r="B2021" s="122">
        <v>25.780000999999999</v>
      </c>
      <c r="C2021" s="122">
        <v>26.139999</v>
      </c>
      <c r="D2021" s="122">
        <v>25.4</v>
      </c>
      <c r="E2021" s="122">
        <v>25.58</v>
      </c>
      <c r="F2021" s="122">
        <v>22.595583000000001</v>
      </c>
      <c r="G2021" s="197">
        <v>294100</v>
      </c>
      <c r="H2021" s="198">
        <f>IF(AND(E2020&gt;=H2020,E2021&gt;=E2020),E2020*(1+'Trading Model'!$E$13),IF(AND(E2021&lt;E2020,E2020&gt;=H2020),E2021*(1+'Trading Model'!$E$13),H2020))</f>
        <v>27.698998950000004</v>
      </c>
      <c r="I2021" s="198">
        <f>IF(K2021&gt;0,E2021*(1-'Trading Model'!E2031),IF(E2021&lt;I2020,I2020*(1-'Trading Model'!$E$14),I2020))</f>
        <v>8.9840153609188427</v>
      </c>
      <c r="J2021" s="198">
        <f t="shared" si="255"/>
        <v>0</v>
      </c>
      <c r="K2021" s="198">
        <f t="shared" si="250"/>
        <v>0</v>
      </c>
      <c r="L2021" s="198">
        <f>COUNTIF(J2021:K2021,"&lt;&gt;0")*-'Trading Model'!$E$15</f>
        <v>0</v>
      </c>
      <c r="M2021" s="198">
        <f t="shared" si="248"/>
        <v>0</v>
      </c>
      <c r="N2021" s="75">
        <f t="shared" si="251"/>
        <v>45</v>
      </c>
      <c r="O2021" s="202">
        <f t="shared" si="252"/>
        <v>0</v>
      </c>
      <c r="P2021" s="199">
        <f t="shared" si="249"/>
        <v>0</v>
      </c>
      <c r="Q2021" s="203">
        <f t="shared" si="253"/>
        <v>0.40000000000140434</v>
      </c>
      <c r="R2021" s="203" t="s">
        <v>55</v>
      </c>
      <c r="S2021" s="201">
        <f t="shared" si="254"/>
        <v>-6.6019417475728925E-3</v>
      </c>
    </row>
    <row r="2022" spans="1:19">
      <c r="A2022" s="196">
        <v>42901</v>
      </c>
      <c r="B2022" s="122">
        <v>25.18</v>
      </c>
      <c r="C2022" s="122">
        <v>25.75</v>
      </c>
      <c r="D2022" s="122">
        <v>24.610001</v>
      </c>
      <c r="E2022" s="122">
        <v>24.75</v>
      </c>
      <c r="F2022" s="122">
        <v>21.862418999999999</v>
      </c>
      <c r="G2022" s="197">
        <v>190700</v>
      </c>
      <c r="H2022" s="198">
        <f>IF(AND(E2021&gt;=H2021,E2022&gt;=E2021),E2021*(1+'Trading Model'!$E$13),IF(AND(E2022&lt;E2021,E2021&gt;=H2021),E2022*(1+'Trading Model'!$E$13),H2021))</f>
        <v>27.698998950000004</v>
      </c>
      <c r="I2022" s="198">
        <f>IF(K2022&gt;0,E2022*(1-'Trading Model'!E2032),IF(E2022&lt;I2021,I2021*(1-'Trading Model'!$E$14),I2021))</f>
        <v>8.9840153609188427</v>
      </c>
      <c r="J2022" s="198">
        <f t="shared" si="255"/>
        <v>0</v>
      </c>
      <c r="K2022" s="198">
        <f t="shared" si="250"/>
        <v>0</v>
      </c>
      <c r="L2022" s="198">
        <f>COUNTIF(J2022:K2022,"&lt;&gt;0")*-'Trading Model'!$E$15</f>
        <v>0</v>
      </c>
      <c r="M2022" s="198">
        <f t="shared" si="248"/>
        <v>0</v>
      </c>
      <c r="N2022" s="75">
        <f t="shared" si="251"/>
        <v>45</v>
      </c>
      <c r="O2022" s="202">
        <f t="shared" si="252"/>
        <v>0</v>
      </c>
      <c r="P2022" s="199">
        <f t="shared" si="249"/>
        <v>0</v>
      </c>
      <c r="Q2022" s="203">
        <f t="shared" si="253"/>
        <v>0.30000000000140437</v>
      </c>
      <c r="R2022" s="201">
        <f>E2022/B2018-1</f>
        <v>-1.9024970273483932E-2</v>
      </c>
      <c r="S2022" s="201">
        <f t="shared" si="254"/>
        <v>-3.2447224394057783E-2</v>
      </c>
    </row>
    <row r="2023" spans="1:19">
      <c r="A2023" s="196">
        <v>42902</v>
      </c>
      <c r="B2023" s="122">
        <v>24.84</v>
      </c>
      <c r="C2023" s="122">
        <v>25.290001</v>
      </c>
      <c r="D2023" s="122">
        <v>24.76</v>
      </c>
      <c r="E2023" s="122">
        <v>24.93</v>
      </c>
      <c r="F2023" s="122">
        <v>22.021415999999999</v>
      </c>
      <c r="G2023" s="197">
        <v>142200</v>
      </c>
      <c r="H2023" s="198">
        <f>IF(AND(E2022&gt;=H2022,E2023&gt;=E2022),E2022*(1+'Trading Model'!$E$13),IF(AND(E2023&lt;E2022,E2022&gt;=H2022),E2023*(1+'Trading Model'!$E$13),H2022))</f>
        <v>27.698998950000004</v>
      </c>
      <c r="I2023" s="198">
        <f>IF(K2023&gt;0,E2023*(1-'Trading Model'!E2033),IF(E2023&lt;I2022,I2022*(1-'Trading Model'!$E$14),I2022))</f>
        <v>8.9840153609188427</v>
      </c>
      <c r="J2023" s="198">
        <f t="shared" si="255"/>
        <v>0</v>
      </c>
      <c r="K2023" s="198">
        <f t="shared" si="250"/>
        <v>0</v>
      </c>
      <c r="L2023" s="198">
        <f>COUNTIF(J2023:K2023,"&lt;&gt;0")*-'Trading Model'!$E$15</f>
        <v>0</v>
      </c>
      <c r="M2023" s="198">
        <f t="shared" si="248"/>
        <v>0</v>
      </c>
      <c r="N2023" s="75">
        <f t="shared" si="251"/>
        <v>45</v>
      </c>
      <c r="O2023" s="202">
        <f t="shared" si="252"/>
        <v>0</v>
      </c>
      <c r="P2023" s="199">
        <f t="shared" si="249"/>
        <v>0</v>
      </c>
      <c r="Q2023" s="203">
        <f t="shared" si="253"/>
        <v>0.30000000000140437</v>
      </c>
      <c r="R2023" s="160" t="s">
        <v>55</v>
      </c>
      <c r="S2023" s="201">
        <f t="shared" si="254"/>
        <v>7.2727272727273196E-3</v>
      </c>
    </row>
    <row r="2024" spans="1:19">
      <c r="A2024" s="196">
        <v>42905</v>
      </c>
      <c r="B2024" s="122">
        <v>24.879999000000002</v>
      </c>
      <c r="C2024" s="122">
        <v>26.299999</v>
      </c>
      <c r="D2024" s="122">
        <v>24.84</v>
      </c>
      <c r="E2024" s="122">
        <v>25.67</v>
      </c>
      <c r="F2024" s="122">
        <v>22.675079</v>
      </c>
      <c r="G2024" s="197">
        <v>183800</v>
      </c>
      <c r="H2024" s="198">
        <f>IF(AND(E2023&gt;=H2023,E2024&gt;=E2023),E2023*(1+'Trading Model'!$E$13),IF(AND(E2024&lt;E2023,E2023&gt;=H2023),E2024*(1+'Trading Model'!$E$13),H2023))</f>
        <v>27.698998950000004</v>
      </c>
      <c r="I2024" s="198">
        <f>IF(K2024&gt;0,E2024*(1-'Trading Model'!E2034),IF(E2024&lt;I2023,I2023*(1-'Trading Model'!$E$14),I2023))</f>
        <v>8.9840153609188427</v>
      </c>
      <c r="J2024" s="198">
        <f t="shared" si="255"/>
        <v>0</v>
      </c>
      <c r="K2024" s="198">
        <f t="shared" si="250"/>
        <v>0</v>
      </c>
      <c r="L2024" s="198">
        <f>COUNTIF(J2024:K2024,"&lt;&gt;0")*-'Trading Model'!$E$15</f>
        <v>0</v>
      </c>
      <c r="M2024" s="198">
        <f t="shared" si="248"/>
        <v>0</v>
      </c>
      <c r="N2024" s="75">
        <f t="shared" si="251"/>
        <v>45</v>
      </c>
      <c r="O2024" s="202">
        <f t="shared" si="252"/>
        <v>0</v>
      </c>
      <c r="P2024" s="199">
        <f t="shared" si="249"/>
        <v>0</v>
      </c>
      <c r="Q2024" s="203">
        <f t="shared" si="253"/>
        <v>0.30000000000140437</v>
      </c>
      <c r="R2024" s="203" t="s">
        <v>55</v>
      </c>
      <c r="S2024" s="201">
        <f t="shared" si="254"/>
        <v>2.9683112715603865E-2</v>
      </c>
    </row>
    <row r="2025" spans="1:19">
      <c r="A2025" s="196">
        <v>42906</v>
      </c>
      <c r="B2025" s="122">
        <v>25.67</v>
      </c>
      <c r="C2025" s="122">
        <v>25.969999000000001</v>
      </c>
      <c r="D2025" s="122">
        <v>25.219999000000001</v>
      </c>
      <c r="E2025" s="122">
        <v>25.389999</v>
      </c>
      <c r="F2025" s="122">
        <v>22.42775</v>
      </c>
      <c r="G2025" s="197">
        <v>78400</v>
      </c>
      <c r="H2025" s="198">
        <f>IF(AND(E2024&gt;=H2024,E2025&gt;=E2024),E2024*(1+'Trading Model'!$E$13),IF(AND(E2025&lt;E2024,E2024&gt;=H2024),E2025*(1+'Trading Model'!$E$13),H2024))</f>
        <v>27.698998950000004</v>
      </c>
      <c r="I2025" s="198">
        <f>IF(K2025&gt;0,E2025*(1-'Trading Model'!E2035),IF(E2025&lt;I2024,I2024*(1-'Trading Model'!$E$14),I2024))</f>
        <v>8.9840153609188427</v>
      </c>
      <c r="J2025" s="198">
        <f t="shared" si="255"/>
        <v>0</v>
      </c>
      <c r="K2025" s="198">
        <f t="shared" si="250"/>
        <v>0</v>
      </c>
      <c r="L2025" s="198">
        <f>COUNTIF(J2025:K2025,"&lt;&gt;0")*-'Trading Model'!$E$15</f>
        <v>0</v>
      </c>
      <c r="M2025" s="198">
        <f t="shared" si="248"/>
        <v>0</v>
      </c>
      <c r="N2025" s="75">
        <f t="shared" si="251"/>
        <v>45</v>
      </c>
      <c r="O2025" s="202">
        <f t="shared" si="252"/>
        <v>0</v>
      </c>
      <c r="P2025" s="199">
        <f t="shared" si="249"/>
        <v>0</v>
      </c>
      <c r="Q2025" s="203">
        <f t="shared" si="253"/>
        <v>0.20000000000140436</v>
      </c>
      <c r="R2025" s="203" t="s">
        <v>55</v>
      </c>
      <c r="S2025" s="201">
        <f t="shared" si="254"/>
        <v>-1.0907713283989207E-2</v>
      </c>
    </row>
    <row r="2026" spans="1:19">
      <c r="A2026" s="196">
        <v>42907</v>
      </c>
      <c r="B2026" s="122">
        <v>23.360001</v>
      </c>
      <c r="C2026" s="122">
        <v>24.52</v>
      </c>
      <c r="D2026" s="122">
        <v>22.4</v>
      </c>
      <c r="E2026" s="122">
        <v>24.120000999999998</v>
      </c>
      <c r="F2026" s="122">
        <v>21.30592</v>
      </c>
      <c r="G2026" s="197">
        <v>920900</v>
      </c>
      <c r="H2026" s="198">
        <f>IF(AND(E2025&gt;=H2025,E2026&gt;=E2025),E2025*(1+'Trading Model'!$E$13),IF(AND(E2026&lt;E2025,E2025&gt;=H2025),E2026*(1+'Trading Model'!$E$13),H2025))</f>
        <v>27.698998950000004</v>
      </c>
      <c r="I2026" s="198">
        <f>IF(K2026&gt;0,E2026*(1-'Trading Model'!E2036),IF(E2026&lt;I2025,I2025*(1-'Trading Model'!$E$14),I2025))</f>
        <v>8.9840153609188427</v>
      </c>
      <c r="J2026" s="198">
        <f t="shared" si="255"/>
        <v>0</v>
      </c>
      <c r="K2026" s="198">
        <f t="shared" si="250"/>
        <v>0</v>
      </c>
      <c r="L2026" s="198">
        <f>COUNTIF(J2026:K2026,"&lt;&gt;0")*-'Trading Model'!$E$15</f>
        <v>0</v>
      </c>
      <c r="M2026" s="198">
        <f t="shared" si="248"/>
        <v>0</v>
      </c>
      <c r="N2026" s="75">
        <f t="shared" si="251"/>
        <v>45</v>
      </c>
      <c r="O2026" s="202">
        <f t="shared" si="252"/>
        <v>0</v>
      </c>
      <c r="P2026" s="199">
        <f t="shared" si="249"/>
        <v>0</v>
      </c>
      <c r="Q2026" s="203">
        <f t="shared" si="253"/>
        <v>0.10000000000140435</v>
      </c>
      <c r="R2026" s="203" t="s">
        <v>55</v>
      </c>
      <c r="S2026" s="201">
        <f t="shared" si="254"/>
        <v>-5.0019615991320099E-2</v>
      </c>
    </row>
    <row r="2027" spans="1:19">
      <c r="A2027" s="196">
        <v>42908</v>
      </c>
      <c r="B2027" s="122">
        <v>24.16</v>
      </c>
      <c r="C2027" s="122">
        <v>25.26</v>
      </c>
      <c r="D2027" s="122">
        <v>23.15</v>
      </c>
      <c r="E2027" s="122">
        <v>25.02</v>
      </c>
      <c r="F2027" s="122">
        <v>22.100918</v>
      </c>
      <c r="G2027" s="197">
        <v>313800</v>
      </c>
      <c r="H2027" s="198">
        <f>IF(AND(E2026&gt;=H2026,E2027&gt;=E2026),E2026*(1+'Trading Model'!$E$13),IF(AND(E2027&lt;E2026,E2026&gt;=H2026),E2027*(1+'Trading Model'!$E$13),H2026))</f>
        <v>27.698998950000004</v>
      </c>
      <c r="I2027" s="198">
        <f>IF(K2027&gt;0,E2027*(1-'Trading Model'!E2037),IF(E2027&lt;I2026,I2026*(1-'Trading Model'!$E$14),I2026))</f>
        <v>8.9840153609188427</v>
      </c>
      <c r="J2027" s="198">
        <f t="shared" si="255"/>
        <v>0</v>
      </c>
      <c r="K2027" s="198">
        <f t="shared" si="250"/>
        <v>0</v>
      </c>
      <c r="L2027" s="198">
        <f>COUNTIF(J2027:K2027,"&lt;&gt;0")*-'Trading Model'!$E$15</f>
        <v>0</v>
      </c>
      <c r="M2027" s="198">
        <f t="shared" si="248"/>
        <v>0</v>
      </c>
      <c r="N2027" s="75">
        <f t="shared" si="251"/>
        <v>45</v>
      </c>
      <c r="O2027" s="202">
        <f t="shared" si="252"/>
        <v>0</v>
      </c>
      <c r="P2027" s="199">
        <f t="shared" si="249"/>
        <v>0</v>
      </c>
      <c r="Q2027" s="203">
        <f t="shared" si="253"/>
        <v>0.10000000000140435</v>
      </c>
      <c r="R2027" s="201">
        <f>E2027/B2023-1</f>
        <v>7.2463768115942351E-3</v>
      </c>
      <c r="S2027" s="201">
        <f t="shared" si="254"/>
        <v>3.731338982946153E-2</v>
      </c>
    </row>
    <row r="2028" spans="1:19">
      <c r="A2028" s="196">
        <v>42909</v>
      </c>
      <c r="B2028" s="122">
        <v>25.18</v>
      </c>
      <c r="C2028" s="122">
        <v>25.27</v>
      </c>
      <c r="D2028" s="122">
        <v>24.129999000000002</v>
      </c>
      <c r="E2028" s="122">
        <v>24.379999000000002</v>
      </c>
      <c r="F2028" s="122">
        <v>21.535585000000001</v>
      </c>
      <c r="G2028" s="197">
        <v>213700</v>
      </c>
      <c r="H2028" s="198">
        <f>IF(AND(E2027&gt;=H2027,E2028&gt;=E2027),E2027*(1+'Trading Model'!$E$13),IF(AND(E2028&lt;E2027,E2027&gt;=H2027),E2028*(1+'Trading Model'!$E$13),H2027))</f>
        <v>27.698998950000004</v>
      </c>
      <c r="I2028" s="198">
        <f>IF(K2028&gt;0,E2028*(1-'Trading Model'!E2038),IF(E2028&lt;I2027,I2027*(1-'Trading Model'!$E$14),I2027))</f>
        <v>8.9840153609188427</v>
      </c>
      <c r="J2028" s="198">
        <f t="shared" si="255"/>
        <v>0</v>
      </c>
      <c r="K2028" s="198">
        <f t="shared" si="250"/>
        <v>0</v>
      </c>
      <c r="L2028" s="198">
        <f>COUNTIF(J2028:K2028,"&lt;&gt;0")*-'Trading Model'!$E$15</f>
        <v>0</v>
      </c>
      <c r="M2028" s="198">
        <f t="shared" si="248"/>
        <v>0</v>
      </c>
      <c r="N2028" s="75">
        <f t="shared" si="251"/>
        <v>45</v>
      </c>
      <c r="O2028" s="202">
        <f t="shared" si="252"/>
        <v>0</v>
      </c>
      <c r="P2028" s="199">
        <f t="shared" si="249"/>
        <v>0</v>
      </c>
      <c r="Q2028" s="203">
        <f t="shared" si="253"/>
        <v>1.4043488594239761E-12</v>
      </c>
      <c r="R2028" s="160" t="s">
        <v>55</v>
      </c>
      <c r="S2028" s="201">
        <f t="shared" si="254"/>
        <v>-2.5579576338928822E-2</v>
      </c>
    </row>
    <row r="2029" spans="1:19">
      <c r="A2029" s="196">
        <v>42912</v>
      </c>
      <c r="B2029" s="122">
        <v>24.450001</v>
      </c>
      <c r="C2029" s="122">
        <v>24.92</v>
      </c>
      <c r="D2029" s="122">
        <v>24.190000999999999</v>
      </c>
      <c r="E2029" s="122">
        <v>24.299999</v>
      </c>
      <c r="F2029" s="122">
        <v>21.464915999999999</v>
      </c>
      <c r="G2029" s="197">
        <v>165800</v>
      </c>
      <c r="H2029" s="198">
        <f>IF(AND(E2028&gt;=H2028,E2029&gt;=E2028),E2028*(1+'Trading Model'!$E$13),IF(AND(E2029&lt;E2028,E2028&gt;=H2028),E2029*(1+'Trading Model'!$E$13),H2028))</f>
        <v>27.698998950000004</v>
      </c>
      <c r="I2029" s="198">
        <f>IF(K2029&gt;0,E2029*(1-'Trading Model'!E2039),IF(E2029&lt;I2028,I2028*(1-'Trading Model'!$E$14),I2028))</f>
        <v>8.9840153609188427</v>
      </c>
      <c r="J2029" s="198">
        <f t="shared" si="255"/>
        <v>0</v>
      </c>
      <c r="K2029" s="198">
        <f t="shared" si="250"/>
        <v>0</v>
      </c>
      <c r="L2029" s="198">
        <f>COUNTIF(J2029:K2029,"&lt;&gt;0")*-'Trading Model'!$E$15</f>
        <v>0</v>
      </c>
      <c r="M2029" s="198">
        <f t="shared" si="248"/>
        <v>0</v>
      </c>
      <c r="N2029" s="75">
        <f t="shared" si="251"/>
        <v>45</v>
      </c>
      <c r="O2029" s="202">
        <f t="shared" si="252"/>
        <v>0</v>
      </c>
      <c r="P2029" s="199">
        <f t="shared" si="249"/>
        <v>0</v>
      </c>
      <c r="Q2029" s="203">
        <f t="shared" si="253"/>
        <v>-9.9999999998595657E-2</v>
      </c>
      <c r="R2029" s="203" t="s">
        <v>55</v>
      </c>
      <c r="S2029" s="201">
        <f t="shared" si="254"/>
        <v>-3.2813783134282293E-3</v>
      </c>
    </row>
    <row r="2030" spans="1:19">
      <c r="A2030" s="196">
        <v>42913</v>
      </c>
      <c r="B2030" s="122">
        <v>24.379999000000002</v>
      </c>
      <c r="C2030" s="122">
        <v>24.629999000000002</v>
      </c>
      <c r="D2030" s="122">
        <v>23.700001</v>
      </c>
      <c r="E2030" s="122">
        <v>24.17</v>
      </c>
      <c r="F2030" s="122">
        <v>21.350086000000001</v>
      </c>
      <c r="G2030" s="197">
        <v>128200</v>
      </c>
      <c r="H2030" s="198">
        <f>IF(AND(E2029&gt;=H2029,E2030&gt;=E2029),E2029*(1+'Trading Model'!$E$13),IF(AND(E2030&lt;E2029,E2029&gt;=H2029),E2030*(1+'Trading Model'!$E$13),H2029))</f>
        <v>27.698998950000004</v>
      </c>
      <c r="I2030" s="198">
        <f>IF(K2030&gt;0,E2030*(1-'Trading Model'!E2040),IF(E2030&lt;I2029,I2029*(1-'Trading Model'!$E$14),I2029))</f>
        <v>8.9840153609188427</v>
      </c>
      <c r="J2030" s="198">
        <f t="shared" si="255"/>
        <v>0</v>
      </c>
      <c r="K2030" s="198">
        <f t="shared" si="250"/>
        <v>0</v>
      </c>
      <c r="L2030" s="198">
        <f>COUNTIF(J2030:K2030,"&lt;&gt;0")*-'Trading Model'!$E$15</f>
        <v>0</v>
      </c>
      <c r="M2030" s="198">
        <f t="shared" si="248"/>
        <v>0</v>
      </c>
      <c r="N2030" s="75">
        <f t="shared" si="251"/>
        <v>45</v>
      </c>
      <c r="O2030" s="202">
        <f t="shared" si="252"/>
        <v>0</v>
      </c>
      <c r="P2030" s="199">
        <f t="shared" si="249"/>
        <v>0</v>
      </c>
      <c r="Q2030" s="203">
        <f t="shared" si="253"/>
        <v>-0.19999999999859566</v>
      </c>
      <c r="R2030" s="203" t="s">
        <v>55</v>
      </c>
      <c r="S2030" s="201">
        <f t="shared" si="254"/>
        <v>-5.3497533065741676E-3</v>
      </c>
    </row>
    <row r="2031" spans="1:19">
      <c r="A2031" s="196">
        <v>42914</v>
      </c>
      <c r="B2031" s="122">
        <v>24.129999000000002</v>
      </c>
      <c r="C2031" s="122">
        <v>24.73</v>
      </c>
      <c r="D2031" s="122">
        <v>24.040001</v>
      </c>
      <c r="E2031" s="122">
        <v>24.360001</v>
      </c>
      <c r="F2031" s="122">
        <v>21.51792</v>
      </c>
      <c r="G2031" s="197">
        <v>192900</v>
      </c>
      <c r="H2031" s="198">
        <f>IF(AND(E2030&gt;=H2030,E2031&gt;=E2030),E2030*(1+'Trading Model'!$E$13),IF(AND(E2031&lt;E2030,E2030&gt;=H2030),E2031*(1+'Trading Model'!$E$13),H2030))</f>
        <v>27.698998950000004</v>
      </c>
      <c r="I2031" s="198">
        <f>IF(K2031&gt;0,E2031*(1-'Trading Model'!E2041),IF(E2031&lt;I2030,I2030*(1-'Trading Model'!$E$14),I2030))</f>
        <v>8.9840153609188427</v>
      </c>
      <c r="J2031" s="198">
        <f t="shared" si="255"/>
        <v>0</v>
      </c>
      <c r="K2031" s="198">
        <f t="shared" si="250"/>
        <v>0</v>
      </c>
      <c r="L2031" s="198">
        <f>COUNTIF(J2031:K2031,"&lt;&gt;0")*-'Trading Model'!$E$15</f>
        <v>0</v>
      </c>
      <c r="M2031" s="198">
        <f t="shared" si="248"/>
        <v>0</v>
      </c>
      <c r="N2031" s="75">
        <f t="shared" si="251"/>
        <v>45</v>
      </c>
      <c r="O2031" s="202">
        <f t="shared" si="252"/>
        <v>0</v>
      </c>
      <c r="P2031" s="199">
        <f t="shared" si="249"/>
        <v>0</v>
      </c>
      <c r="Q2031" s="203">
        <f t="shared" si="253"/>
        <v>-0.19999999999859566</v>
      </c>
      <c r="R2031" s="203" t="s">
        <v>55</v>
      </c>
      <c r="S2031" s="201">
        <f t="shared" si="254"/>
        <v>7.8610260653702024E-3</v>
      </c>
    </row>
    <row r="2032" spans="1:19">
      <c r="A2032" s="196">
        <v>42915</v>
      </c>
      <c r="B2032" s="122">
        <v>24.59</v>
      </c>
      <c r="C2032" s="122">
        <v>25.15</v>
      </c>
      <c r="D2032" s="122">
        <v>24.34</v>
      </c>
      <c r="E2032" s="122">
        <v>24.469999000000001</v>
      </c>
      <c r="F2032" s="122">
        <v>21.615086000000002</v>
      </c>
      <c r="G2032" s="197">
        <v>184900</v>
      </c>
      <c r="H2032" s="198">
        <f>IF(AND(E2031&gt;=H2031,E2032&gt;=E2031),E2031*(1+'Trading Model'!$E$13),IF(AND(E2032&lt;E2031,E2031&gt;=H2031),E2032*(1+'Trading Model'!$E$13),H2031))</f>
        <v>27.698998950000004</v>
      </c>
      <c r="I2032" s="198">
        <f>IF(K2032&gt;0,E2032*(1-'Trading Model'!E2042),IF(E2032&lt;I2031,I2031*(1-'Trading Model'!$E$14),I2031))</f>
        <v>8.9840153609188427</v>
      </c>
      <c r="J2032" s="198">
        <f t="shared" si="255"/>
        <v>0</v>
      </c>
      <c r="K2032" s="198">
        <f t="shared" si="250"/>
        <v>0</v>
      </c>
      <c r="L2032" s="198">
        <f>COUNTIF(J2032:K2032,"&lt;&gt;0")*-'Trading Model'!$E$15</f>
        <v>0</v>
      </c>
      <c r="M2032" s="198">
        <f t="shared" si="248"/>
        <v>0</v>
      </c>
      <c r="N2032" s="75">
        <f t="shared" si="251"/>
        <v>45</v>
      </c>
      <c r="O2032" s="202">
        <f t="shared" si="252"/>
        <v>0</v>
      </c>
      <c r="P2032" s="199">
        <f t="shared" si="249"/>
        <v>0</v>
      </c>
      <c r="Q2032" s="203">
        <f t="shared" si="253"/>
        <v>-0.19999999999859566</v>
      </c>
      <c r="R2032" s="201">
        <f>E2032/B2028-1</f>
        <v>-2.8197021445591663E-2</v>
      </c>
      <c r="S2032" s="201">
        <f t="shared" si="254"/>
        <v>4.515517056013385E-3</v>
      </c>
    </row>
    <row r="2033" spans="1:19">
      <c r="A2033" s="196">
        <v>42916</v>
      </c>
      <c r="B2033" s="122">
        <v>24.690000999999999</v>
      </c>
      <c r="C2033" s="122">
        <v>26.059999000000001</v>
      </c>
      <c r="D2033" s="122">
        <v>24.040001</v>
      </c>
      <c r="E2033" s="122">
        <v>25.34</v>
      </c>
      <c r="F2033" s="122">
        <v>22.383581</v>
      </c>
      <c r="G2033" s="197">
        <v>434000</v>
      </c>
      <c r="H2033" s="198">
        <f>IF(AND(E2032&gt;=H2032,E2033&gt;=E2032),E2032*(1+'Trading Model'!$E$13),IF(AND(E2033&lt;E2032,E2032&gt;=H2032),E2033*(1+'Trading Model'!$E$13),H2032))</f>
        <v>27.698998950000004</v>
      </c>
      <c r="I2033" s="198">
        <f>IF(K2033&gt;0,E2033*(1-'Trading Model'!E2043),IF(E2033&lt;I2032,I2032*(1-'Trading Model'!$E$14),I2032))</f>
        <v>8.9840153609188427</v>
      </c>
      <c r="J2033" s="198">
        <f t="shared" si="255"/>
        <v>0</v>
      </c>
      <c r="K2033" s="198">
        <f t="shared" si="250"/>
        <v>0</v>
      </c>
      <c r="L2033" s="198">
        <f>COUNTIF(J2033:K2033,"&lt;&gt;0")*-'Trading Model'!$E$15</f>
        <v>0</v>
      </c>
      <c r="M2033" s="198">
        <f t="shared" si="248"/>
        <v>0</v>
      </c>
      <c r="N2033" s="75">
        <f t="shared" si="251"/>
        <v>45</v>
      </c>
      <c r="O2033" s="202">
        <f t="shared" si="252"/>
        <v>0</v>
      </c>
      <c r="P2033" s="199">
        <f t="shared" si="249"/>
        <v>0</v>
      </c>
      <c r="Q2033" s="203">
        <f t="shared" si="253"/>
        <v>-0.19999999999859566</v>
      </c>
      <c r="R2033" s="160" t="s">
        <v>55</v>
      </c>
      <c r="S2033" s="201">
        <f t="shared" si="254"/>
        <v>3.5553781591899369E-2</v>
      </c>
    </row>
    <row r="2034" spans="1:19">
      <c r="A2034" s="196">
        <v>42919</v>
      </c>
      <c r="B2034" s="122">
        <v>26.639999</v>
      </c>
      <c r="C2034" s="122">
        <v>29.889999</v>
      </c>
      <c r="D2034" s="122">
        <v>26.25</v>
      </c>
      <c r="E2034" s="122">
        <v>29.459999</v>
      </c>
      <c r="F2034" s="122">
        <v>26.022901999999998</v>
      </c>
      <c r="G2034" s="197">
        <v>1301000</v>
      </c>
      <c r="H2034" s="198">
        <f>IF(AND(E2033&gt;=H2033,E2034&gt;=E2033),E2033*(1+'Trading Model'!$E$13),IF(AND(E2034&lt;E2033,E2033&gt;=H2033),E2034*(1+'Trading Model'!$E$13),H2033))</f>
        <v>27.698998950000004</v>
      </c>
      <c r="I2034" s="198">
        <f>IF(K2034&gt;0,E2034*(1-'Trading Model'!E2044),IF(E2034&lt;I2033,I2033*(1-'Trading Model'!$E$14),I2033))</f>
        <v>29.459999</v>
      </c>
      <c r="J2034" s="198">
        <f t="shared" si="255"/>
        <v>-29.459999</v>
      </c>
      <c r="K2034" s="198">
        <f t="shared" si="250"/>
        <v>29.459999</v>
      </c>
      <c r="L2034" s="198">
        <f>COUNTIF(J2034:K2034,"&lt;&gt;0")*-'Trading Model'!$E$15</f>
        <v>-0.2</v>
      </c>
      <c r="M2034" s="198">
        <f t="shared" si="248"/>
        <v>-0.2</v>
      </c>
      <c r="N2034" s="75">
        <f t="shared" si="251"/>
        <v>45</v>
      </c>
      <c r="O2034" s="202">
        <f t="shared" si="252"/>
        <v>0</v>
      </c>
      <c r="P2034" s="199">
        <f t="shared" si="249"/>
        <v>0</v>
      </c>
      <c r="Q2034" s="203">
        <f t="shared" si="253"/>
        <v>-0.19999999999859566</v>
      </c>
      <c r="R2034" s="203" t="s">
        <v>55</v>
      </c>
      <c r="S2034" s="201">
        <f t="shared" si="254"/>
        <v>0.1625887529597474</v>
      </c>
    </row>
    <row r="2035" spans="1:19">
      <c r="A2035" s="196">
        <v>42921</v>
      </c>
      <c r="B2035" s="122">
        <v>28.91</v>
      </c>
      <c r="C2035" s="122">
        <v>29.5</v>
      </c>
      <c r="D2035" s="122">
        <v>28.5</v>
      </c>
      <c r="E2035" s="122">
        <v>28.92</v>
      </c>
      <c r="F2035" s="122">
        <v>25.545904</v>
      </c>
      <c r="G2035" s="197">
        <v>725800</v>
      </c>
      <c r="H2035" s="198">
        <f>IF(AND(E2034&gt;=H2034,E2035&gt;=E2034),E2034*(1+'Trading Model'!$E$13),IF(AND(E2035&lt;E2034,E2034&gt;=H2034),E2035*(1+'Trading Model'!$E$13),H2034))</f>
        <v>30.366000000000003</v>
      </c>
      <c r="I2035" s="198">
        <f>IF(K2035&gt;0,E2035*(1-'Trading Model'!E2045),IF(E2035&lt;I2034,I2034*(1-'Trading Model'!$E$14),I2034))</f>
        <v>27.986999049999998</v>
      </c>
      <c r="J2035" s="198">
        <f t="shared" si="255"/>
        <v>-28.92</v>
      </c>
      <c r="K2035" s="198">
        <f t="shared" si="250"/>
        <v>0</v>
      </c>
      <c r="L2035" s="198">
        <f>COUNTIF(J2035:K2035,"&lt;&gt;0")*-'Trading Model'!$E$15</f>
        <v>-0.1</v>
      </c>
      <c r="M2035" s="198">
        <f t="shared" si="248"/>
        <v>-29.020000000000003</v>
      </c>
      <c r="N2035" s="75">
        <f t="shared" si="251"/>
        <v>46</v>
      </c>
      <c r="O2035" s="202">
        <f t="shared" si="252"/>
        <v>0</v>
      </c>
      <c r="P2035" s="199">
        <f t="shared" si="249"/>
        <v>0</v>
      </c>
      <c r="Q2035" s="203">
        <f t="shared" si="253"/>
        <v>-0.29999999999859567</v>
      </c>
      <c r="R2035" s="203" t="s">
        <v>55</v>
      </c>
      <c r="S2035" s="201">
        <f t="shared" si="254"/>
        <v>-1.8329905578068684E-2</v>
      </c>
    </row>
    <row r="2036" spans="1:19">
      <c r="A2036" s="196">
        <v>42922</v>
      </c>
      <c r="B2036" s="122">
        <v>28.91</v>
      </c>
      <c r="C2036" s="122">
        <v>29.1</v>
      </c>
      <c r="D2036" s="122">
        <v>28.42</v>
      </c>
      <c r="E2036" s="122">
        <v>28.76</v>
      </c>
      <c r="F2036" s="122">
        <v>25.404572000000002</v>
      </c>
      <c r="G2036" s="197">
        <v>461600</v>
      </c>
      <c r="H2036" s="198">
        <f>IF(AND(E2035&gt;=H2035,E2036&gt;=E2035),E2035*(1+'Trading Model'!$E$13),IF(AND(E2036&lt;E2035,E2035&gt;=H2035),E2036*(1+'Trading Model'!$E$13),H2035))</f>
        <v>30.366000000000003</v>
      </c>
      <c r="I2036" s="198">
        <f>IF(K2036&gt;0,E2036*(1-'Trading Model'!E2046),IF(E2036&lt;I2035,I2035*(1-'Trading Model'!$E$14),I2035))</f>
        <v>27.986999049999998</v>
      </c>
      <c r="J2036" s="198">
        <f t="shared" si="255"/>
        <v>0</v>
      </c>
      <c r="K2036" s="198">
        <f t="shared" si="250"/>
        <v>0</v>
      </c>
      <c r="L2036" s="198">
        <f>COUNTIF(J2036:K2036,"&lt;&gt;0")*-'Trading Model'!$E$15</f>
        <v>0</v>
      </c>
      <c r="M2036" s="198">
        <f t="shared" si="248"/>
        <v>0</v>
      </c>
      <c r="N2036" s="75">
        <f t="shared" si="251"/>
        <v>46</v>
      </c>
      <c r="O2036" s="202">
        <f t="shared" si="252"/>
        <v>0</v>
      </c>
      <c r="P2036" s="199">
        <f t="shared" si="249"/>
        <v>0</v>
      </c>
      <c r="Q2036" s="203">
        <f t="shared" si="253"/>
        <v>-0.3999999999985957</v>
      </c>
      <c r="R2036" s="203" t="s">
        <v>55</v>
      </c>
      <c r="S2036" s="201">
        <f t="shared" si="254"/>
        <v>-5.5325034578146415E-3</v>
      </c>
    </row>
    <row r="2037" spans="1:19">
      <c r="A2037" s="196">
        <v>42923</v>
      </c>
      <c r="B2037" s="122">
        <v>28.639999</v>
      </c>
      <c r="C2037" s="122">
        <v>28.860001</v>
      </c>
      <c r="D2037" s="122">
        <v>28.25</v>
      </c>
      <c r="E2037" s="122">
        <v>28.290001</v>
      </c>
      <c r="F2037" s="122">
        <v>24.989407</v>
      </c>
      <c r="G2037" s="197">
        <v>302000</v>
      </c>
      <c r="H2037" s="198">
        <f>IF(AND(E2036&gt;=H2036,E2037&gt;=E2036),E2036*(1+'Trading Model'!$E$13),IF(AND(E2037&lt;E2036,E2036&gt;=H2036),E2037*(1+'Trading Model'!$E$13),H2036))</f>
        <v>30.366000000000003</v>
      </c>
      <c r="I2037" s="198">
        <f>IF(K2037&gt;0,E2037*(1-'Trading Model'!E2047),IF(E2037&lt;I2036,I2036*(1-'Trading Model'!$E$14),I2036))</f>
        <v>27.986999049999998</v>
      </c>
      <c r="J2037" s="198">
        <f t="shared" si="255"/>
        <v>0</v>
      </c>
      <c r="K2037" s="198">
        <f t="shared" si="250"/>
        <v>0</v>
      </c>
      <c r="L2037" s="198">
        <f>COUNTIF(J2037:K2037,"&lt;&gt;0")*-'Trading Model'!$E$15</f>
        <v>0</v>
      </c>
      <c r="M2037" s="198">
        <f t="shared" si="248"/>
        <v>0</v>
      </c>
      <c r="N2037" s="75">
        <f t="shared" si="251"/>
        <v>46</v>
      </c>
      <c r="O2037" s="202">
        <f t="shared" si="252"/>
        <v>0</v>
      </c>
      <c r="P2037" s="199">
        <f t="shared" si="249"/>
        <v>0</v>
      </c>
      <c r="Q2037" s="203">
        <f t="shared" si="253"/>
        <v>-0.49999999999859568</v>
      </c>
      <c r="R2037" s="201">
        <f>E2037/B2033-1</f>
        <v>0.14580801353551998</v>
      </c>
      <c r="S2037" s="201">
        <f t="shared" si="254"/>
        <v>-1.6342107093185065E-2</v>
      </c>
    </row>
    <row r="2038" spans="1:19">
      <c r="A2038" s="196">
        <v>42926</v>
      </c>
      <c r="B2038" s="122">
        <v>28.360001</v>
      </c>
      <c r="C2038" s="122">
        <v>28.93</v>
      </c>
      <c r="D2038" s="122">
        <v>28.1</v>
      </c>
      <c r="E2038" s="122">
        <v>28.51</v>
      </c>
      <c r="F2038" s="122">
        <v>25.183738999999999</v>
      </c>
      <c r="G2038" s="197">
        <v>247400</v>
      </c>
      <c r="H2038" s="198">
        <f>IF(AND(E2037&gt;=H2037,E2038&gt;=E2037),E2037*(1+'Trading Model'!$E$13),IF(AND(E2038&lt;E2037,E2037&gt;=H2037),E2038*(1+'Trading Model'!$E$13),H2037))</f>
        <v>30.366000000000003</v>
      </c>
      <c r="I2038" s="198">
        <f>IF(K2038&gt;0,E2038*(1-'Trading Model'!E2048),IF(E2038&lt;I2037,I2037*(1-'Trading Model'!$E$14),I2037))</f>
        <v>27.986999049999998</v>
      </c>
      <c r="J2038" s="198">
        <f t="shared" si="255"/>
        <v>0</v>
      </c>
      <c r="K2038" s="198">
        <f t="shared" si="250"/>
        <v>0</v>
      </c>
      <c r="L2038" s="198">
        <f>COUNTIF(J2038:K2038,"&lt;&gt;0")*-'Trading Model'!$E$15</f>
        <v>0</v>
      </c>
      <c r="M2038" s="198">
        <f t="shared" si="248"/>
        <v>0</v>
      </c>
      <c r="N2038" s="75">
        <f t="shared" si="251"/>
        <v>46</v>
      </c>
      <c r="O2038" s="202">
        <f t="shared" si="252"/>
        <v>0</v>
      </c>
      <c r="P2038" s="199">
        <f t="shared" si="249"/>
        <v>0</v>
      </c>
      <c r="Q2038" s="203">
        <f t="shared" si="253"/>
        <v>-0.49999999999859568</v>
      </c>
      <c r="R2038" s="160" t="s">
        <v>55</v>
      </c>
      <c r="S2038" s="201">
        <f t="shared" si="254"/>
        <v>7.7765638820586069E-3</v>
      </c>
    </row>
    <row r="2039" spans="1:19">
      <c r="A2039" s="196">
        <v>42927</v>
      </c>
      <c r="B2039" s="122">
        <v>28.18</v>
      </c>
      <c r="C2039" s="122">
        <v>29.280000999999999</v>
      </c>
      <c r="D2039" s="122">
        <v>28.139999</v>
      </c>
      <c r="E2039" s="122">
        <v>29.15</v>
      </c>
      <c r="F2039" s="122">
        <v>25.749071000000001</v>
      </c>
      <c r="G2039" s="197">
        <v>345100</v>
      </c>
      <c r="H2039" s="198">
        <f>IF(AND(E2038&gt;=H2038,E2039&gt;=E2038),E2038*(1+'Trading Model'!$E$13),IF(AND(E2039&lt;E2038,E2038&gt;=H2038),E2039*(1+'Trading Model'!$E$13),H2038))</f>
        <v>30.366000000000003</v>
      </c>
      <c r="I2039" s="198">
        <f>IF(K2039&gt;0,E2039*(1-'Trading Model'!E2049),IF(E2039&lt;I2038,I2038*(1-'Trading Model'!$E$14),I2038))</f>
        <v>27.986999049999998</v>
      </c>
      <c r="J2039" s="198">
        <f t="shared" si="255"/>
        <v>0</v>
      </c>
      <c r="K2039" s="198">
        <f t="shared" si="250"/>
        <v>0</v>
      </c>
      <c r="L2039" s="198">
        <f>COUNTIF(J2039:K2039,"&lt;&gt;0")*-'Trading Model'!$E$15</f>
        <v>0</v>
      </c>
      <c r="M2039" s="198">
        <f t="shared" si="248"/>
        <v>0</v>
      </c>
      <c r="N2039" s="75">
        <f t="shared" si="251"/>
        <v>46</v>
      </c>
      <c r="O2039" s="202">
        <f t="shared" si="252"/>
        <v>0</v>
      </c>
      <c r="P2039" s="199">
        <f t="shared" si="249"/>
        <v>0</v>
      </c>
      <c r="Q2039" s="203">
        <f t="shared" si="253"/>
        <v>-0.49999999999859568</v>
      </c>
      <c r="R2039" s="203" t="s">
        <v>55</v>
      </c>
      <c r="S2039" s="201">
        <f t="shared" si="254"/>
        <v>2.2448263767099075E-2</v>
      </c>
    </row>
    <row r="2040" spans="1:19">
      <c r="A2040" s="196">
        <v>42928</v>
      </c>
      <c r="B2040" s="122">
        <v>29.1</v>
      </c>
      <c r="C2040" s="122">
        <v>29.110001</v>
      </c>
      <c r="D2040" s="122">
        <v>28.110001</v>
      </c>
      <c r="E2040" s="122">
        <v>28.57</v>
      </c>
      <c r="F2040" s="122">
        <v>25.236737999999999</v>
      </c>
      <c r="G2040" s="197">
        <v>294900</v>
      </c>
      <c r="H2040" s="198">
        <f>IF(AND(E2039&gt;=H2039,E2040&gt;=E2039),E2039*(1+'Trading Model'!$E$13),IF(AND(E2040&lt;E2039,E2039&gt;=H2039),E2040*(1+'Trading Model'!$E$13),H2039))</f>
        <v>30.366000000000003</v>
      </c>
      <c r="I2040" s="198">
        <f>IF(K2040&gt;0,E2040*(1-'Trading Model'!E2050),IF(E2040&lt;I2039,I2039*(1-'Trading Model'!$E$14),I2039))</f>
        <v>27.986999049999998</v>
      </c>
      <c r="J2040" s="198">
        <f t="shared" si="255"/>
        <v>0</v>
      </c>
      <c r="K2040" s="198">
        <f t="shared" si="250"/>
        <v>0</v>
      </c>
      <c r="L2040" s="198">
        <f>COUNTIF(J2040:K2040,"&lt;&gt;0")*-'Trading Model'!$E$15</f>
        <v>0</v>
      </c>
      <c r="M2040" s="198">
        <f t="shared" si="248"/>
        <v>0</v>
      </c>
      <c r="N2040" s="75">
        <f t="shared" si="251"/>
        <v>46</v>
      </c>
      <c r="O2040" s="202">
        <f t="shared" si="252"/>
        <v>0</v>
      </c>
      <c r="P2040" s="199">
        <f t="shared" si="249"/>
        <v>0</v>
      </c>
      <c r="Q2040" s="203">
        <f t="shared" si="253"/>
        <v>-0.59999999999859566</v>
      </c>
      <c r="R2040" s="203" t="s">
        <v>55</v>
      </c>
      <c r="S2040" s="201">
        <f t="shared" si="254"/>
        <v>-1.9897084048027369E-2</v>
      </c>
    </row>
    <row r="2041" spans="1:19">
      <c r="A2041" s="196">
        <v>42929</v>
      </c>
      <c r="B2041" s="122">
        <v>28.76</v>
      </c>
      <c r="C2041" s="122">
        <v>28.790001</v>
      </c>
      <c r="D2041" s="122">
        <v>28.27</v>
      </c>
      <c r="E2041" s="122">
        <v>28.360001</v>
      </c>
      <c r="F2041" s="122">
        <v>25.051241000000001</v>
      </c>
      <c r="G2041" s="197">
        <v>232300</v>
      </c>
      <c r="H2041" s="198">
        <f>IF(AND(E2040&gt;=H2040,E2041&gt;=E2040),E2040*(1+'Trading Model'!$E$13),IF(AND(E2041&lt;E2040,E2040&gt;=H2040),E2041*(1+'Trading Model'!$E$13),H2040))</f>
        <v>30.366000000000003</v>
      </c>
      <c r="I2041" s="198">
        <f>IF(K2041&gt;0,E2041*(1-'Trading Model'!E2051),IF(E2041&lt;I2040,I2040*(1-'Trading Model'!$E$14),I2040))</f>
        <v>27.986999049999998</v>
      </c>
      <c r="J2041" s="198">
        <f t="shared" si="255"/>
        <v>0</v>
      </c>
      <c r="K2041" s="198">
        <f t="shared" si="250"/>
        <v>0</v>
      </c>
      <c r="L2041" s="198">
        <f>COUNTIF(J2041:K2041,"&lt;&gt;0")*-'Trading Model'!$E$15</f>
        <v>0</v>
      </c>
      <c r="M2041" s="198">
        <f t="shared" si="248"/>
        <v>0</v>
      </c>
      <c r="N2041" s="75">
        <f t="shared" si="251"/>
        <v>46</v>
      </c>
      <c r="O2041" s="202">
        <f t="shared" si="252"/>
        <v>0</v>
      </c>
      <c r="P2041" s="199">
        <f t="shared" si="249"/>
        <v>0</v>
      </c>
      <c r="Q2041" s="203">
        <f t="shared" si="253"/>
        <v>-0.69999999999859563</v>
      </c>
      <c r="R2041" s="203" t="s">
        <v>55</v>
      </c>
      <c r="S2041" s="201">
        <f t="shared" si="254"/>
        <v>-7.3503325166258682E-3</v>
      </c>
    </row>
    <row r="2042" spans="1:19">
      <c r="A2042" s="196">
        <v>42930</v>
      </c>
      <c r="B2042" s="122">
        <v>28.290001</v>
      </c>
      <c r="C2042" s="122">
        <v>28.690000999999999</v>
      </c>
      <c r="D2042" s="122">
        <v>28.290001</v>
      </c>
      <c r="E2042" s="122">
        <v>28.49</v>
      </c>
      <c r="F2042" s="122">
        <v>25.166073000000001</v>
      </c>
      <c r="G2042" s="197">
        <v>166200</v>
      </c>
      <c r="H2042" s="198">
        <f>IF(AND(E2041&gt;=H2041,E2042&gt;=E2041),E2041*(1+'Trading Model'!$E$13),IF(AND(E2042&lt;E2041,E2041&gt;=H2041),E2042*(1+'Trading Model'!$E$13),H2041))</f>
        <v>30.366000000000003</v>
      </c>
      <c r="I2042" s="198">
        <f>IF(K2042&gt;0,E2042*(1-'Trading Model'!E2052),IF(E2042&lt;I2041,I2041*(1-'Trading Model'!$E$14),I2041))</f>
        <v>27.986999049999998</v>
      </c>
      <c r="J2042" s="198">
        <f t="shared" si="255"/>
        <v>0</v>
      </c>
      <c r="K2042" s="198">
        <f t="shared" si="250"/>
        <v>0</v>
      </c>
      <c r="L2042" s="198">
        <f>COUNTIF(J2042:K2042,"&lt;&gt;0")*-'Trading Model'!$E$15</f>
        <v>0</v>
      </c>
      <c r="M2042" s="198">
        <f t="shared" si="248"/>
        <v>0</v>
      </c>
      <c r="N2042" s="75">
        <f t="shared" si="251"/>
        <v>46</v>
      </c>
      <c r="O2042" s="202">
        <f t="shared" si="252"/>
        <v>0</v>
      </c>
      <c r="P2042" s="199">
        <f t="shared" si="249"/>
        <v>0</v>
      </c>
      <c r="Q2042" s="203">
        <f t="shared" si="253"/>
        <v>-0.69999999999859563</v>
      </c>
      <c r="R2042" s="201">
        <f>E2042/B2038-1</f>
        <v>4.583885592951864E-3</v>
      </c>
      <c r="S2042" s="201">
        <f t="shared" si="254"/>
        <v>4.583885592951864E-3</v>
      </c>
    </row>
    <row r="2043" spans="1:19">
      <c r="A2043" s="196">
        <v>42933</v>
      </c>
      <c r="B2043" s="122">
        <v>28.379999000000002</v>
      </c>
      <c r="C2043" s="122">
        <v>28.719999000000001</v>
      </c>
      <c r="D2043" s="122">
        <v>27.799999</v>
      </c>
      <c r="E2043" s="122">
        <v>28.120000999999998</v>
      </c>
      <c r="F2043" s="122">
        <v>24.839238999999999</v>
      </c>
      <c r="G2043" s="197">
        <v>288100</v>
      </c>
      <c r="H2043" s="198">
        <f>IF(AND(E2042&gt;=H2042,E2043&gt;=E2042),E2042*(1+'Trading Model'!$E$13),IF(AND(E2043&lt;E2042,E2042&gt;=H2042),E2043*(1+'Trading Model'!$E$13),H2042))</f>
        <v>30.366000000000003</v>
      </c>
      <c r="I2043" s="198">
        <f>IF(K2043&gt;0,E2043*(1-'Trading Model'!E2053),IF(E2043&lt;I2042,I2042*(1-'Trading Model'!$E$14),I2042))</f>
        <v>27.986999049999998</v>
      </c>
      <c r="J2043" s="198">
        <f t="shared" si="255"/>
        <v>0</v>
      </c>
      <c r="K2043" s="198">
        <f t="shared" si="250"/>
        <v>0</v>
      </c>
      <c r="L2043" s="198">
        <f>COUNTIF(J2043:K2043,"&lt;&gt;0")*-'Trading Model'!$E$15</f>
        <v>0</v>
      </c>
      <c r="M2043" s="198">
        <f t="shared" si="248"/>
        <v>0</v>
      </c>
      <c r="N2043" s="75">
        <f t="shared" si="251"/>
        <v>46</v>
      </c>
      <c r="O2043" s="202">
        <f t="shared" si="252"/>
        <v>0</v>
      </c>
      <c r="P2043" s="199">
        <f t="shared" si="249"/>
        <v>0</v>
      </c>
      <c r="Q2043" s="203">
        <f t="shared" si="253"/>
        <v>-0.79999999999859561</v>
      </c>
      <c r="R2043" s="160" t="s">
        <v>55</v>
      </c>
      <c r="S2043" s="201">
        <f t="shared" si="254"/>
        <v>-1.2986977886977891E-2</v>
      </c>
    </row>
    <row r="2044" spans="1:19">
      <c r="A2044" s="196">
        <v>42934</v>
      </c>
      <c r="B2044" s="122">
        <v>28.219999000000001</v>
      </c>
      <c r="C2044" s="122">
        <v>28.219999000000001</v>
      </c>
      <c r="D2044" s="122">
        <v>27.1</v>
      </c>
      <c r="E2044" s="122">
        <v>27.25</v>
      </c>
      <c r="F2044" s="122">
        <v>24.070741999999999</v>
      </c>
      <c r="G2044" s="197">
        <v>187600</v>
      </c>
      <c r="H2044" s="198">
        <f>IF(AND(E2043&gt;=H2043,E2044&gt;=E2043),E2043*(1+'Trading Model'!$E$13),IF(AND(E2044&lt;E2043,E2043&gt;=H2043),E2044*(1+'Trading Model'!$E$13),H2043))</f>
        <v>30.366000000000003</v>
      </c>
      <c r="I2044" s="198">
        <f>IF(K2044&gt;0,E2044*(1-'Trading Model'!E2054),IF(E2044&lt;I2043,I2043*(1-'Trading Model'!$E$14),I2043))</f>
        <v>26.587649097499998</v>
      </c>
      <c r="J2044" s="198">
        <f t="shared" si="255"/>
        <v>-27.25</v>
      </c>
      <c r="K2044" s="198">
        <f t="shared" si="250"/>
        <v>0</v>
      </c>
      <c r="L2044" s="198">
        <f>COUNTIF(J2044:K2044,"&lt;&gt;0")*-'Trading Model'!$E$15</f>
        <v>-0.1</v>
      </c>
      <c r="M2044" s="198">
        <f t="shared" si="248"/>
        <v>-27.35</v>
      </c>
      <c r="N2044" s="75">
        <f t="shared" si="251"/>
        <v>47</v>
      </c>
      <c r="O2044" s="202">
        <f t="shared" si="252"/>
        <v>0</v>
      </c>
      <c r="P2044" s="199">
        <f t="shared" si="249"/>
        <v>0</v>
      </c>
      <c r="Q2044" s="203">
        <f t="shared" si="253"/>
        <v>-0.89999999999859559</v>
      </c>
      <c r="R2044" s="203" t="s">
        <v>55</v>
      </c>
      <c r="S2044" s="201">
        <f t="shared" si="254"/>
        <v>-3.093886803204593E-2</v>
      </c>
    </row>
    <row r="2045" spans="1:19">
      <c r="A2045" s="196">
        <v>42935</v>
      </c>
      <c r="B2045" s="122">
        <v>27.139999</v>
      </c>
      <c r="C2045" s="122">
        <v>28.200001</v>
      </c>
      <c r="D2045" s="122">
        <v>27.139999</v>
      </c>
      <c r="E2045" s="122">
        <v>27.780000999999999</v>
      </c>
      <c r="F2045" s="122">
        <v>24.538907999999999</v>
      </c>
      <c r="G2045" s="197">
        <v>178800</v>
      </c>
      <c r="H2045" s="198">
        <f>IF(AND(E2044&gt;=H2044,E2045&gt;=E2044),E2044*(1+'Trading Model'!$E$13),IF(AND(E2045&lt;E2044,E2044&gt;=H2044),E2045*(1+'Trading Model'!$E$13),H2044))</f>
        <v>30.366000000000003</v>
      </c>
      <c r="I2045" s="198">
        <f>IF(K2045&gt;0,E2045*(1-'Trading Model'!E2055),IF(E2045&lt;I2044,I2044*(1-'Trading Model'!$E$14),I2044))</f>
        <v>26.587649097499998</v>
      </c>
      <c r="J2045" s="198">
        <f t="shared" si="255"/>
        <v>0</v>
      </c>
      <c r="K2045" s="198">
        <f t="shared" si="250"/>
        <v>0</v>
      </c>
      <c r="L2045" s="198">
        <f>COUNTIF(J2045:K2045,"&lt;&gt;0")*-'Trading Model'!$E$15</f>
        <v>0</v>
      </c>
      <c r="M2045" s="198">
        <f t="shared" si="248"/>
        <v>0</v>
      </c>
      <c r="N2045" s="75">
        <f t="shared" si="251"/>
        <v>47</v>
      </c>
      <c r="O2045" s="202">
        <f t="shared" si="252"/>
        <v>0</v>
      </c>
      <c r="P2045" s="199">
        <f t="shared" si="249"/>
        <v>0</v>
      </c>
      <c r="Q2045" s="203">
        <f t="shared" si="253"/>
        <v>-0.89999999999859559</v>
      </c>
      <c r="R2045" s="203" t="s">
        <v>55</v>
      </c>
      <c r="S2045" s="201">
        <f t="shared" si="254"/>
        <v>1.9449577981651256E-2</v>
      </c>
    </row>
    <row r="2046" spans="1:19">
      <c r="A2046" s="196">
        <v>42936</v>
      </c>
      <c r="B2046" s="122">
        <v>27.9</v>
      </c>
      <c r="C2046" s="122">
        <v>28.1</v>
      </c>
      <c r="D2046" s="122">
        <v>27.639999</v>
      </c>
      <c r="E2046" s="122">
        <v>28.049999</v>
      </c>
      <c r="F2046" s="122">
        <v>24.777405000000002</v>
      </c>
      <c r="G2046" s="197">
        <v>146300</v>
      </c>
      <c r="H2046" s="198">
        <f>IF(AND(E2045&gt;=H2045,E2046&gt;=E2045),E2045*(1+'Trading Model'!$E$13),IF(AND(E2046&lt;E2045,E2045&gt;=H2045),E2046*(1+'Trading Model'!$E$13),H2045))</f>
        <v>30.366000000000003</v>
      </c>
      <c r="I2046" s="198">
        <f>IF(K2046&gt;0,E2046*(1-'Trading Model'!E2056),IF(E2046&lt;I2045,I2045*(1-'Trading Model'!$E$14),I2045))</f>
        <v>26.587649097499998</v>
      </c>
      <c r="J2046" s="198">
        <f t="shared" si="255"/>
        <v>0</v>
      </c>
      <c r="K2046" s="198">
        <f t="shared" si="250"/>
        <v>0</v>
      </c>
      <c r="L2046" s="198">
        <f>COUNTIF(J2046:K2046,"&lt;&gt;0")*-'Trading Model'!$E$15</f>
        <v>0</v>
      </c>
      <c r="M2046" s="198">
        <f t="shared" si="248"/>
        <v>0</v>
      </c>
      <c r="N2046" s="75">
        <f t="shared" si="251"/>
        <v>47</v>
      </c>
      <c r="O2046" s="202">
        <f t="shared" si="252"/>
        <v>0</v>
      </c>
      <c r="P2046" s="199">
        <f t="shared" si="249"/>
        <v>0</v>
      </c>
      <c r="Q2046" s="203">
        <f t="shared" si="253"/>
        <v>-0.89999999999859559</v>
      </c>
      <c r="R2046" s="203" t="s">
        <v>55</v>
      </c>
      <c r="S2046" s="201">
        <f t="shared" si="254"/>
        <v>9.7191501181010942E-3</v>
      </c>
    </row>
    <row r="2047" spans="1:19">
      <c r="A2047" s="196">
        <v>42937</v>
      </c>
      <c r="B2047" s="122">
        <v>28.18</v>
      </c>
      <c r="C2047" s="122">
        <v>28.18</v>
      </c>
      <c r="D2047" s="122">
        <v>27.66</v>
      </c>
      <c r="E2047" s="122">
        <v>28</v>
      </c>
      <c r="F2047" s="122">
        <v>24.733239999999999</v>
      </c>
      <c r="G2047" s="197">
        <v>178100</v>
      </c>
      <c r="H2047" s="198">
        <f>IF(AND(E2046&gt;=H2046,E2047&gt;=E2046),E2046*(1+'Trading Model'!$E$13),IF(AND(E2047&lt;E2046,E2046&gt;=H2046),E2047*(1+'Trading Model'!$E$13),H2046))</f>
        <v>30.366000000000003</v>
      </c>
      <c r="I2047" s="198">
        <f>IF(K2047&gt;0,E2047*(1-'Trading Model'!E2057),IF(E2047&lt;I2046,I2046*(1-'Trading Model'!$E$14),I2046))</f>
        <v>26.587649097499998</v>
      </c>
      <c r="J2047" s="198">
        <f t="shared" si="255"/>
        <v>0</v>
      </c>
      <c r="K2047" s="198">
        <f t="shared" si="250"/>
        <v>0</v>
      </c>
      <c r="L2047" s="198">
        <f>COUNTIF(J2047:K2047,"&lt;&gt;0")*-'Trading Model'!$E$15</f>
        <v>0</v>
      </c>
      <c r="M2047" s="198">
        <f t="shared" si="248"/>
        <v>0</v>
      </c>
      <c r="N2047" s="75">
        <f t="shared" si="251"/>
        <v>47</v>
      </c>
      <c r="O2047" s="202">
        <f t="shared" si="252"/>
        <v>0</v>
      </c>
      <c r="P2047" s="199">
        <f t="shared" si="249"/>
        <v>0</v>
      </c>
      <c r="Q2047" s="203">
        <f t="shared" si="253"/>
        <v>-0.99999999999859557</v>
      </c>
      <c r="R2047" s="201">
        <f>E2047/B2043-1</f>
        <v>-1.3389676299847664E-2</v>
      </c>
      <c r="S2047" s="201">
        <f t="shared" si="254"/>
        <v>-1.7824956072191034E-3</v>
      </c>
    </row>
    <row r="2048" spans="1:19">
      <c r="A2048" s="196">
        <v>42940</v>
      </c>
      <c r="B2048" s="122">
        <v>28.1</v>
      </c>
      <c r="C2048" s="122">
        <v>28.1</v>
      </c>
      <c r="D2048" s="122">
        <v>27.6</v>
      </c>
      <c r="E2048" s="122">
        <v>27.82</v>
      </c>
      <c r="F2048" s="122">
        <v>24.57424</v>
      </c>
      <c r="G2048" s="197">
        <v>56500</v>
      </c>
      <c r="H2048" s="198">
        <f>IF(AND(E2047&gt;=H2047,E2048&gt;=E2047),E2047*(1+'Trading Model'!$E$13),IF(AND(E2048&lt;E2047,E2047&gt;=H2047),E2048*(1+'Trading Model'!$E$13),H2047))</f>
        <v>30.366000000000003</v>
      </c>
      <c r="I2048" s="198">
        <f>IF(K2048&gt;0,E2048*(1-'Trading Model'!E2058),IF(E2048&lt;I2047,I2047*(1-'Trading Model'!$E$14),I2047))</f>
        <v>26.587649097499998</v>
      </c>
      <c r="J2048" s="198">
        <f t="shared" si="255"/>
        <v>0</v>
      </c>
      <c r="K2048" s="198">
        <f t="shared" si="250"/>
        <v>0</v>
      </c>
      <c r="L2048" s="198">
        <f>COUNTIF(J2048:K2048,"&lt;&gt;0")*-'Trading Model'!$E$15</f>
        <v>0</v>
      </c>
      <c r="M2048" s="198">
        <f t="shared" si="248"/>
        <v>0</v>
      </c>
      <c r="N2048" s="75">
        <f t="shared" si="251"/>
        <v>47</v>
      </c>
      <c r="O2048" s="202">
        <f t="shared" si="252"/>
        <v>0</v>
      </c>
      <c r="P2048" s="199">
        <f t="shared" si="249"/>
        <v>0</v>
      </c>
      <c r="Q2048" s="203">
        <f t="shared" si="253"/>
        <v>-1.0999999999985957</v>
      </c>
      <c r="R2048" s="160" t="s">
        <v>55</v>
      </c>
      <c r="S2048" s="201">
        <f t="shared" si="254"/>
        <v>-6.4285714285714501E-3</v>
      </c>
    </row>
    <row r="2049" spans="1:19">
      <c r="A2049" s="196">
        <v>42941</v>
      </c>
      <c r="B2049" s="122">
        <v>27.969999000000001</v>
      </c>
      <c r="C2049" s="122">
        <v>28.09</v>
      </c>
      <c r="D2049" s="122">
        <v>27.389999</v>
      </c>
      <c r="E2049" s="122">
        <v>27.639999</v>
      </c>
      <c r="F2049" s="122">
        <v>24.415239</v>
      </c>
      <c r="G2049" s="197">
        <v>140500</v>
      </c>
      <c r="H2049" s="198">
        <f>IF(AND(E2048&gt;=H2048,E2049&gt;=E2048),E2048*(1+'Trading Model'!$E$13),IF(AND(E2049&lt;E2048,E2048&gt;=H2048),E2049*(1+'Trading Model'!$E$13),H2048))</f>
        <v>30.366000000000003</v>
      </c>
      <c r="I2049" s="198">
        <f>IF(K2049&gt;0,E2049*(1-'Trading Model'!E2059),IF(E2049&lt;I2048,I2048*(1-'Trading Model'!$E$14),I2048))</f>
        <v>26.587649097499998</v>
      </c>
      <c r="J2049" s="198">
        <f t="shared" si="255"/>
        <v>0</v>
      </c>
      <c r="K2049" s="198">
        <f t="shared" si="250"/>
        <v>0</v>
      </c>
      <c r="L2049" s="198">
        <f>COUNTIF(J2049:K2049,"&lt;&gt;0")*-'Trading Model'!$E$15</f>
        <v>0</v>
      </c>
      <c r="M2049" s="198">
        <f t="shared" si="248"/>
        <v>0</v>
      </c>
      <c r="N2049" s="75">
        <f t="shared" si="251"/>
        <v>47</v>
      </c>
      <c r="O2049" s="202">
        <f t="shared" si="252"/>
        <v>0</v>
      </c>
      <c r="P2049" s="199">
        <f t="shared" si="249"/>
        <v>0</v>
      </c>
      <c r="Q2049" s="203">
        <f t="shared" si="253"/>
        <v>-1.1999999999985957</v>
      </c>
      <c r="R2049" s="203" t="s">
        <v>55</v>
      </c>
      <c r="S2049" s="201">
        <f t="shared" si="254"/>
        <v>-6.4702012940330844E-3</v>
      </c>
    </row>
    <row r="2050" spans="1:19">
      <c r="A2050" s="196">
        <v>42942</v>
      </c>
      <c r="B2050" s="122">
        <v>27.790001</v>
      </c>
      <c r="C2050" s="122">
        <v>27.84</v>
      </c>
      <c r="D2050" s="122">
        <v>27.219999000000001</v>
      </c>
      <c r="E2050" s="122">
        <v>27.42</v>
      </c>
      <c r="F2050" s="122">
        <v>24.220907</v>
      </c>
      <c r="G2050" s="197">
        <v>108200</v>
      </c>
      <c r="H2050" s="198">
        <f>IF(AND(E2049&gt;=H2049,E2050&gt;=E2049),E2049*(1+'Trading Model'!$E$13),IF(AND(E2050&lt;E2049,E2049&gt;=H2049),E2050*(1+'Trading Model'!$E$13),H2049))</f>
        <v>30.366000000000003</v>
      </c>
      <c r="I2050" s="198">
        <f>IF(K2050&gt;0,E2050*(1-'Trading Model'!E2060),IF(E2050&lt;I2049,I2049*(1-'Trading Model'!$E$14),I2049))</f>
        <v>26.587649097499998</v>
      </c>
      <c r="J2050" s="198">
        <f t="shared" si="255"/>
        <v>0</v>
      </c>
      <c r="K2050" s="198">
        <f t="shared" si="250"/>
        <v>0</v>
      </c>
      <c r="L2050" s="198">
        <f>COUNTIF(J2050:K2050,"&lt;&gt;0")*-'Trading Model'!$E$15</f>
        <v>0</v>
      </c>
      <c r="M2050" s="198">
        <f t="shared" si="248"/>
        <v>0</v>
      </c>
      <c r="N2050" s="75">
        <f t="shared" si="251"/>
        <v>47</v>
      </c>
      <c r="O2050" s="202">
        <f t="shared" si="252"/>
        <v>0</v>
      </c>
      <c r="P2050" s="199">
        <f t="shared" si="249"/>
        <v>0</v>
      </c>
      <c r="Q2050" s="203">
        <f t="shared" si="253"/>
        <v>-1.2999999999985958</v>
      </c>
      <c r="R2050" s="203" t="s">
        <v>55</v>
      </c>
      <c r="S2050" s="201">
        <f t="shared" si="254"/>
        <v>-7.9594431244370822E-3</v>
      </c>
    </row>
    <row r="2051" spans="1:19">
      <c r="A2051" s="196">
        <v>42943</v>
      </c>
      <c r="B2051" s="122">
        <v>27.68</v>
      </c>
      <c r="C2051" s="122">
        <v>27.780000999999999</v>
      </c>
      <c r="D2051" s="122">
        <v>26.950001</v>
      </c>
      <c r="E2051" s="122">
        <v>27.280000999999999</v>
      </c>
      <c r="F2051" s="122">
        <v>24.097242000000001</v>
      </c>
      <c r="G2051" s="197">
        <v>101700</v>
      </c>
      <c r="H2051" s="198">
        <f>IF(AND(E2050&gt;=H2050,E2051&gt;=E2050),E2050*(1+'Trading Model'!$E$13),IF(AND(E2051&lt;E2050,E2050&gt;=H2050),E2051*(1+'Trading Model'!$E$13),H2050))</f>
        <v>30.366000000000003</v>
      </c>
      <c r="I2051" s="198">
        <f>IF(K2051&gt;0,E2051*(1-'Trading Model'!E2061),IF(E2051&lt;I2050,I2050*(1-'Trading Model'!$E$14),I2050))</f>
        <v>26.587649097499998</v>
      </c>
      <c r="J2051" s="198">
        <f t="shared" si="255"/>
        <v>0</v>
      </c>
      <c r="K2051" s="198">
        <f t="shared" si="250"/>
        <v>0</v>
      </c>
      <c r="L2051" s="198">
        <f>COUNTIF(J2051:K2051,"&lt;&gt;0")*-'Trading Model'!$E$15</f>
        <v>0</v>
      </c>
      <c r="M2051" s="198">
        <f t="shared" ref="M2051:M2114" si="256">SUM(J2051:L2051)</f>
        <v>0</v>
      </c>
      <c r="N2051" s="75">
        <f t="shared" si="251"/>
        <v>47</v>
      </c>
      <c r="O2051" s="202">
        <f t="shared" si="252"/>
        <v>0</v>
      </c>
      <c r="P2051" s="199">
        <f t="shared" ref="P2051:P2114" si="257">IFERROR(VLOOKUP(A2051,Dividends,2,FALSE),$U$1)</f>
        <v>0</v>
      </c>
      <c r="Q2051" s="203">
        <f t="shared" si="253"/>
        <v>-1.3999999999985959</v>
      </c>
      <c r="R2051" s="203" t="s">
        <v>55</v>
      </c>
      <c r="S2051" s="201">
        <f t="shared" si="254"/>
        <v>-5.1057257476295748E-3</v>
      </c>
    </row>
    <row r="2052" spans="1:19">
      <c r="A2052" s="196">
        <v>42944</v>
      </c>
      <c r="B2052" s="122">
        <v>27.200001</v>
      </c>
      <c r="C2052" s="122">
        <v>27.23</v>
      </c>
      <c r="D2052" s="122">
        <v>26.66</v>
      </c>
      <c r="E2052" s="122">
        <v>26.99</v>
      </c>
      <c r="F2052" s="122">
        <v>23.841076000000001</v>
      </c>
      <c r="G2052" s="197">
        <v>100400</v>
      </c>
      <c r="H2052" s="198">
        <f>IF(AND(E2051&gt;=H2051,E2052&gt;=E2051),E2051*(1+'Trading Model'!$E$13),IF(AND(E2052&lt;E2051,E2051&gt;=H2051),E2052*(1+'Trading Model'!$E$13),H2051))</f>
        <v>30.366000000000003</v>
      </c>
      <c r="I2052" s="198">
        <f>IF(K2052&gt;0,E2052*(1-'Trading Model'!E2062),IF(E2052&lt;I2051,I2051*(1-'Trading Model'!$E$14),I2051))</f>
        <v>26.587649097499998</v>
      </c>
      <c r="J2052" s="198">
        <f t="shared" si="255"/>
        <v>0</v>
      </c>
      <c r="K2052" s="198">
        <f t="shared" ref="K2052:K2115" si="258">IF(E2052&gt;=H2052,E2052,0)</f>
        <v>0</v>
      </c>
      <c r="L2052" s="198">
        <f>COUNTIF(J2052:K2052,"&lt;&gt;0")*-'Trading Model'!$E$15</f>
        <v>0</v>
      </c>
      <c r="M2052" s="198">
        <f t="shared" si="256"/>
        <v>0</v>
      </c>
      <c r="N2052" s="75">
        <f t="shared" ref="N2052:N2115" si="259">IF(AND(J2052&lt;0,K2052&gt;0),N2051,(IF(J2052&lt;0,N2051+1,IF(K2052&gt;0,N2051+1,N2051))))</f>
        <v>47</v>
      </c>
      <c r="O2052" s="202">
        <f t="shared" ref="O2052:O2115" si="260">P2052</f>
        <v>0</v>
      </c>
      <c r="P2052" s="199">
        <f t="shared" si="257"/>
        <v>0</v>
      </c>
      <c r="Q2052" s="203">
        <f t="shared" ref="Q2052:Q2115" si="261">IF(E2052&lt;E2051,Q2051-0.1,Q2051)</f>
        <v>-1.499999999998596</v>
      </c>
      <c r="R2052" s="201">
        <f>E2052/B2048-1</f>
        <v>-3.9501779359430667E-2</v>
      </c>
      <c r="S2052" s="201">
        <f t="shared" ref="S2052:S2115" si="262">E2052/E2051-1</f>
        <v>-1.0630534800933455E-2</v>
      </c>
    </row>
    <row r="2053" spans="1:19">
      <c r="A2053" s="196">
        <v>42947</v>
      </c>
      <c r="B2053" s="122">
        <v>27</v>
      </c>
      <c r="C2053" s="122">
        <v>27.139999</v>
      </c>
      <c r="D2053" s="122">
        <v>26.360001</v>
      </c>
      <c r="E2053" s="122">
        <v>26.389999</v>
      </c>
      <c r="F2053" s="122">
        <v>23.311077000000001</v>
      </c>
      <c r="G2053" s="197">
        <v>116700</v>
      </c>
      <c r="H2053" s="198">
        <f>IF(AND(E2052&gt;=H2052,E2053&gt;=E2052),E2052*(1+'Trading Model'!$E$13),IF(AND(E2053&lt;E2052,E2052&gt;=H2052),E2053*(1+'Trading Model'!$E$13),H2052))</f>
        <v>30.366000000000003</v>
      </c>
      <c r="I2053" s="198">
        <f>IF(K2053&gt;0,E2053*(1-'Trading Model'!E2063),IF(E2053&lt;I2052,I2052*(1-'Trading Model'!$E$14),I2052))</f>
        <v>25.258266642624996</v>
      </c>
      <c r="J2053" s="198">
        <f t="shared" ref="J2053:J2116" si="263">IF(E2053&gt;=H2053,-E2053,IF(E2053&lt;=I2052,-E2053,0))</f>
        <v>-26.389999</v>
      </c>
      <c r="K2053" s="198">
        <f t="shared" si="258"/>
        <v>0</v>
      </c>
      <c r="L2053" s="198">
        <f>COUNTIF(J2053:K2053,"&lt;&gt;0")*-'Trading Model'!$E$15</f>
        <v>-0.1</v>
      </c>
      <c r="M2053" s="198">
        <f t="shared" si="256"/>
        <v>-26.489999000000001</v>
      </c>
      <c r="N2053" s="75">
        <f t="shared" si="259"/>
        <v>48</v>
      </c>
      <c r="O2053" s="202">
        <f t="shared" si="260"/>
        <v>0</v>
      </c>
      <c r="P2053" s="199">
        <f t="shared" si="257"/>
        <v>0</v>
      </c>
      <c r="Q2053" s="203">
        <f t="shared" si="261"/>
        <v>-1.5999999999985961</v>
      </c>
      <c r="R2053" s="160" t="s">
        <v>55</v>
      </c>
      <c r="S2053" s="201">
        <f t="shared" si="262"/>
        <v>-2.2230492775101807E-2</v>
      </c>
    </row>
    <row r="2054" spans="1:19">
      <c r="A2054" s="196">
        <v>42948</v>
      </c>
      <c r="B2054" s="122">
        <v>26.540001</v>
      </c>
      <c r="C2054" s="122">
        <v>26.75</v>
      </c>
      <c r="D2054" s="122">
        <v>26.33</v>
      </c>
      <c r="E2054" s="122">
        <v>26.65</v>
      </c>
      <c r="F2054" s="122">
        <v>23.540742999999999</v>
      </c>
      <c r="G2054" s="197">
        <v>106600</v>
      </c>
      <c r="H2054" s="198">
        <f>IF(AND(E2053&gt;=H2053,E2054&gt;=E2053),E2053*(1+'Trading Model'!$E$13),IF(AND(E2054&lt;E2053,E2053&gt;=H2053),E2054*(1+'Trading Model'!$E$13),H2053))</f>
        <v>30.366000000000003</v>
      </c>
      <c r="I2054" s="198">
        <f>IF(K2054&gt;0,E2054*(1-'Trading Model'!E2064),IF(E2054&lt;I2053,I2053*(1-'Trading Model'!$E$14),I2053))</f>
        <v>25.258266642624996</v>
      </c>
      <c r="J2054" s="198">
        <f t="shared" si="263"/>
        <v>0</v>
      </c>
      <c r="K2054" s="198">
        <f t="shared" si="258"/>
        <v>0</v>
      </c>
      <c r="L2054" s="198">
        <f>COUNTIF(J2054:K2054,"&lt;&gt;0")*-'Trading Model'!$E$15</f>
        <v>0</v>
      </c>
      <c r="M2054" s="198">
        <f t="shared" si="256"/>
        <v>0</v>
      </c>
      <c r="N2054" s="75">
        <f t="shared" si="259"/>
        <v>48</v>
      </c>
      <c r="O2054" s="202">
        <f t="shared" si="260"/>
        <v>0</v>
      </c>
      <c r="P2054" s="199">
        <f t="shared" si="257"/>
        <v>0</v>
      </c>
      <c r="Q2054" s="203">
        <f t="shared" si="261"/>
        <v>-1.5999999999985961</v>
      </c>
      <c r="R2054" s="203" t="s">
        <v>55</v>
      </c>
      <c r="S2054" s="201">
        <f t="shared" si="262"/>
        <v>9.8522550152426724E-3</v>
      </c>
    </row>
    <row r="2055" spans="1:19">
      <c r="A2055" s="196">
        <v>42949</v>
      </c>
      <c r="B2055" s="122">
        <v>26.68</v>
      </c>
      <c r="C2055" s="122">
        <v>26.82</v>
      </c>
      <c r="D2055" s="122">
        <v>25.809999000000001</v>
      </c>
      <c r="E2055" s="122">
        <v>26.67</v>
      </c>
      <c r="F2055" s="122">
        <v>23.558413000000002</v>
      </c>
      <c r="G2055" s="197">
        <v>173800</v>
      </c>
      <c r="H2055" s="198">
        <f>IF(AND(E2054&gt;=H2054,E2055&gt;=E2054),E2054*(1+'Trading Model'!$E$13),IF(AND(E2055&lt;E2054,E2054&gt;=H2054),E2055*(1+'Trading Model'!$E$13),H2054))</f>
        <v>30.366000000000003</v>
      </c>
      <c r="I2055" s="198">
        <f>IF(K2055&gt;0,E2055*(1-'Trading Model'!E2065),IF(E2055&lt;I2054,I2054*(1-'Trading Model'!$E$14),I2054))</f>
        <v>25.258266642624996</v>
      </c>
      <c r="J2055" s="198">
        <f t="shared" si="263"/>
        <v>0</v>
      </c>
      <c r="K2055" s="198">
        <f t="shared" si="258"/>
        <v>0</v>
      </c>
      <c r="L2055" s="198">
        <f>COUNTIF(J2055:K2055,"&lt;&gt;0")*-'Trading Model'!$E$15</f>
        <v>0</v>
      </c>
      <c r="M2055" s="198">
        <f t="shared" si="256"/>
        <v>0</v>
      </c>
      <c r="N2055" s="75">
        <f t="shared" si="259"/>
        <v>48</v>
      </c>
      <c r="O2055" s="202">
        <f t="shared" si="260"/>
        <v>0</v>
      </c>
      <c r="P2055" s="199">
        <f t="shared" si="257"/>
        <v>0</v>
      </c>
      <c r="Q2055" s="203">
        <f t="shared" si="261"/>
        <v>-1.5999999999985961</v>
      </c>
      <c r="R2055" s="203" t="s">
        <v>55</v>
      </c>
      <c r="S2055" s="201">
        <f t="shared" si="262"/>
        <v>7.5046904315212437E-4</v>
      </c>
    </row>
    <row r="2056" spans="1:19">
      <c r="A2056" s="196">
        <v>42950</v>
      </c>
      <c r="B2056" s="122">
        <v>26.83</v>
      </c>
      <c r="C2056" s="122">
        <v>27.84</v>
      </c>
      <c r="D2056" s="122">
        <v>26.42</v>
      </c>
      <c r="E2056" s="122">
        <v>27.74</v>
      </c>
      <c r="F2056" s="122">
        <v>24.503571999999998</v>
      </c>
      <c r="G2056" s="197">
        <v>225000</v>
      </c>
      <c r="H2056" s="198">
        <f>IF(AND(E2055&gt;=H2055,E2056&gt;=E2055),E2055*(1+'Trading Model'!$E$13),IF(AND(E2056&lt;E2055,E2055&gt;=H2055),E2056*(1+'Trading Model'!$E$13),H2055))</f>
        <v>30.366000000000003</v>
      </c>
      <c r="I2056" s="198">
        <f>IF(K2056&gt;0,E2056*(1-'Trading Model'!E2066),IF(E2056&lt;I2055,I2055*(1-'Trading Model'!$E$14),I2055))</f>
        <v>25.258266642624996</v>
      </c>
      <c r="J2056" s="198">
        <f t="shared" si="263"/>
        <v>0</v>
      </c>
      <c r="K2056" s="198">
        <f t="shared" si="258"/>
        <v>0</v>
      </c>
      <c r="L2056" s="198">
        <f>COUNTIF(J2056:K2056,"&lt;&gt;0")*-'Trading Model'!$E$15</f>
        <v>0</v>
      </c>
      <c r="M2056" s="198">
        <f t="shared" si="256"/>
        <v>0</v>
      </c>
      <c r="N2056" s="75">
        <f t="shared" si="259"/>
        <v>48</v>
      </c>
      <c r="O2056" s="202">
        <f t="shared" si="260"/>
        <v>0</v>
      </c>
      <c r="P2056" s="199">
        <f t="shared" si="257"/>
        <v>0</v>
      </c>
      <c r="Q2056" s="203">
        <f t="shared" si="261"/>
        <v>-1.5999999999985961</v>
      </c>
      <c r="R2056" s="203" t="s">
        <v>55</v>
      </c>
      <c r="S2056" s="201">
        <f t="shared" si="262"/>
        <v>4.0119985001874747E-2</v>
      </c>
    </row>
    <row r="2057" spans="1:19">
      <c r="A2057" s="196">
        <v>42951</v>
      </c>
      <c r="B2057" s="122">
        <v>27.52</v>
      </c>
      <c r="C2057" s="122">
        <v>28.02</v>
      </c>
      <c r="D2057" s="122">
        <v>27.469999000000001</v>
      </c>
      <c r="E2057" s="122">
        <v>27.879999000000002</v>
      </c>
      <c r="F2057" s="122">
        <v>24.627238999999999</v>
      </c>
      <c r="G2057" s="197">
        <v>209300</v>
      </c>
      <c r="H2057" s="198">
        <f>IF(AND(E2056&gt;=H2056,E2057&gt;=E2056),E2056*(1+'Trading Model'!$E$13),IF(AND(E2057&lt;E2056,E2056&gt;=H2056),E2057*(1+'Trading Model'!$E$13),H2056))</f>
        <v>30.366000000000003</v>
      </c>
      <c r="I2057" s="198">
        <f>IF(K2057&gt;0,E2057*(1-'Trading Model'!E2067),IF(E2057&lt;I2056,I2056*(1-'Trading Model'!$E$14),I2056))</f>
        <v>25.258266642624996</v>
      </c>
      <c r="J2057" s="198">
        <f t="shared" si="263"/>
        <v>0</v>
      </c>
      <c r="K2057" s="198">
        <f t="shared" si="258"/>
        <v>0</v>
      </c>
      <c r="L2057" s="198">
        <f>COUNTIF(J2057:K2057,"&lt;&gt;0")*-'Trading Model'!$E$15</f>
        <v>0</v>
      </c>
      <c r="M2057" s="198">
        <f t="shared" si="256"/>
        <v>0</v>
      </c>
      <c r="N2057" s="75">
        <f t="shared" si="259"/>
        <v>48</v>
      </c>
      <c r="O2057" s="202">
        <f t="shared" si="260"/>
        <v>0</v>
      </c>
      <c r="P2057" s="199">
        <f t="shared" si="257"/>
        <v>0</v>
      </c>
      <c r="Q2057" s="203">
        <f t="shared" si="261"/>
        <v>-1.5999999999985961</v>
      </c>
      <c r="R2057" s="201">
        <f>E2057/B2053-1</f>
        <v>3.2592555555555514E-2</v>
      </c>
      <c r="S2057" s="201">
        <f t="shared" si="262"/>
        <v>5.0468276856525662E-3</v>
      </c>
    </row>
    <row r="2058" spans="1:19">
      <c r="A2058" s="196">
        <v>42954</v>
      </c>
      <c r="B2058" s="122">
        <v>28.030000999999999</v>
      </c>
      <c r="C2058" s="122">
        <v>28.32</v>
      </c>
      <c r="D2058" s="122">
        <v>27.74</v>
      </c>
      <c r="E2058" s="122">
        <v>28.280000999999999</v>
      </c>
      <c r="F2058" s="122">
        <v>24.980571999999999</v>
      </c>
      <c r="G2058" s="197">
        <v>192200</v>
      </c>
      <c r="H2058" s="198">
        <f>IF(AND(E2057&gt;=H2057,E2058&gt;=E2057),E2057*(1+'Trading Model'!$E$13),IF(AND(E2058&lt;E2057,E2057&gt;=H2057),E2058*(1+'Trading Model'!$E$13),H2057))</f>
        <v>30.366000000000003</v>
      </c>
      <c r="I2058" s="198">
        <f>IF(K2058&gt;0,E2058*(1-'Trading Model'!E2068),IF(E2058&lt;I2057,I2057*(1-'Trading Model'!$E$14),I2057))</f>
        <v>25.258266642624996</v>
      </c>
      <c r="J2058" s="198">
        <f t="shared" si="263"/>
        <v>0</v>
      </c>
      <c r="K2058" s="198">
        <f t="shared" si="258"/>
        <v>0</v>
      </c>
      <c r="L2058" s="198">
        <f>COUNTIF(J2058:K2058,"&lt;&gt;0")*-'Trading Model'!$E$15</f>
        <v>0</v>
      </c>
      <c r="M2058" s="198">
        <f t="shared" si="256"/>
        <v>0</v>
      </c>
      <c r="N2058" s="75">
        <f t="shared" si="259"/>
        <v>48</v>
      </c>
      <c r="O2058" s="202">
        <f t="shared" si="260"/>
        <v>0</v>
      </c>
      <c r="P2058" s="199">
        <f t="shared" si="257"/>
        <v>0</v>
      </c>
      <c r="Q2058" s="203">
        <f t="shared" si="261"/>
        <v>-1.5999999999985961</v>
      </c>
      <c r="R2058" s="160" t="s">
        <v>55</v>
      </c>
      <c r="S2058" s="201">
        <f t="shared" si="262"/>
        <v>1.4347274546171906E-2</v>
      </c>
    </row>
    <row r="2059" spans="1:19">
      <c r="A2059" s="196">
        <v>42955</v>
      </c>
      <c r="B2059" s="122">
        <v>28.4</v>
      </c>
      <c r="C2059" s="122">
        <v>28.43</v>
      </c>
      <c r="D2059" s="122">
        <v>28.120000999999998</v>
      </c>
      <c r="E2059" s="122">
        <v>28.280000999999999</v>
      </c>
      <c r="F2059" s="122">
        <v>24.980571999999999</v>
      </c>
      <c r="G2059" s="197">
        <v>94100</v>
      </c>
      <c r="H2059" s="198">
        <f>IF(AND(E2058&gt;=H2058,E2059&gt;=E2058),E2058*(1+'Trading Model'!$E$13),IF(AND(E2059&lt;E2058,E2058&gt;=H2058),E2059*(1+'Trading Model'!$E$13),H2058))</f>
        <v>30.366000000000003</v>
      </c>
      <c r="I2059" s="198">
        <f>IF(K2059&gt;0,E2059*(1-'Trading Model'!E2069),IF(E2059&lt;I2058,I2058*(1-'Trading Model'!$E$14),I2058))</f>
        <v>25.258266642624996</v>
      </c>
      <c r="J2059" s="198">
        <f t="shared" si="263"/>
        <v>0</v>
      </c>
      <c r="K2059" s="198">
        <f t="shared" si="258"/>
        <v>0</v>
      </c>
      <c r="L2059" s="198">
        <f>COUNTIF(J2059:K2059,"&lt;&gt;0")*-'Trading Model'!$E$15</f>
        <v>0</v>
      </c>
      <c r="M2059" s="198">
        <f t="shared" si="256"/>
        <v>0</v>
      </c>
      <c r="N2059" s="75">
        <f t="shared" si="259"/>
        <v>48</v>
      </c>
      <c r="O2059" s="202">
        <f t="shared" si="260"/>
        <v>0</v>
      </c>
      <c r="P2059" s="199">
        <f t="shared" si="257"/>
        <v>0</v>
      </c>
      <c r="Q2059" s="203">
        <f t="shared" si="261"/>
        <v>-1.5999999999985961</v>
      </c>
      <c r="R2059" s="203" t="s">
        <v>55</v>
      </c>
      <c r="S2059" s="201">
        <f t="shared" si="262"/>
        <v>0</v>
      </c>
    </row>
    <row r="2060" spans="1:19">
      <c r="A2060" s="196">
        <v>42956</v>
      </c>
      <c r="B2060" s="122">
        <v>28.15</v>
      </c>
      <c r="C2060" s="122">
        <v>28.4</v>
      </c>
      <c r="D2060" s="122">
        <v>27.360001</v>
      </c>
      <c r="E2060" s="122">
        <v>27.76</v>
      </c>
      <c r="F2060" s="122">
        <v>24.521242000000001</v>
      </c>
      <c r="G2060" s="197">
        <v>59000</v>
      </c>
      <c r="H2060" s="198">
        <f>IF(AND(E2059&gt;=H2059,E2060&gt;=E2059),E2059*(1+'Trading Model'!$E$13),IF(AND(E2060&lt;E2059,E2059&gt;=H2059),E2060*(1+'Trading Model'!$E$13),H2059))</f>
        <v>30.366000000000003</v>
      </c>
      <c r="I2060" s="198">
        <f>IF(K2060&gt;0,E2060*(1-'Trading Model'!E2070),IF(E2060&lt;I2059,I2059*(1-'Trading Model'!$E$14),I2059))</f>
        <v>25.258266642624996</v>
      </c>
      <c r="J2060" s="198">
        <f t="shared" si="263"/>
        <v>0</v>
      </c>
      <c r="K2060" s="198">
        <f t="shared" si="258"/>
        <v>0</v>
      </c>
      <c r="L2060" s="198">
        <f>COUNTIF(J2060:K2060,"&lt;&gt;0")*-'Trading Model'!$E$15</f>
        <v>0</v>
      </c>
      <c r="M2060" s="198">
        <f t="shared" si="256"/>
        <v>0</v>
      </c>
      <c r="N2060" s="75">
        <f t="shared" si="259"/>
        <v>48</v>
      </c>
      <c r="O2060" s="202">
        <f t="shared" si="260"/>
        <v>0</v>
      </c>
      <c r="P2060" s="199">
        <f t="shared" si="257"/>
        <v>0</v>
      </c>
      <c r="Q2060" s="203">
        <f t="shared" si="261"/>
        <v>-1.6999999999985962</v>
      </c>
      <c r="R2060" s="203" t="s">
        <v>55</v>
      </c>
      <c r="S2060" s="201">
        <f t="shared" si="262"/>
        <v>-1.8387587751499623E-2</v>
      </c>
    </row>
    <row r="2061" spans="1:19">
      <c r="A2061" s="196">
        <v>42957</v>
      </c>
      <c r="B2061" s="122">
        <v>27.809999000000001</v>
      </c>
      <c r="C2061" s="122">
        <v>27.809999000000001</v>
      </c>
      <c r="D2061" s="122">
        <v>25.969999000000001</v>
      </c>
      <c r="E2061" s="122">
        <v>27.01</v>
      </c>
      <c r="F2061" s="122">
        <v>23.858744000000002</v>
      </c>
      <c r="G2061" s="197">
        <v>91600</v>
      </c>
      <c r="H2061" s="198">
        <f>IF(AND(E2060&gt;=H2060,E2061&gt;=E2060),E2060*(1+'Trading Model'!$E$13),IF(AND(E2061&lt;E2060,E2060&gt;=H2060),E2061*(1+'Trading Model'!$E$13),H2060))</f>
        <v>30.366000000000003</v>
      </c>
      <c r="I2061" s="198">
        <f>IF(K2061&gt;0,E2061*(1-'Trading Model'!E2071),IF(E2061&lt;I2060,I2060*(1-'Trading Model'!$E$14),I2060))</f>
        <v>25.258266642624996</v>
      </c>
      <c r="J2061" s="198">
        <f t="shared" si="263"/>
        <v>0</v>
      </c>
      <c r="K2061" s="198">
        <f t="shared" si="258"/>
        <v>0</v>
      </c>
      <c r="L2061" s="198">
        <f>COUNTIF(J2061:K2061,"&lt;&gt;0")*-'Trading Model'!$E$15</f>
        <v>0</v>
      </c>
      <c r="M2061" s="198">
        <f t="shared" si="256"/>
        <v>0</v>
      </c>
      <c r="N2061" s="75">
        <f t="shared" si="259"/>
        <v>48</v>
      </c>
      <c r="O2061" s="202">
        <f t="shared" si="260"/>
        <v>0</v>
      </c>
      <c r="P2061" s="199">
        <f t="shared" si="257"/>
        <v>0</v>
      </c>
      <c r="Q2061" s="203">
        <f t="shared" si="261"/>
        <v>-1.7999999999985963</v>
      </c>
      <c r="R2061" s="203" t="s">
        <v>55</v>
      </c>
      <c r="S2061" s="201">
        <f t="shared" si="262"/>
        <v>-2.7017291066282367E-2</v>
      </c>
    </row>
    <row r="2062" spans="1:19">
      <c r="A2062" s="196">
        <v>42958</v>
      </c>
      <c r="B2062" s="122">
        <v>26.870000999999998</v>
      </c>
      <c r="C2062" s="122">
        <v>28.379999000000002</v>
      </c>
      <c r="D2062" s="122">
        <v>26.200001</v>
      </c>
      <c r="E2062" s="122">
        <v>28.139999</v>
      </c>
      <c r="F2062" s="122">
        <v>24.856907</v>
      </c>
      <c r="G2062" s="197">
        <v>211400</v>
      </c>
      <c r="H2062" s="198">
        <f>IF(AND(E2061&gt;=H2061,E2062&gt;=E2061),E2061*(1+'Trading Model'!$E$13),IF(AND(E2062&lt;E2061,E2061&gt;=H2061),E2062*(1+'Trading Model'!$E$13),H2061))</f>
        <v>30.366000000000003</v>
      </c>
      <c r="I2062" s="198">
        <f>IF(K2062&gt;0,E2062*(1-'Trading Model'!E2072),IF(E2062&lt;I2061,I2061*(1-'Trading Model'!$E$14),I2061))</f>
        <v>25.258266642624996</v>
      </c>
      <c r="J2062" s="198">
        <f t="shared" si="263"/>
        <v>0</v>
      </c>
      <c r="K2062" s="198">
        <f t="shared" si="258"/>
        <v>0</v>
      </c>
      <c r="L2062" s="198">
        <f>COUNTIF(J2062:K2062,"&lt;&gt;0")*-'Trading Model'!$E$15</f>
        <v>0</v>
      </c>
      <c r="M2062" s="198">
        <f t="shared" si="256"/>
        <v>0</v>
      </c>
      <c r="N2062" s="75">
        <f t="shared" si="259"/>
        <v>48</v>
      </c>
      <c r="O2062" s="202">
        <f t="shared" si="260"/>
        <v>0</v>
      </c>
      <c r="P2062" s="199">
        <f t="shared" si="257"/>
        <v>0</v>
      </c>
      <c r="Q2062" s="203">
        <f t="shared" si="261"/>
        <v>-1.7999999999985963</v>
      </c>
      <c r="R2062" s="201">
        <f>E2062/B2058-1</f>
        <v>3.9242952577847046E-3</v>
      </c>
      <c r="S2062" s="201">
        <f t="shared" si="262"/>
        <v>4.1836319881525252E-2</v>
      </c>
    </row>
    <row r="2063" spans="1:19">
      <c r="A2063" s="196">
        <v>42961</v>
      </c>
      <c r="B2063" s="122">
        <v>28.74</v>
      </c>
      <c r="C2063" s="122">
        <v>30.219999000000001</v>
      </c>
      <c r="D2063" s="122">
        <v>28.74</v>
      </c>
      <c r="E2063" s="122">
        <v>30.02</v>
      </c>
      <c r="F2063" s="122">
        <v>26.517565000000001</v>
      </c>
      <c r="G2063" s="197">
        <v>638400</v>
      </c>
      <c r="H2063" s="198">
        <f>IF(AND(E2062&gt;=H2062,E2063&gt;=E2062),E2062*(1+'Trading Model'!$E$13),IF(AND(E2063&lt;E2062,E2062&gt;=H2062),E2063*(1+'Trading Model'!$E$13),H2062))</f>
        <v>30.366000000000003</v>
      </c>
      <c r="I2063" s="198">
        <f>IF(K2063&gt;0,E2063*(1-'Trading Model'!E2073),IF(E2063&lt;I2062,I2062*(1-'Trading Model'!$E$14),I2062))</f>
        <v>25.258266642624996</v>
      </c>
      <c r="J2063" s="198">
        <f t="shared" si="263"/>
        <v>0</v>
      </c>
      <c r="K2063" s="198">
        <f t="shared" si="258"/>
        <v>0</v>
      </c>
      <c r="L2063" s="198">
        <f>COUNTIF(J2063:K2063,"&lt;&gt;0")*-'Trading Model'!$E$15</f>
        <v>0</v>
      </c>
      <c r="M2063" s="198">
        <f t="shared" si="256"/>
        <v>0</v>
      </c>
      <c r="N2063" s="75">
        <f t="shared" si="259"/>
        <v>48</v>
      </c>
      <c r="O2063" s="202">
        <f t="shared" si="260"/>
        <v>0</v>
      </c>
      <c r="P2063" s="199">
        <f t="shared" si="257"/>
        <v>0</v>
      </c>
      <c r="Q2063" s="203">
        <f t="shared" si="261"/>
        <v>-1.7999999999985963</v>
      </c>
      <c r="R2063" s="160" t="s">
        <v>55</v>
      </c>
      <c r="S2063" s="201">
        <f t="shared" si="262"/>
        <v>6.6808850988232082E-2</v>
      </c>
    </row>
    <row r="2064" spans="1:19">
      <c r="A2064" s="196">
        <v>42962</v>
      </c>
      <c r="B2064" s="122">
        <v>30.139999</v>
      </c>
      <c r="C2064" s="122">
        <v>30.35</v>
      </c>
      <c r="D2064" s="122">
        <v>28.950001</v>
      </c>
      <c r="E2064" s="122">
        <v>29.65</v>
      </c>
      <c r="F2064" s="122">
        <v>26.190735</v>
      </c>
      <c r="G2064" s="197">
        <v>361900</v>
      </c>
      <c r="H2064" s="198">
        <f>IF(AND(E2063&gt;=H2063,E2064&gt;=E2063),E2063*(1+'Trading Model'!$E$13),IF(AND(E2064&lt;E2063,E2063&gt;=H2063),E2064*(1+'Trading Model'!$E$13),H2063))</f>
        <v>30.366000000000003</v>
      </c>
      <c r="I2064" s="198">
        <f>IF(K2064&gt;0,E2064*(1-'Trading Model'!E2074),IF(E2064&lt;I2063,I2063*(1-'Trading Model'!$E$14),I2063))</f>
        <v>25.258266642624996</v>
      </c>
      <c r="J2064" s="198">
        <f t="shared" si="263"/>
        <v>0</v>
      </c>
      <c r="K2064" s="198">
        <f t="shared" si="258"/>
        <v>0</v>
      </c>
      <c r="L2064" s="198">
        <f>COUNTIF(J2064:K2064,"&lt;&gt;0")*-'Trading Model'!$E$15</f>
        <v>0</v>
      </c>
      <c r="M2064" s="198">
        <f t="shared" si="256"/>
        <v>0</v>
      </c>
      <c r="N2064" s="75">
        <f t="shared" si="259"/>
        <v>48</v>
      </c>
      <c r="O2064" s="202">
        <f t="shared" si="260"/>
        <v>0</v>
      </c>
      <c r="P2064" s="199">
        <f t="shared" si="257"/>
        <v>0</v>
      </c>
      <c r="Q2064" s="203">
        <f t="shared" si="261"/>
        <v>-1.8999999999985964</v>
      </c>
      <c r="R2064" s="203" t="s">
        <v>55</v>
      </c>
      <c r="S2064" s="201">
        <f t="shared" si="262"/>
        <v>-1.2325116588940754E-2</v>
      </c>
    </row>
    <row r="2065" spans="1:19">
      <c r="A2065" s="196">
        <v>42963</v>
      </c>
      <c r="B2065" s="122">
        <v>29.73</v>
      </c>
      <c r="C2065" s="122">
        <v>30.040001</v>
      </c>
      <c r="D2065" s="122">
        <v>29.440000999999999</v>
      </c>
      <c r="E2065" s="122">
        <v>29.860001</v>
      </c>
      <c r="F2065" s="122">
        <v>26.376234</v>
      </c>
      <c r="G2065" s="197">
        <v>95200</v>
      </c>
      <c r="H2065" s="198">
        <f>IF(AND(E2064&gt;=H2064,E2065&gt;=E2064),E2064*(1+'Trading Model'!$E$13),IF(AND(E2065&lt;E2064,E2064&gt;=H2064),E2065*(1+'Trading Model'!$E$13),H2064))</f>
        <v>30.366000000000003</v>
      </c>
      <c r="I2065" s="198">
        <f>IF(K2065&gt;0,E2065*(1-'Trading Model'!E2075),IF(E2065&lt;I2064,I2064*(1-'Trading Model'!$E$14),I2064))</f>
        <v>25.258266642624996</v>
      </c>
      <c r="J2065" s="198">
        <f t="shared" si="263"/>
        <v>0</v>
      </c>
      <c r="K2065" s="198">
        <f t="shared" si="258"/>
        <v>0</v>
      </c>
      <c r="L2065" s="198">
        <f>COUNTIF(J2065:K2065,"&lt;&gt;0")*-'Trading Model'!$E$15</f>
        <v>0</v>
      </c>
      <c r="M2065" s="198">
        <f t="shared" si="256"/>
        <v>0</v>
      </c>
      <c r="N2065" s="75">
        <f t="shared" si="259"/>
        <v>48</v>
      </c>
      <c r="O2065" s="202">
        <f t="shared" si="260"/>
        <v>0</v>
      </c>
      <c r="P2065" s="199">
        <f t="shared" si="257"/>
        <v>0</v>
      </c>
      <c r="Q2065" s="203">
        <f t="shared" si="261"/>
        <v>-1.8999999999985964</v>
      </c>
      <c r="R2065" s="203" t="s">
        <v>55</v>
      </c>
      <c r="S2065" s="201">
        <f t="shared" si="262"/>
        <v>7.0826644182124809E-3</v>
      </c>
    </row>
    <row r="2066" spans="1:19">
      <c r="A2066" s="196">
        <v>42964</v>
      </c>
      <c r="B2066" s="122">
        <v>29.799999</v>
      </c>
      <c r="C2066" s="122">
        <v>30.549999</v>
      </c>
      <c r="D2066" s="122">
        <v>29.49</v>
      </c>
      <c r="E2066" s="122">
        <v>30.5</v>
      </c>
      <c r="F2066" s="122">
        <v>26.941562999999999</v>
      </c>
      <c r="G2066" s="197">
        <v>224600</v>
      </c>
      <c r="H2066" s="198">
        <f>IF(AND(E2065&gt;=H2065,E2066&gt;=E2065),E2065*(1+'Trading Model'!$E$13),IF(AND(E2066&lt;E2065,E2065&gt;=H2065),E2066*(1+'Trading Model'!$E$13),H2065))</f>
        <v>30.366000000000003</v>
      </c>
      <c r="I2066" s="198">
        <f>IF(K2066&gt;0,E2066*(1-'Trading Model'!E2076),IF(E2066&lt;I2065,I2065*(1-'Trading Model'!$E$14),I2065))</f>
        <v>30.5</v>
      </c>
      <c r="J2066" s="198">
        <f t="shared" si="263"/>
        <v>-30.5</v>
      </c>
      <c r="K2066" s="198">
        <f t="shared" si="258"/>
        <v>30.5</v>
      </c>
      <c r="L2066" s="198">
        <f>COUNTIF(J2066:K2066,"&lt;&gt;0")*-'Trading Model'!$E$15</f>
        <v>-0.2</v>
      </c>
      <c r="M2066" s="198">
        <f t="shared" si="256"/>
        <v>-0.2</v>
      </c>
      <c r="N2066" s="75">
        <f t="shared" si="259"/>
        <v>48</v>
      </c>
      <c r="O2066" s="202">
        <f t="shared" si="260"/>
        <v>0</v>
      </c>
      <c r="P2066" s="199">
        <f t="shared" si="257"/>
        <v>0</v>
      </c>
      <c r="Q2066" s="203">
        <f t="shared" si="261"/>
        <v>-1.8999999999985964</v>
      </c>
      <c r="R2066" s="203" t="s">
        <v>55</v>
      </c>
      <c r="S2066" s="201">
        <f t="shared" si="262"/>
        <v>2.1433321452333454E-2</v>
      </c>
    </row>
    <row r="2067" spans="1:19">
      <c r="A2067" s="196">
        <v>42965</v>
      </c>
      <c r="B2067" s="122">
        <v>30.5</v>
      </c>
      <c r="C2067" s="122">
        <v>31.110001</v>
      </c>
      <c r="D2067" s="122">
        <v>30.35</v>
      </c>
      <c r="E2067" s="122">
        <v>31.110001</v>
      </c>
      <c r="F2067" s="122">
        <v>27.480395999999999</v>
      </c>
      <c r="G2067" s="197">
        <v>145800</v>
      </c>
      <c r="H2067" s="198">
        <f>IF(AND(E2066&gt;=H2066,E2067&gt;=E2066),E2066*(1+'Trading Model'!$E$13),IF(AND(E2067&lt;E2066,E2066&gt;=H2066),E2067*(1+'Trading Model'!$E$13),H2066))</f>
        <v>32.024999999999999</v>
      </c>
      <c r="I2067" s="198">
        <f>IF(K2067&gt;0,E2067*(1-'Trading Model'!E2077),IF(E2067&lt;I2066,I2066*(1-'Trading Model'!$E$14),I2066))</f>
        <v>30.5</v>
      </c>
      <c r="J2067" s="198">
        <f t="shared" si="263"/>
        <v>0</v>
      </c>
      <c r="K2067" s="198">
        <f t="shared" si="258"/>
        <v>0</v>
      </c>
      <c r="L2067" s="198">
        <f>COUNTIF(J2067:K2067,"&lt;&gt;0")*-'Trading Model'!$E$15</f>
        <v>0</v>
      </c>
      <c r="M2067" s="198">
        <f t="shared" si="256"/>
        <v>0</v>
      </c>
      <c r="N2067" s="75">
        <f t="shared" si="259"/>
        <v>48</v>
      </c>
      <c r="O2067" s="202">
        <f t="shared" si="260"/>
        <v>0</v>
      </c>
      <c r="P2067" s="199">
        <f t="shared" si="257"/>
        <v>0</v>
      </c>
      <c r="Q2067" s="203">
        <f t="shared" si="261"/>
        <v>-1.8999999999985964</v>
      </c>
      <c r="R2067" s="201">
        <f>E2067/B2063-1</f>
        <v>8.2463500347947249E-2</v>
      </c>
      <c r="S2067" s="201">
        <f t="shared" si="262"/>
        <v>2.0000032786885225E-2</v>
      </c>
    </row>
    <row r="2068" spans="1:19">
      <c r="A2068" s="196">
        <v>42968</v>
      </c>
      <c r="B2068" s="122">
        <v>30.959999</v>
      </c>
      <c r="C2068" s="122">
        <v>31.530000999999999</v>
      </c>
      <c r="D2068" s="122">
        <v>30.709999</v>
      </c>
      <c r="E2068" s="122">
        <v>31.469999000000001</v>
      </c>
      <c r="F2068" s="122">
        <v>27.798394999999999</v>
      </c>
      <c r="G2068" s="197">
        <v>296700</v>
      </c>
      <c r="H2068" s="198">
        <f>IF(AND(E2067&gt;=H2067,E2068&gt;=E2067),E2067*(1+'Trading Model'!$E$13),IF(AND(E2068&lt;E2067,E2067&gt;=H2067),E2068*(1+'Trading Model'!$E$13),H2067))</f>
        <v>32.024999999999999</v>
      </c>
      <c r="I2068" s="198">
        <f>IF(K2068&gt;0,E2068*(1-'Trading Model'!E2078),IF(E2068&lt;I2067,I2067*(1-'Trading Model'!$E$14),I2067))</f>
        <v>30.5</v>
      </c>
      <c r="J2068" s="198">
        <f t="shared" si="263"/>
        <v>0</v>
      </c>
      <c r="K2068" s="198">
        <f t="shared" si="258"/>
        <v>0</v>
      </c>
      <c r="L2068" s="198">
        <f>COUNTIF(J2068:K2068,"&lt;&gt;0")*-'Trading Model'!$E$15</f>
        <v>0</v>
      </c>
      <c r="M2068" s="198">
        <f t="shared" si="256"/>
        <v>0</v>
      </c>
      <c r="N2068" s="75">
        <f t="shared" si="259"/>
        <v>48</v>
      </c>
      <c r="O2068" s="202">
        <f t="shared" si="260"/>
        <v>0</v>
      </c>
      <c r="P2068" s="199">
        <f t="shared" si="257"/>
        <v>0</v>
      </c>
      <c r="Q2068" s="203">
        <f t="shared" si="261"/>
        <v>-1.8999999999985964</v>
      </c>
      <c r="R2068" s="160" t="s">
        <v>55</v>
      </c>
      <c r="S2068" s="201">
        <f t="shared" si="262"/>
        <v>1.1571777191521138E-2</v>
      </c>
    </row>
    <row r="2069" spans="1:19">
      <c r="A2069" s="196">
        <v>42969</v>
      </c>
      <c r="B2069" s="122">
        <v>31.34</v>
      </c>
      <c r="C2069" s="122">
        <v>31.42</v>
      </c>
      <c r="D2069" s="122">
        <v>30.4</v>
      </c>
      <c r="E2069" s="122">
        <v>30.860001</v>
      </c>
      <c r="F2069" s="122">
        <v>27.259563</v>
      </c>
      <c r="G2069" s="197">
        <v>353200</v>
      </c>
      <c r="H2069" s="198">
        <f>IF(AND(E2068&gt;=H2068,E2069&gt;=E2068),E2068*(1+'Trading Model'!$E$13),IF(AND(E2069&lt;E2068,E2068&gt;=H2068),E2069*(1+'Trading Model'!$E$13),H2068))</f>
        <v>32.024999999999999</v>
      </c>
      <c r="I2069" s="198">
        <f>IF(K2069&gt;0,E2069*(1-'Trading Model'!E2079),IF(E2069&lt;I2068,I2068*(1-'Trading Model'!$E$14),I2068))</f>
        <v>30.5</v>
      </c>
      <c r="J2069" s="198">
        <f t="shared" si="263"/>
        <v>0</v>
      </c>
      <c r="K2069" s="198">
        <f t="shared" si="258"/>
        <v>0</v>
      </c>
      <c r="L2069" s="198">
        <f>COUNTIF(J2069:K2069,"&lt;&gt;0")*-'Trading Model'!$E$15</f>
        <v>0</v>
      </c>
      <c r="M2069" s="198">
        <f t="shared" si="256"/>
        <v>0</v>
      </c>
      <c r="N2069" s="75">
        <f t="shared" si="259"/>
        <v>48</v>
      </c>
      <c r="O2069" s="202">
        <f t="shared" si="260"/>
        <v>0</v>
      </c>
      <c r="P2069" s="199">
        <f t="shared" si="257"/>
        <v>0</v>
      </c>
      <c r="Q2069" s="203">
        <f t="shared" si="261"/>
        <v>-1.9999999999985965</v>
      </c>
      <c r="R2069" s="203" t="s">
        <v>55</v>
      </c>
      <c r="S2069" s="201">
        <f t="shared" si="262"/>
        <v>-1.9383476942595457E-2</v>
      </c>
    </row>
    <row r="2070" spans="1:19">
      <c r="A2070" s="196">
        <v>42970</v>
      </c>
      <c r="B2070" s="122">
        <v>30.92</v>
      </c>
      <c r="C2070" s="122">
        <v>30.940000999999999</v>
      </c>
      <c r="D2070" s="122">
        <v>29.42</v>
      </c>
      <c r="E2070" s="122">
        <v>29.889999</v>
      </c>
      <c r="F2070" s="122">
        <v>26.402730999999999</v>
      </c>
      <c r="G2070" s="197">
        <v>403000</v>
      </c>
      <c r="H2070" s="198">
        <f>IF(AND(E2069&gt;=H2069,E2070&gt;=E2069),E2069*(1+'Trading Model'!$E$13),IF(AND(E2070&lt;E2069,E2069&gt;=H2069),E2070*(1+'Trading Model'!$E$13),H2069))</f>
        <v>32.024999999999999</v>
      </c>
      <c r="I2070" s="198">
        <f>IF(K2070&gt;0,E2070*(1-'Trading Model'!E2080),IF(E2070&lt;I2069,I2069*(1-'Trading Model'!$E$14),I2069))</f>
        <v>28.974999999999998</v>
      </c>
      <c r="J2070" s="198">
        <f t="shared" si="263"/>
        <v>-29.889999</v>
      </c>
      <c r="K2070" s="198">
        <f t="shared" si="258"/>
        <v>0</v>
      </c>
      <c r="L2070" s="198">
        <f>COUNTIF(J2070:K2070,"&lt;&gt;0")*-'Trading Model'!$E$15</f>
        <v>-0.1</v>
      </c>
      <c r="M2070" s="198">
        <f t="shared" si="256"/>
        <v>-29.989999000000001</v>
      </c>
      <c r="N2070" s="75">
        <f t="shared" si="259"/>
        <v>49</v>
      </c>
      <c r="O2070" s="202">
        <f t="shared" si="260"/>
        <v>0</v>
      </c>
      <c r="P2070" s="199">
        <f t="shared" si="257"/>
        <v>0</v>
      </c>
      <c r="Q2070" s="203">
        <f t="shared" si="261"/>
        <v>-2.0999999999985963</v>
      </c>
      <c r="R2070" s="203" t="s">
        <v>55</v>
      </c>
      <c r="S2070" s="201">
        <f t="shared" si="262"/>
        <v>-3.1432338579639119E-2</v>
      </c>
    </row>
    <row r="2071" spans="1:19">
      <c r="A2071" s="196">
        <v>42971</v>
      </c>
      <c r="B2071" s="122">
        <v>30.07</v>
      </c>
      <c r="C2071" s="122">
        <v>30.07</v>
      </c>
      <c r="D2071" s="122">
        <v>29.299999</v>
      </c>
      <c r="E2071" s="122">
        <v>29.719999000000001</v>
      </c>
      <c r="F2071" s="122">
        <v>26.252566999999999</v>
      </c>
      <c r="G2071" s="197">
        <v>172400</v>
      </c>
      <c r="H2071" s="198">
        <f>IF(AND(E2070&gt;=H2070,E2071&gt;=E2070),E2070*(1+'Trading Model'!$E$13),IF(AND(E2071&lt;E2070,E2070&gt;=H2070),E2071*(1+'Trading Model'!$E$13),H2070))</f>
        <v>32.024999999999999</v>
      </c>
      <c r="I2071" s="198">
        <f>IF(K2071&gt;0,E2071*(1-'Trading Model'!E2081),IF(E2071&lt;I2070,I2070*(1-'Trading Model'!$E$14),I2070))</f>
        <v>28.974999999999998</v>
      </c>
      <c r="J2071" s="198">
        <f t="shared" si="263"/>
        <v>0</v>
      </c>
      <c r="K2071" s="198">
        <f t="shared" si="258"/>
        <v>0</v>
      </c>
      <c r="L2071" s="198">
        <f>COUNTIF(J2071:K2071,"&lt;&gt;0")*-'Trading Model'!$E$15</f>
        <v>0</v>
      </c>
      <c r="M2071" s="198">
        <f t="shared" si="256"/>
        <v>0</v>
      </c>
      <c r="N2071" s="75">
        <f t="shared" si="259"/>
        <v>49</v>
      </c>
      <c r="O2071" s="202">
        <f t="shared" si="260"/>
        <v>0</v>
      </c>
      <c r="P2071" s="199">
        <f t="shared" si="257"/>
        <v>0</v>
      </c>
      <c r="Q2071" s="203">
        <f t="shared" si="261"/>
        <v>-2.1999999999985964</v>
      </c>
      <c r="R2071" s="203" t="s">
        <v>55</v>
      </c>
      <c r="S2071" s="201">
        <f t="shared" si="262"/>
        <v>-5.6875211002850312E-3</v>
      </c>
    </row>
    <row r="2072" spans="1:19">
      <c r="A2072" s="196">
        <v>42972</v>
      </c>
      <c r="B2072" s="122">
        <v>29.540001</v>
      </c>
      <c r="C2072" s="122">
        <v>29.98</v>
      </c>
      <c r="D2072" s="122">
        <v>29.5</v>
      </c>
      <c r="E2072" s="122">
        <v>29.5</v>
      </c>
      <c r="F2072" s="122">
        <v>26.058235</v>
      </c>
      <c r="G2072" s="197">
        <v>214200</v>
      </c>
      <c r="H2072" s="198">
        <f>IF(AND(E2071&gt;=H2071,E2072&gt;=E2071),E2071*(1+'Trading Model'!$E$13),IF(AND(E2072&lt;E2071,E2071&gt;=H2071),E2072*(1+'Trading Model'!$E$13),H2071))</f>
        <v>32.024999999999999</v>
      </c>
      <c r="I2072" s="198">
        <f>IF(K2072&gt;0,E2072*(1-'Trading Model'!E2082),IF(E2072&lt;I2071,I2071*(1-'Trading Model'!$E$14),I2071))</f>
        <v>28.974999999999998</v>
      </c>
      <c r="J2072" s="198">
        <f t="shared" si="263"/>
        <v>0</v>
      </c>
      <c r="K2072" s="198">
        <f t="shared" si="258"/>
        <v>0</v>
      </c>
      <c r="L2072" s="198">
        <f>COUNTIF(J2072:K2072,"&lt;&gt;0")*-'Trading Model'!$E$15</f>
        <v>0</v>
      </c>
      <c r="M2072" s="198">
        <f t="shared" si="256"/>
        <v>0</v>
      </c>
      <c r="N2072" s="75">
        <f t="shared" si="259"/>
        <v>49</v>
      </c>
      <c r="O2072" s="202">
        <f t="shared" si="260"/>
        <v>0</v>
      </c>
      <c r="P2072" s="199">
        <f t="shared" si="257"/>
        <v>0</v>
      </c>
      <c r="Q2072" s="203">
        <f t="shared" si="261"/>
        <v>-2.2999999999985965</v>
      </c>
      <c r="R2072" s="201">
        <f>E2072/B2068-1</f>
        <v>-4.7157591962454504E-2</v>
      </c>
      <c r="S2072" s="201">
        <f t="shared" si="262"/>
        <v>-7.4023892127318414E-3</v>
      </c>
    </row>
    <row r="2073" spans="1:19">
      <c r="A2073" s="196">
        <v>42975</v>
      </c>
      <c r="B2073" s="122">
        <v>29.91</v>
      </c>
      <c r="C2073" s="122">
        <v>31.709999</v>
      </c>
      <c r="D2073" s="122">
        <v>29.91</v>
      </c>
      <c r="E2073" s="122">
        <v>31.1</v>
      </c>
      <c r="F2073" s="122">
        <v>27.471563</v>
      </c>
      <c r="G2073" s="197">
        <v>354900</v>
      </c>
      <c r="H2073" s="198">
        <f>IF(AND(E2072&gt;=H2072,E2073&gt;=E2072),E2072*(1+'Trading Model'!$E$13),IF(AND(E2073&lt;E2072,E2072&gt;=H2072),E2073*(1+'Trading Model'!$E$13),H2072))</f>
        <v>32.024999999999999</v>
      </c>
      <c r="I2073" s="198">
        <f>IF(K2073&gt;0,E2073*(1-'Trading Model'!E2083),IF(E2073&lt;I2072,I2072*(1-'Trading Model'!$E$14),I2072))</f>
        <v>28.974999999999998</v>
      </c>
      <c r="J2073" s="198">
        <f t="shared" si="263"/>
        <v>0</v>
      </c>
      <c r="K2073" s="198">
        <f t="shared" si="258"/>
        <v>0</v>
      </c>
      <c r="L2073" s="198">
        <f>COUNTIF(J2073:K2073,"&lt;&gt;0")*-'Trading Model'!$E$15</f>
        <v>0</v>
      </c>
      <c r="M2073" s="198">
        <f t="shared" si="256"/>
        <v>0</v>
      </c>
      <c r="N2073" s="75">
        <f t="shared" si="259"/>
        <v>49</v>
      </c>
      <c r="O2073" s="202">
        <f t="shared" si="260"/>
        <v>0</v>
      </c>
      <c r="P2073" s="199">
        <f t="shared" si="257"/>
        <v>0</v>
      </c>
      <c r="Q2073" s="203">
        <f t="shared" si="261"/>
        <v>-2.2999999999985965</v>
      </c>
      <c r="R2073" s="160" t="s">
        <v>55</v>
      </c>
      <c r="S2073" s="201">
        <f t="shared" si="262"/>
        <v>5.4237288135593253E-2</v>
      </c>
    </row>
    <row r="2074" spans="1:19">
      <c r="A2074" s="196">
        <v>42976</v>
      </c>
      <c r="B2074" s="122">
        <v>31.040001</v>
      </c>
      <c r="C2074" s="122">
        <v>31.4</v>
      </c>
      <c r="D2074" s="122">
        <v>30.379999000000002</v>
      </c>
      <c r="E2074" s="122">
        <v>30.68</v>
      </c>
      <c r="F2074" s="122">
        <v>27.100565</v>
      </c>
      <c r="G2074" s="197">
        <v>177800</v>
      </c>
      <c r="H2074" s="198">
        <f>IF(AND(E2073&gt;=H2073,E2074&gt;=E2073),E2073*(1+'Trading Model'!$E$13),IF(AND(E2074&lt;E2073,E2073&gt;=H2073),E2074*(1+'Trading Model'!$E$13),H2073))</f>
        <v>32.024999999999999</v>
      </c>
      <c r="I2074" s="198">
        <f>IF(K2074&gt;0,E2074*(1-'Trading Model'!E2084),IF(E2074&lt;I2073,I2073*(1-'Trading Model'!$E$14),I2073))</f>
        <v>28.974999999999998</v>
      </c>
      <c r="J2074" s="198">
        <f t="shared" si="263"/>
        <v>0</v>
      </c>
      <c r="K2074" s="198">
        <f t="shared" si="258"/>
        <v>0</v>
      </c>
      <c r="L2074" s="198">
        <f>COUNTIF(J2074:K2074,"&lt;&gt;0")*-'Trading Model'!$E$15</f>
        <v>0</v>
      </c>
      <c r="M2074" s="198">
        <f t="shared" si="256"/>
        <v>0</v>
      </c>
      <c r="N2074" s="75">
        <f t="shared" si="259"/>
        <v>49</v>
      </c>
      <c r="O2074" s="202">
        <f t="shared" si="260"/>
        <v>0</v>
      </c>
      <c r="P2074" s="199">
        <f t="shared" si="257"/>
        <v>0</v>
      </c>
      <c r="Q2074" s="203">
        <f t="shared" si="261"/>
        <v>-2.3999999999985966</v>
      </c>
      <c r="R2074" s="203" t="s">
        <v>55</v>
      </c>
      <c r="S2074" s="201">
        <f t="shared" si="262"/>
        <v>-1.3504823151125445E-2</v>
      </c>
    </row>
    <row r="2075" spans="1:19">
      <c r="A2075" s="196">
        <v>42977</v>
      </c>
      <c r="B2075" s="122">
        <v>30.700001</v>
      </c>
      <c r="C2075" s="122">
        <v>31.35</v>
      </c>
      <c r="D2075" s="122">
        <v>30.700001</v>
      </c>
      <c r="E2075" s="122">
        <v>31.139999</v>
      </c>
      <c r="F2075" s="122">
        <v>27.506895</v>
      </c>
      <c r="G2075" s="197">
        <v>344700</v>
      </c>
      <c r="H2075" s="198">
        <f>IF(AND(E2074&gt;=H2074,E2075&gt;=E2074),E2074*(1+'Trading Model'!$E$13),IF(AND(E2075&lt;E2074,E2074&gt;=H2074),E2075*(1+'Trading Model'!$E$13),H2074))</f>
        <v>32.024999999999999</v>
      </c>
      <c r="I2075" s="198">
        <f>IF(K2075&gt;0,E2075*(1-'Trading Model'!E2085),IF(E2075&lt;I2074,I2074*(1-'Trading Model'!$E$14),I2074))</f>
        <v>28.974999999999998</v>
      </c>
      <c r="J2075" s="198">
        <f t="shared" si="263"/>
        <v>0</v>
      </c>
      <c r="K2075" s="198">
        <f t="shared" si="258"/>
        <v>0</v>
      </c>
      <c r="L2075" s="198">
        <f>COUNTIF(J2075:K2075,"&lt;&gt;0")*-'Trading Model'!$E$15</f>
        <v>0</v>
      </c>
      <c r="M2075" s="198">
        <f t="shared" si="256"/>
        <v>0</v>
      </c>
      <c r="N2075" s="75">
        <f t="shared" si="259"/>
        <v>49</v>
      </c>
      <c r="O2075" s="202">
        <f t="shared" si="260"/>
        <v>0</v>
      </c>
      <c r="P2075" s="199">
        <f t="shared" si="257"/>
        <v>0</v>
      </c>
      <c r="Q2075" s="203">
        <f t="shared" si="261"/>
        <v>-2.3999999999985966</v>
      </c>
      <c r="R2075" s="203" t="s">
        <v>55</v>
      </c>
      <c r="S2075" s="201">
        <f t="shared" si="262"/>
        <v>1.4993448500651985E-2</v>
      </c>
    </row>
    <row r="2076" spans="1:19">
      <c r="A2076" s="196">
        <v>42978</v>
      </c>
      <c r="B2076" s="122">
        <v>31.440000999999999</v>
      </c>
      <c r="C2076" s="122">
        <v>31.440000999999999</v>
      </c>
      <c r="D2076" s="122">
        <v>29.9</v>
      </c>
      <c r="E2076" s="122">
        <v>29.950001</v>
      </c>
      <c r="F2076" s="122">
        <v>26.455734</v>
      </c>
      <c r="G2076" s="197">
        <v>360300</v>
      </c>
      <c r="H2076" s="198">
        <f>IF(AND(E2075&gt;=H2075,E2076&gt;=E2075),E2075*(1+'Trading Model'!$E$13),IF(AND(E2076&lt;E2075,E2075&gt;=H2075),E2076*(1+'Trading Model'!$E$13),H2075))</f>
        <v>32.024999999999999</v>
      </c>
      <c r="I2076" s="198">
        <f>IF(K2076&gt;0,E2076*(1-'Trading Model'!E2086),IF(E2076&lt;I2075,I2075*(1-'Trading Model'!$E$14),I2075))</f>
        <v>28.974999999999998</v>
      </c>
      <c r="J2076" s="198">
        <f t="shared" si="263"/>
        <v>0</v>
      </c>
      <c r="K2076" s="198">
        <f t="shared" si="258"/>
        <v>0</v>
      </c>
      <c r="L2076" s="198">
        <f>COUNTIF(J2076:K2076,"&lt;&gt;0")*-'Trading Model'!$E$15</f>
        <v>0</v>
      </c>
      <c r="M2076" s="198">
        <f t="shared" si="256"/>
        <v>0</v>
      </c>
      <c r="N2076" s="75">
        <f t="shared" si="259"/>
        <v>49</v>
      </c>
      <c r="O2076" s="202">
        <f t="shared" si="260"/>
        <v>0</v>
      </c>
      <c r="P2076" s="199">
        <f t="shared" si="257"/>
        <v>0</v>
      </c>
      <c r="Q2076" s="203">
        <f t="shared" si="261"/>
        <v>-2.4999999999985967</v>
      </c>
      <c r="R2076" s="203" t="s">
        <v>55</v>
      </c>
      <c r="S2076" s="201">
        <f t="shared" si="262"/>
        <v>-3.821445209423413E-2</v>
      </c>
    </row>
    <row r="2077" spans="1:19">
      <c r="A2077" s="196">
        <v>42979</v>
      </c>
      <c r="B2077" s="122">
        <v>30.34</v>
      </c>
      <c r="C2077" s="122">
        <v>31.16</v>
      </c>
      <c r="D2077" s="122">
        <v>30.34</v>
      </c>
      <c r="E2077" s="122">
        <v>30.469999000000001</v>
      </c>
      <c r="F2077" s="122">
        <v>26.915064000000001</v>
      </c>
      <c r="G2077" s="197">
        <v>140500</v>
      </c>
      <c r="H2077" s="198">
        <f>IF(AND(E2076&gt;=H2076,E2077&gt;=E2076),E2076*(1+'Trading Model'!$E$13),IF(AND(E2077&lt;E2076,E2076&gt;=H2076),E2077*(1+'Trading Model'!$E$13),H2076))</f>
        <v>32.024999999999999</v>
      </c>
      <c r="I2077" s="198">
        <f>IF(K2077&gt;0,E2077*(1-'Trading Model'!E2087),IF(E2077&lt;I2076,I2076*(1-'Trading Model'!$E$14),I2076))</f>
        <v>28.974999999999998</v>
      </c>
      <c r="J2077" s="198">
        <f t="shared" si="263"/>
        <v>0</v>
      </c>
      <c r="K2077" s="198">
        <f t="shared" si="258"/>
        <v>0</v>
      </c>
      <c r="L2077" s="198">
        <f>COUNTIF(J2077:K2077,"&lt;&gt;0")*-'Trading Model'!$E$15</f>
        <v>0</v>
      </c>
      <c r="M2077" s="198">
        <f t="shared" si="256"/>
        <v>0</v>
      </c>
      <c r="N2077" s="75">
        <f t="shared" si="259"/>
        <v>49</v>
      </c>
      <c r="O2077" s="202">
        <f t="shared" si="260"/>
        <v>0</v>
      </c>
      <c r="P2077" s="199">
        <f t="shared" si="257"/>
        <v>0</v>
      </c>
      <c r="Q2077" s="203">
        <f t="shared" si="261"/>
        <v>-2.4999999999985967</v>
      </c>
      <c r="R2077" s="201">
        <f>E2077/B2073-1</f>
        <v>1.8722801738549011E-2</v>
      </c>
      <c r="S2077" s="201">
        <f t="shared" si="262"/>
        <v>1.7362203093081785E-2</v>
      </c>
    </row>
    <row r="2078" spans="1:19">
      <c r="A2078" s="196">
        <v>42983</v>
      </c>
      <c r="B2078" s="122">
        <v>30.85</v>
      </c>
      <c r="C2078" s="122">
        <v>31.73</v>
      </c>
      <c r="D2078" s="122">
        <v>30.6</v>
      </c>
      <c r="E2078" s="122">
        <v>31.66</v>
      </c>
      <c r="F2078" s="122">
        <v>27.966227</v>
      </c>
      <c r="G2078" s="197">
        <v>282900</v>
      </c>
      <c r="H2078" s="198">
        <f>IF(AND(E2077&gt;=H2077,E2078&gt;=E2077),E2077*(1+'Trading Model'!$E$13),IF(AND(E2078&lt;E2077,E2077&gt;=H2077),E2078*(1+'Trading Model'!$E$13),H2077))</f>
        <v>32.024999999999999</v>
      </c>
      <c r="I2078" s="198">
        <f>IF(K2078&gt;0,E2078*(1-'Trading Model'!E2088),IF(E2078&lt;I2077,I2077*(1-'Trading Model'!$E$14),I2077))</f>
        <v>28.974999999999998</v>
      </c>
      <c r="J2078" s="198">
        <f t="shared" si="263"/>
        <v>0</v>
      </c>
      <c r="K2078" s="198">
        <f t="shared" si="258"/>
        <v>0</v>
      </c>
      <c r="L2078" s="198">
        <f>COUNTIF(J2078:K2078,"&lt;&gt;0")*-'Trading Model'!$E$15</f>
        <v>0</v>
      </c>
      <c r="M2078" s="198">
        <f t="shared" si="256"/>
        <v>0</v>
      </c>
      <c r="N2078" s="75">
        <f t="shared" si="259"/>
        <v>49</v>
      </c>
      <c r="O2078" s="202">
        <f t="shared" si="260"/>
        <v>0</v>
      </c>
      <c r="P2078" s="199">
        <f t="shared" si="257"/>
        <v>0</v>
      </c>
      <c r="Q2078" s="203">
        <f t="shared" si="261"/>
        <v>-2.4999999999985967</v>
      </c>
      <c r="R2078" s="160" t="s">
        <v>55</v>
      </c>
      <c r="S2078" s="201">
        <f t="shared" si="262"/>
        <v>3.90548421087904E-2</v>
      </c>
    </row>
    <row r="2079" spans="1:19">
      <c r="A2079" s="196">
        <v>42984</v>
      </c>
      <c r="B2079" s="122">
        <v>31.67</v>
      </c>
      <c r="C2079" s="122">
        <v>31.83</v>
      </c>
      <c r="D2079" s="122">
        <v>30.73</v>
      </c>
      <c r="E2079" s="122">
        <v>31.299999</v>
      </c>
      <c r="F2079" s="122">
        <v>27.648228</v>
      </c>
      <c r="G2079" s="197">
        <v>212200</v>
      </c>
      <c r="H2079" s="198">
        <f>IF(AND(E2078&gt;=H2078,E2079&gt;=E2078),E2078*(1+'Trading Model'!$E$13),IF(AND(E2079&lt;E2078,E2078&gt;=H2078),E2079*(1+'Trading Model'!$E$13),H2078))</f>
        <v>32.024999999999999</v>
      </c>
      <c r="I2079" s="198">
        <f>IF(K2079&gt;0,E2079*(1-'Trading Model'!E2089),IF(E2079&lt;I2078,I2078*(1-'Trading Model'!$E$14),I2078))</f>
        <v>28.974999999999998</v>
      </c>
      <c r="J2079" s="198">
        <f t="shared" si="263"/>
        <v>0</v>
      </c>
      <c r="K2079" s="198">
        <f t="shared" si="258"/>
        <v>0</v>
      </c>
      <c r="L2079" s="198">
        <f>COUNTIF(J2079:K2079,"&lt;&gt;0")*-'Trading Model'!$E$15</f>
        <v>0</v>
      </c>
      <c r="M2079" s="198">
        <f t="shared" si="256"/>
        <v>0</v>
      </c>
      <c r="N2079" s="75">
        <f t="shared" si="259"/>
        <v>49</v>
      </c>
      <c r="O2079" s="202">
        <f t="shared" si="260"/>
        <v>0</v>
      </c>
      <c r="P2079" s="199">
        <f t="shared" si="257"/>
        <v>0</v>
      </c>
      <c r="Q2079" s="203">
        <f t="shared" si="261"/>
        <v>-2.5999999999985968</v>
      </c>
      <c r="R2079" s="203" t="s">
        <v>55</v>
      </c>
      <c r="S2079" s="201">
        <f t="shared" si="262"/>
        <v>-1.1370846493998776E-2</v>
      </c>
    </row>
    <row r="2080" spans="1:19">
      <c r="A2080" s="196">
        <v>42985</v>
      </c>
      <c r="B2080" s="122">
        <v>31.469999000000001</v>
      </c>
      <c r="C2080" s="122">
        <v>31.639999</v>
      </c>
      <c r="D2080" s="122">
        <v>30.85</v>
      </c>
      <c r="E2080" s="122">
        <v>31.27</v>
      </c>
      <c r="F2080" s="122">
        <v>27.621728999999998</v>
      </c>
      <c r="G2080" s="197">
        <v>222800</v>
      </c>
      <c r="H2080" s="198">
        <f>IF(AND(E2079&gt;=H2079,E2080&gt;=E2079),E2079*(1+'Trading Model'!$E$13),IF(AND(E2080&lt;E2079,E2079&gt;=H2079),E2080*(1+'Trading Model'!$E$13),H2079))</f>
        <v>32.024999999999999</v>
      </c>
      <c r="I2080" s="198">
        <f>IF(K2080&gt;0,E2080*(1-'Trading Model'!E2090),IF(E2080&lt;I2079,I2079*(1-'Trading Model'!$E$14),I2079))</f>
        <v>28.974999999999998</v>
      </c>
      <c r="J2080" s="198">
        <f t="shared" si="263"/>
        <v>0</v>
      </c>
      <c r="K2080" s="198">
        <f t="shared" si="258"/>
        <v>0</v>
      </c>
      <c r="L2080" s="198">
        <f>COUNTIF(J2080:K2080,"&lt;&gt;0")*-'Trading Model'!$E$15</f>
        <v>0</v>
      </c>
      <c r="M2080" s="198">
        <f t="shared" si="256"/>
        <v>0</v>
      </c>
      <c r="N2080" s="75">
        <f t="shared" si="259"/>
        <v>49</v>
      </c>
      <c r="O2080" s="202">
        <f t="shared" si="260"/>
        <v>0</v>
      </c>
      <c r="P2080" s="199">
        <f t="shared" si="257"/>
        <v>0</v>
      </c>
      <c r="Q2080" s="203">
        <f t="shared" si="261"/>
        <v>-2.6999999999985969</v>
      </c>
      <c r="R2080" s="203" t="s">
        <v>55</v>
      </c>
      <c r="S2080" s="201">
        <f t="shared" si="262"/>
        <v>-9.5843453541322177E-4</v>
      </c>
    </row>
    <row r="2081" spans="1:19">
      <c r="A2081" s="196">
        <v>42986</v>
      </c>
      <c r="B2081" s="122">
        <v>30.860001</v>
      </c>
      <c r="C2081" s="122">
        <v>30.9</v>
      </c>
      <c r="D2081" s="122">
        <v>30.059999000000001</v>
      </c>
      <c r="E2081" s="122">
        <v>30.459999</v>
      </c>
      <c r="F2081" s="122">
        <v>26.906230999999998</v>
      </c>
      <c r="G2081" s="197">
        <v>231800</v>
      </c>
      <c r="H2081" s="198">
        <f>IF(AND(E2080&gt;=H2080,E2081&gt;=E2080),E2080*(1+'Trading Model'!$E$13),IF(AND(E2081&lt;E2080,E2080&gt;=H2080),E2081*(1+'Trading Model'!$E$13),H2080))</f>
        <v>32.024999999999999</v>
      </c>
      <c r="I2081" s="198">
        <f>IF(K2081&gt;0,E2081*(1-'Trading Model'!E2091),IF(E2081&lt;I2080,I2080*(1-'Trading Model'!$E$14),I2080))</f>
        <v>28.974999999999998</v>
      </c>
      <c r="J2081" s="198">
        <f t="shared" si="263"/>
        <v>0</v>
      </c>
      <c r="K2081" s="198">
        <f t="shared" si="258"/>
        <v>0</v>
      </c>
      <c r="L2081" s="198">
        <f>COUNTIF(J2081:K2081,"&lt;&gt;0")*-'Trading Model'!$E$15</f>
        <v>0</v>
      </c>
      <c r="M2081" s="198">
        <f t="shared" si="256"/>
        <v>0</v>
      </c>
      <c r="N2081" s="75">
        <f t="shared" si="259"/>
        <v>49</v>
      </c>
      <c r="O2081" s="202">
        <f t="shared" si="260"/>
        <v>0</v>
      </c>
      <c r="P2081" s="199">
        <f t="shared" si="257"/>
        <v>0</v>
      </c>
      <c r="Q2081" s="203">
        <f t="shared" si="261"/>
        <v>-2.7999999999985969</v>
      </c>
      <c r="R2081" s="203" t="s">
        <v>55</v>
      </c>
      <c r="S2081" s="201">
        <f t="shared" si="262"/>
        <v>-2.5903453789574704E-2</v>
      </c>
    </row>
    <row r="2082" spans="1:19">
      <c r="A2082" s="196">
        <v>42989</v>
      </c>
      <c r="B2082" s="122">
        <v>31.07</v>
      </c>
      <c r="C2082" s="122">
        <v>31.889999</v>
      </c>
      <c r="D2082" s="122">
        <v>31.030000999999999</v>
      </c>
      <c r="E2082" s="122">
        <v>31.68</v>
      </c>
      <c r="F2082" s="122">
        <v>27.983893999999999</v>
      </c>
      <c r="G2082" s="197">
        <v>323600</v>
      </c>
      <c r="H2082" s="198">
        <f>IF(AND(E2081&gt;=H2081,E2082&gt;=E2081),E2081*(1+'Trading Model'!$E$13),IF(AND(E2082&lt;E2081,E2081&gt;=H2081),E2082*(1+'Trading Model'!$E$13),H2081))</f>
        <v>32.024999999999999</v>
      </c>
      <c r="I2082" s="198">
        <f>IF(K2082&gt;0,E2082*(1-'Trading Model'!E2092),IF(E2082&lt;I2081,I2081*(1-'Trading Model'!$E$14),I2081))</f>
        <v>28.974999999999998</v>
      </c>
      <c r="J2082" s="198">
        <f t="shared" si="263"/>
        <v>0</v>
      </c>
      <c r="K2082" s="198">
        <f t="shared" si="258"/>
        <v>0</v>
      </c>
      <c r="L2082" s="198">
        <f>COUNTIF(J2082:K2082,"&lt;&gt;0")*-'Trading Model'!$E$15</f>
        <v>0</v>
      </c>
      <c r="M2082" s="198">
        <f t="shared" si="256"/>
        <v>0</v>
      </c>
      <c r="N2082" s="75">
        <f t="shared" si="259"/>
        <v>49</v>
      </c>
      <c r="O2082" s="202">
        <f t="shared" si="260"/>
        <v>0</v>
      </c>
      <c r="P2082" s="199">
        <f t="shared" si="257"/>
        <v>0</v>
      </c>
      <c r="Q2082" s="203">
        <f t="shared" si="261"/>
        <v>-2.7999999999985969</v>
      </c>
      <c r="R2082" s="201">
        <f>E2082/B2078-1</f>
        <v>2.6904376012965914E-2</v>
      </c>
      <c r="S2082" s="201">
        <f t="shared" si="262"/>
        <v>4.0052562050313822E-2</v>
      </c>
    </row>
    <row r="2083" spans="1:19">
      <c r="A2083" s="196">
        <v>42990</v>
      </c>
      <c r="B2083" s="122">
        <v>32</v>
      </c>
      <c r="C2083" s="122">
        <v>32.119999</v>
      </c>
      <c r="D2083" s="122">
        <v>31.360001</v>
      </c>
      <c r="E2083" s="122">
        <v>31.690000999999999</v>
      </c>
      <c r="F2083" s="122">
        <v>27.992726999999999</v>
      </c>
      <c r="G2083" s="197">
        <v>409400</v>
      </c>
      <c r="H2083" s="198">
        <f>IF(AND(E2082&gt;=H2082,E2083&gt;=E2082),E2082*(1+'Trading Model'!$E$13),IF(AND(E2083&lt;E2082,E2082&gt;=H2082),E2083*(1+'Trading Model'!$E$13),H2082))</f>
        <v>32.024999999999999</v>
      </c>
      <c r="I2083" s="198">
        <f>IF(K2083&gt;0,E2083*(1-'Trading Model'!E2093),IF(E2083&lt;I2082,I2082*(1-'Trading Model'!$E$14),I2082))</f>
        <v>28.974999999999998</v>
      </c>
      <c r="J2083" s="198">
        <f t="shared" si="263"/>
        <v>0</v>
      </c>
      <c r="K2083" s="198">
        <f t="shared" si="258"/>
        <v>0</v>
      </c>
      <c r="L2083" s="198">
        <f>COUNTIF(J2083:K2083,"&lt;&gt;0")*-'Trading Model'!$E$15</f>
        <v>0</v>
      </c>
      <c r="M2083" s="198">
        <f t="shared" si="256"/>
        <v>0</v>
      </c>
      <c r="N2083" s="75">
        <f t="shared" si="259"/>
        <v>49</v>
      </c>
      <c r="O2083" s="202">
        <f t="shared" si="260"/>
        <v>0</v>
      </c>
      <c r="P2083" s="199">
        <f t="shared" si="257"/>
        <v>0</v>
      </c>
      <c r="Q2083" s="203">
        <f t="shared" si="261"/>
        <v>-2.7999999999985969</v>
      </c>
      <c r="R2083" s="160" t="s">
        <v>55</v>
      </c>
      <c r="S2083" s="201">
        <f t="shared" si="262"/>
        <v>3.1568813131310769E-4</v>
      </c>
    </row>
    <row r="2084" spans="1:19">
      <c r="A2084" s="196">
        <v>42991</v>
      </c>
      <c r="B2084" s="122">
        <v>31.709999</v>
      </c>
      <c r="C2084" s="122">
        <v>32.049999</v>
      </c>
      <c r="D2084" s="122">
        <v>30.559999000000001</v>
      </c>
      <c r="E2084" s="122">
        <v>30.879999000000002</v>
      </c>
      <c r="F2084" s="122">
        <v>27.277228999999998</v>
      </c>
      <c r="G2084" s="197">
        <v>382800</v>
      </c>
      <c r="H2084" s="198">
        <f>IF(AND(E2083&gt;=H2083,E2084&gt;=E2083),E2083*(1+'Trading Model'!$E$13),IF(AND(E2084&lt;E2083,E2083&gt;=H2083),E2084*(1+'Trading Model'!$E$13),H2083))</f>
        <v>32.024999999999999</v>
      </c>
      <c r="I2084" s="198">
        <f>IF(K2084&gt;0,E2084*(1-'Trading Model'!E2094),IF(E2084&lt;I2083,I2083*(1-'Trading Model'!$E$14),I2083))</f>
        <v>28.974999999999998</v>
      </c>
      <c r="J2084" s="198">
        <f t="shared" si="263"/>
        <v>0</v>
      </c>
      <c r="K2084" s="198">
        <f t="shared" si="258"/>
        <v>0</v>
      </c>
      <c r="L2084" s="198">
        <f>COUNTIF(J2084:K2084,"&lt;&gt;0")*-'Trading Model'!$E$15</f>
        <v>0</v>
      </c>
      <c r="M2084" s="198">
        <f t="shared" si="256"/>
        <v>0</v>
      </c>
      <c r="N2084" s="75">
        <f t="shared" si="259"/>
        <v>49</v>
      </c>
      <c r="O2084" s="202">
        <f t="shared" si="260"/>
        <v>0</v>
      </c>
      <c r="P2084" s="199">
        <f t="shared" si="257"/>
        <v>0</v>
      </c>
      <c r="Q2084" s="203">
        <f t="shared" si="261"/>
        <v>-2.899999999998597</v>
      </c>
      <c r="R2084" s="203" t="s">
        <v>55</v>
      </c>
      <c r="S2084" s="201">
        <f t="shared" si="262"/>
        <v>-2.556017590532722E-2</v>
      </c>
    </row>
    <row r="2085" spans="1:19">
      <c r="A2085" s="196">
        <v>42992</v>
      </c>
      <c r="B2085" s="122">
        <v>30.93</v>
      </c>
      <c r="C2085" s="122">
        <v>31.32</v>
      </c>
      <c r="D2085" s="122">
        <v>30.02</v>
      </c>
      <c r="E2085" s="122">
        <v>30.540001</v>
      </c>
      <c r="F2085" s="122">
        <v>26.976897999999998</v>
      </c>
      <c r="G2085" s="197">
        <v>137400</v>
      </c>
      <c r="H2085" s="198">
        <f>IF(AND(E2084&gt;=H2084,E2085&gt;=E2084),E2084*(1+'Trading Model'!$E$13),IF(AND(E2085&lt;E2084,E2084&gt;=H2084),E2085*(1+'Trading Model'!$E$13),H2084))</f>
        <v>32.024999999999999</v>
      </c>
      <c r="I2085" s="198">
        <f>IF(K2085&gt;0,E2085*(1-'Trading Model'!E2095),IF(E2085&lt;I2084,I2084*(1-'Trading Model'!$E$14),I2084))</f>
        <v>28.974999999999998</v>
      </c>
      <c r="J2085" s="198">
        <f t="shared" si="263"/>
        <v>0</v>
      </c>
      <c r="K2085" s="198">
        <f t="shared" si="258"/>
        <v>0</v>
      </c>
      <c r="L2085" s="198">
        <f>COUNTIF(J2085:K2085,"&lt;&gt;0")*-'Trading Model'!$E$15</f>
        <v>0</v>
      </c>
      <c r="M2085" s="198">
        <f t="shared" si="256"/>
        <v>0</v>
      </c>
      <c r="N2085" s="75">
        <f t="shared" si="259"/>
        <v>49</v>
      </c>
      <c r="O2085" s="202">
        <f t="shared" si="260"/>
        <v>0</v>
      </c>
      <c r="P2085" s="199">
        <f t="shared" si="257"/>
        <v>0</v>
      </c>
      <c r="Q2085" s="203">
        <f t="shared" si="261"/>
        <v>-2.9999999999985971</v>
      </c>
      <c r="R2085" s="203" t="s">
        <v>55</v>
      </c>
      <c r="S2085" s="201">
        <f t="shared" si="262"/>
        <v>-1.1010298284012343E-2</v>
      </c>
    </row>
    <row r="2086" spans="1:19">
      <c r="A2086" s="196">
        <v>42993</v>
      </c>
      <c r="B2086" s="122">
        <v>30.6</v>
      </c>
      <c r="C2086" s="122">
        <v>30.98</v>
      </c>
      <c r="D2086" s="122">
        <v>30.299999</v>
      </c>
      <c r="E2086" s="122">
        <v>30.93</v>
      </c>
      <c r="F2086" s="122">
        <v>27.321397999999999</v>
      </c>
      <c r="G2086" s="197">
        <v>218100</v>
      </c>
      <c r="H2086" s="198">
        <f>IF(AND(E2085&gt;=H2085,E2086&gt;=E2085),E2085*(1+'Trading Model'!$E$13),IF(AND(E2086&lt;E2085,E2085&gt;=H2085),E2086*(1+'Trading Model'!$E$13),H2085))</f>
        <v>32.024999999999999</v>
      </c>
      <c r="I2086" s="198">
        <f>IF(K2086&gt;0,E2086*(1-'Trading Model'!E2096),IF(E2086&lt;I2085,I2085*(1-'Trading Model'!$E$14),I2085))</f>
        <v>28.974999999999998</v>
      </c>
      <c r="J2086" s="198">
        <f t="shared" si="263"/>
        <v>0</v>
      </c>
      <c r="K2086" s="198">
        <f t="shared" si="258"/>
        <v>0</v>
      </c>
      <c r="L2086" s="198">
        <f>COUNTIF(J2086:K2086,"&lt;&gt;0")*-'Trading Model'!$E$15</f>
        <v>0</v>
      </c>
      <c r="M2086" s="198">
        <f t="shared" si="256"/>
        <v>0</v>
      </c>
      <c r="N2086" s="75">
        <f t="shared" si="259"/>
        <v>49</v>
      </c>
      <c r="O2086" s="202">
        <f t="shared" si="260"/>
        <v>0</v>
      </c>
      <c r="P2086" s="199">
        <f t="shared" si="257"/>
        <v>0</v>
      </c>
      <c r="Q2086" s="203">
        <f t="shared" si="261"/>
        <v>-2.9999999999985971</v>
      </c>
      <c r="R2086" s="203" t="s">
        <v>55</v>
      </c>
      <c r="S2086" s="201">
        <f t="shared" si="262"/>
        <v>1.2770104362471946E-2</v>
      </c>
    </row>
    <row r="2087" spans="1:19">
      <c r="A2087" s="196">
        <v>42996</v>
      </c>
      <c r="B2087" s="122">
        <v>30.5</v>
      </c>
      <c r="C2087" s="122">
        <v>30.84</v>
      </c>
      <c r="D2087" s="122">
        <v>30.25</v>
      </c>
      <c r="E2087" s="122">
        <v>30.73</v>
      </c>
      <c r="F2087" s="122">
        <v>27.144729999999999</v>
      </c>
      <c r="G2087" s="197">
        <v>210700</v>
      </c>
      <c r="H2087" s="198">
        <f>IF(AND(E2086&gt;=H2086,E2087&gt;=E2086),E2086*(1+'Trading Model'!$E$13),IF(AND(E2087&lt;E2086,E2086&gt;=H2086),E2087*(1+'Trading Model'!$E$13),H2086))</f>
        <v>32.024999999999999</v>
      </c>
      <c r="I2087" s="198">
        <f>IF(K2087&gt;0,E2087*(1-'Trading Model'!E2097),IF(E2087&lt;I2086,I2086*(1-'Trading Model'!$E$14),I2086))</f>
        <v>28.974999999999998</v>
      </c>
      <c r="J2087" s="198">
        <f t="shared" si="263"/>
        <v>0</v>
      </c>
      <c r="K2087" s="198">
        <f t="shared" si="258"/>
        <v>0</v>
      </c>
      <c r="L2087" s="198">
        <f>COUNTIF(J2087:K2087,"&lt;&gt;0")*-'Trading Model'!$E$15</f>
        <v>0</v>
      </c>
      <c r="M2087" s="198">
        <f t="shared" si="256"/>
        <v>0</v>
      </c>
      <c r="N2087" s="75">
        <f t="shared" si="259"/>
        <v>49</v>
      </c>
      <c r="O2087" s="202">
        <f t="shared" si="260"/>
        <v>0</v>
      </c>
      <c r="P2087" s="199">
        <f t="shared" si="257"/>
        <v>0</v>
      </c>
      <c r="Q2087" s="203">
        <f t="shared" si="261"/>
        <v>-3.0999999999985972</v>
      </c>
      <c r="R2087" s="201">
        <f>E2087/B2083-1</f>
        <v>-3.9687499999999987E-2</v>
      </c>
      <c r="S2087" s="201">
        <f t="shared" si="262"/>
        <v>-6.4662140316844585E-3</v>
      </c>
    </row>
    <row r="2088" spans="1:19">
      <c r="A2088" s="196">
        <v>42997</v>
      </c>
      <c r="B2088" s="122">
        <v>30.860001</v>
      </c>
      <c r="C2088" s="122">
        <v>30.860001</v>
      </c>
      <c r="D2088" s="122">
        <v>30.48</v>
      </c>
      <c r="E2088" s="122">
        <v>30.68</v>
      </c>
      <c r="F2088" s="122">
        <v>27.100565</v>
      </c>
      <c r="G2088" s="197">
        <v>131400</v>
      </c>
      <c r="H2088" s="198">
        <f>IF(AND(E2087&gt;=H2087,E2088&gt;=E2087),E2087*(1+'Trading Model'!$E$13),IF(AND(E2088&lt;E2087,E2087&gt;=H2087),E2088*(1+'Trading Model'!$E$13),H2087))</f>
        <v>32.024999999999999</v>
      </c>
      <c r="I2088" s="198">
        <f>IF(K2088&gt;0,E2088*(1-'Trading Model'!E2098),IF(E2088&lt;I2087,I2087*(1-'Trading Model'!$E$14),I2087))</f>
        <v>28.974999999999998</v>
      </c>
      <c r="J2088" s="198">
        <f t="shared" si="263"/>
        <v>0</v>
      </c>
      <c r="K2088" s="198">
        <f t="shared" si="258"/>
        <v>0</v>
      </c>
      <c r="L2088" s="198">
        <f>COUNTIF(J2088:K2088,"&lt;&gt;0")*-'Trading Model'!$E$15</f>
        <v>0</v>
      </c>
      <c r="M2088" s="198">
        <f t="shared" si="256"/>
        <v>0</v>
      </c>
      <c r="N2088" s="75">
        <f t="shared" si="259"/>
        <v>49</v>
      </c>
      <c r="O2088" s="202">
        <f t="shared" si="260"/>
        <v>0</v>
      </c>
      <c r="P2088" s="199">
        <f t="shared" si="257"/>
        <v>0</v>
      </c>
      <c r="Q2088" s="203">
        <f t="shared" si="261"/>
        <v>-3.1999999999985973</v>
      </c>
      <c r="R2088" s="160" t="s">
        <v>55</v>
      </c>
      <c r="S2088" s="201">
        <f t="shared" si="262"/>
        <v>-1.6270745200130943E-3</v>
      </c>
    </row>
    <row r="2089" spans="1:19">
      <c r="A2089" s="196">
        <v>42998</v>
      </c>
      <c r="B2089" s="122">
        <v>30.68</v>
      </c>
      <c r="C2089" s="122">
        <v>30.860001</v>
      </c>
      <c r="D2089" s="122">
        <v>30.5</v>
      </c>
      <c r="E2089" s="122">
        <v>30.6</v>
      </c>
      <c r="F2089" s="122">
        <v>27.029897999999999</v>
      </c>
      <c r="G2089" s="197">
        <v>100100</v>
      </c>
      <c r="H2089" s="198">
        <f>IF(AND(E2088&gt;=H2088,E2089&gt;=E2088),E2088*(1+'Trading Model'!$E$13),IF(AND(E2089&lt;E2088,E2088&gt;=H2088),E2089*(1+'Trading Model'!$E$13),H2088))</f>
        <v>32.024999999999999</v>
      </c>
      <c r="I2089" s="198">
        <f>IF(K2089&gt;0,E2089*(1-'Trading Model'!E2099),IF(E2089&lt;I2088,I2088*(1-'Trading Model'!$E$14),I2088))</f>
        <v>28.974999999999998</v>
      </c>
      <c r="J2089" s="198">
        <f t="shared" si="263"/>
        <v>0</v>
      </c>
      <c r="K2089" s="198">
        <f t="shared" si="258"/>
        <v>0</v>
      </c>
      <c r="L2089" s="198">
        <f>COUNTIF(J2089:K2089,"&lt;&gt;0")*-'Trading Model'!$E$15</f>
        <v>0</v>
      </c>
      <c r="M2089" s="198">
        <f t="shared" si="256"/>
        <v>0</v>
      </c>
      <c r="N2089" s="75">
        <f t="shared" si="259"/>
        <v>49</v>
      </c>
      <c r="O2089" s="202">
        <f t="shared" si="260"/>
        <v>0</v>
      </c>
      <c r="P2089" s="199">
        <f t="shared" si="257"/>
        <v>0</v>
      </c>
      <c r="Q2089" s="203">
        <f t="shared" si="261"/>
        <v>-3.2999999999985974</v>
      </c>
      <c r="R2089" s="203" t="s">
        <v>55</v>
      </c>
      <c r="S2089" s="201">
        <f t="shared" si="262"/>
        <v>-2.6075619295957697E-3</v>
      </c>
    </row>
    <row r="2090" spans="1:19">
      <c r="A2090" s="196">
        <v>42999</v>
      </c>
      <c r="B2090" s="122">
        <v>30.719999000000001</v>
      </c>
      <c r="C2090" s="122">
        <v>30.719999000000001</v>
      </c>
      <c r="D2090" s="122">
        <v>30.059999000000001</v>
      </c>
      <c r="E2090" s="122">
        <v>30.35</v>
      </c>
      <c r="F2090" s="122">
        <v>26.809065</v>
      </c>
      <c r="G2090" s="197">
        <v>126500</v>
      </c>
      <c r="H2090" s="198">
        <f>IF(AND(E2089&gt;=H2089,E2090&gt;=E2089),E2089*(1+'Trading Model'!$E$13),IF(AND(E2090&lt;E2089,E2089&gt;=H2089),E2090*(1+'Trading Model'!$E$13),H2089))</f>
        <v>32.024999999999999</v>
      </c>
      <c r="I2090" s="198">
        <f>IF(K2090&gt;0,E2090*(1-'Trading Model'!E2100),IF(E2090&lt;I2089,I2089*(1-'Trading Model'!$E$14),I2089))</f>
        <v>28.974999999999998</v>
      </c>
      <c r="J2090" s="198">
        <f t="shared" si="263"/>
        <v>0</v>
      </c>
      <c r="K2090" s="198">
        <f t="shared" si="258"/>
        <v>0</v>
      </c>
      <c r="L2090" s="198">
        <f>COUNTIF(J2090:K2090,"&lt;&gt;0")*-'Trading Model'!$E$15</f>
        <v>0</v>
      </c>
      <c r="M2090" s="198">
        <f t="shared" si="256"/>
        <v>0</v>
      </c>
      <c r="N2090" s="75">
        <f t="shared" si="259"/>
        <v>49</v>
      </c>
      <c r="O2090" s="202">
        <f t="shared" si="260"/>
        <v>0</v>
      </c>
      <c r="P2090" s="199">
        <f t="shared" si="257"/>
        <v>0</v>
      </c>
      <c r="Q2090" s="203">
        <f t="shared" si="261"/>
        <v>-3.3999999999985975</v>
      </c>
      <c r="R2090" s="203" t="s">
        <v>55</v>
      </c>
      <c r="S2090" s="201">
        <f t="shared" si="262"/>
        <v>-8.1699346405228468E-3</v>
      </c>
    </row>
    <row r="2091" spans="1:19">
      <c r="A2091" s="196">
        <v>43000</v>
      </c>
      <c r="B2091" s="122">
        <v>30.34</v>
      </c>
      <c r="C2091" s="122">
        <v>30.719999000000001</v>
      </c>
      <c r="D2091" s="122">
        <v>30.299999</v>
      </c>
      <c r="E2091" s="122">
        <v>30.559999000000001</v>
      </c>
      <c r="F2091" s="122">
        <v>26.994564</v>
      </c>
      <c r="G2091" s="197">
        <v>234700</v>
      </c>
      <c r="H2091" s="198">
        <f>IF(AND(E2090&gt;=H2090,E2091&gt;=E2090),E2090*(1+'Trading Model'!$E$13),IF(AND(E2091&lt;E2090,E2090&gt;=H2090),E2091*(1+'Trading Model'!$E$13),H2090))</f>
        <v>32.024999999999999</v>
      </c>
      <c r="I2091" s="198">
        <f>IF(K2091&gt;0,E2091*(1-'Trading Model'!E2101),IF(E2091&lt;I2090,I2090*(1-'Trading Model'!$E$14),I2090))</f>
        <v>28.974999999999998</v>
      </c>
      <c r="J2091" s="198">
        <f t="shared" si="263"/>
        <v>0</v>
      </c>
      <c r="K2091" s="198">
        <f t="shared" si="258"/>
        <v>0</v>
      </c>
      <c r="L2091" s="198">
        <f>COUNTIF(J2091:K2091,"&lt;&gt;0")*-'Trading Model'!$E$15</f>
        <v>0</v>
      </c>
      <c r="M2091" s="198">
        <f t="shared" si="256"/>
        <v>0</v>
      </c>
      <c r="N2091" s="75">
        <f t="shared" si="259"/>
        <v>49</v>
      </c>
      <c r="O2091" s="202">
        <f t="shared" si="260"/>
        <v>0</v>
      </c>
      <c r="P2091" s="199">
        <f t="shared" si="257"/>
        <v>0</v>
      </c>
      <c r="Q2091" s="203">
        <f t="shared" si="261"/>
        <v>-3.3999999999985975</v>
      </c>
      <c r="R2091" s="203" t="s">
        <v>55</v>
      </c>
      <c r="S2091" s="201">
        <f t="shared" si="262"/>
        <v>6.9192421746293586E-3</v>
      </c>
    </row>
    <row r="2092" spans="1:19">
      <c r="A2092" s="196">
        <v>43003</v>
      </c>
      <c r="B2092" s="122">
        <v>30.5</v>
      </c>
      <c r="C2092" s="122">
        <v>30.879999000000002</v>
      </c>
      <c r="D2092" s="122">
        <v>29.6</v>
      </c>
      <c r="E2092" s="122">
        <v>30.040001</v>
      </c>
      <c r="F2092" s="122">
        <v>26.535233999999999</v>
      </c>
      <c r="G2092" s="197">
        <v>108400</v>
      </c>
      <c r="H2092" s="198">
        <f>IF(AND(E2091&gt;=H2091,E2092&gt;=E2091),E2091*(1+'Trading Model'!$E$13),IF(AND(E2092&lt;E2091,E2091&gt;=H2091),E2092*(1+'Trading Model'!$E$13),H2091))</f>
        <v>32.024999999999999</v>
      </c>
      <c r="I2092" s="198">
        <f>IF(K2092&gt;0,E2092*(1-'Trading Model'!E2102),IF(E2092&lt;I2091,I2091*(1-'Trading Model'!$E$14),I2091))</f>
        <v>28.974999999999998</v>
      </c>
      <c r="J2092" s="198">
        <f t="shared" si="263"/>
        <v>0</v>
      </c>
      <c r="K2092" s="198">
        <f t="shared" si="258"/>
        <v>0</v>
      </c>
      <c r="L2092" s="198">
        <f>COUNTIF(J2092:K2092,"&lt;&gt;0")*-'Trading Model'!$E$15</f>
        <v>0</v>
      </c>
      <c r="M2092" s="198">
        <f t="shared" si="256"/>
        <v>0</v>
      </c>
      <c r="N2092" s="75">
        <f t="shared" si="259"/>
        <v>49</v>
      </c>
      <c r="O2092" s="202">
        <f t="shared" si="260"/>
        <v>0</v>
      </c>
      <c r="P2092" s="199">
        <f t="shared" si="257"/>
        <v>0</v>
      </c>
      <c r="Q2092" s="203">
        <f t="shared" si="261"/>
        <v>-3.4999999999985976</v>
      </c>
      <c r="R2092" s="201">
        <f>E2092/B2088-1</f>
        <v>-2.6571612878431239E-2</v>
      </c>
      <c r="S2092" s="201">
        <f t="shared" si="262"/>
        <v>-1.7015641918051161E-2</v>
      </c>
    </row>
    <row r="2093" spans="1:19">
      <c r="A2093" s="196">
        <v>43004</v>
      </c>
      <c r="B2093" s="122">
        <v>30.01</v>
      </c>
      <c r="C2093" s="122">
        <v>30.6</v>
      </c>
      <c r="D2093" s="122">
        <v>29.73</v>
      </c>
      <c r="E2093" s="122">
        <v>30.23</v>
      </c>
      <c r="F2093" s="122">
        <v>26.703066</v>
      </c>
      <c r="G2093" s="197">
        <v>125200</v>
      </c>
      <c r="H2093" s="198">
        <f>IF(AND(E2092&gt;=H2092,E2093&gt;=E2092),E2092*(1+'Trading Model'!$E$13),IF(AND(E2093&lt;E2092,E2092&gt;=H2092),E2093*(1+'Trading Model'!$E$13),H2092))</f>
        <v>32.024999999999999</v>
      </c>
      <c r="I2093" s="198">
        <f>IF(K2093&gt;0,E2093*(1-'Trading Model'!E2103),IF(E2093&lt;I2092,I2092*(1-'Trading Model'!$E$14),I2092))</f>
        <v>28.974999999999998</v>
      </c>
      <c r="J2093" s="198">
        <f t="shared" si="263"/>
        <v>0</v>
      </c>
      <c r="K2093" s="198">
        <f t="shared" si="258"/>
        <v>0</v>
      </c>
      <c r="L2093" s="198">
        <f>COUNTIF(J2093:K2093,"&lt;&gt;0")*-'Trading Model'!$E$15</f>
        <v>0</v>
      </c>
      <c r="M2093" s="198">
        <f t="shared" si="256"/>
        <v>0</v>
      </c>
      <c r="N2093" s="75">
        <f t="shared" si="259"/>
        <v>49</v>
      </c>
      <c r="O2093" s="202">
        <f t="shared" si="260"/>
        <v>0</v>
      </c>
      <c r="P2093" s="199">
        <f t="shared" si="257"/>
        <v>0</v>
      </c>
      <c r="Q2093" s="203">
        <f t="shared" si="261"/>
        <v>-3.4999999999985976</v>
      </c>
      <c r="R2093" s="160" t="s">
        <v>55</v>
      </c>
      <c r="S2093" s="201">
        <f t="shared" si="262"/>
        <v>6.3248666336594983E-3</v>
      </c>
    </row>
    <row r="2094" spans="1:19">
      <c r="A2094" s="196">
        <v>43005</v>
      </c>
      <c r="B2094" s="122">
        <v>30.209999</v>
      </c>
      <c r="C2094" s="122">
        <v>30.65</v>
      </c>
      <c r="D2094" s="122">
        <v>29.799999</v>
      </c>
      <c r="E2094" s="122">
        <v>30.200001</v>
      </c>
      <c r="F2094" s="122">
        <v>26.676566999999999</v>
      </c>
      <c r="G2094" s="197">
        <v>159800</v>
      </c>
      <c r="H2094" s="198">
        <f>IF(AND(E2093&gt;=H2093,E2094&gt;=E2093),E2093*(1+'Trading Model'!$E$13),IF(AND(E2094&lt;E2093,E2093&gt;=H2093),E2094*(1+'Trading Model'!$E$13),H2093))</f>
        <v>32.024999999999999</v>
      </c>
      <c r="I2094" s="198">
        <f>IF(K2094&gt;0,E2094*(1-'Trading Model'!E2104),IF(E2094&lt;I2093,I2093*(1-'Trading Model'!$E$14),I2093))</f>
        <v>28.974999999999998</v>
      </c>
      <c r="J2094" s="198">
        <f t="shared" si="263"/>
        <v>0</v>
      </c>
      <c r="K2094" s="198">
        <f t="shared" si="258"/>
        <v>0</v>
      </c>
      <c r="L2094" s="198">
        <f>COUNTIF(J2094:K2094,"&lt;&gt;0")*-'Trading Model'!$E$15</f>
        <v>0</v>
      </c>
      <c r="M2094" s="198">
        <f t="shared" si="256"/>
        <v>0</v>
      </c>
      <c r="N2094" s="75">
        <f t="shared" si="259"/>
        <v>49</v>
      </c>
      <c r="O2094" s="202">
        <f t="shared" si="260"/>
        <v>0</v>
      </c>
      <c r="P2094" s="199">
        <f t="shared" si="257"/>
        <v>0</v>
      </c>
      <c r="Q2094" s="203">
        <f t="shared" si="261"/>
        <v>-3.5999999999985977</v>
      </c>
      <c r="R2094" s="203" t="s">
        <v>55</v>
      </c>
      <c r="S2094" s="201">
        <f t="shared" si="262"/>
        <v>-9.9235858418789125E-4</v>
      </c>
    </row>
    <row r="2095" spans="1:19">
      <c r="A2095" s="196">
        <v>43006</v>
      </c>
      <c r="B2095" s="122">
        <v>30.25</v>
      </c>
      <c r="C2095" s="122">
        <v>30.65</v>
      </c>
      <c r="D2095" s="122">
        <v>30.190000999999999</v>
      </c>
      <c r="E2095" s="122">
        <v>30.52</v>
      </c>
      <c r="F2095" s="122">
        <v>26.959230000000002</v>
      </c>
      <c r="G2095" s="197">
        <v>122500</v>
      </c>
      <c r="H2095" s="198">
        <f>IF(AND(E2094&gt;=H2094,E2095&gt;=E2094),E2094*(1+'Trading Model'!$E$13),IF(AND(E2095&lt;E2094,E2094&gt;=H2094),E2095*(1+'Trading Model'!$E$13),H2094))</f>
        <v>32.024999999999999</v>
      </c>
      <c r="I2095" s="198">
        <f>IF(K2095&gt;0,E2095*(1-'Trading Model'!E2105),IF(E2095&lt;I2094,I2094*(1-'Trading Model'!$E$14),I2094))</f>
        <v>28.974999999999998</v>
      </c>
      <c r="J2095" s="198">
        <f t="shared" si="263"/>
        <v>0</v>
      </c>
      <c r="K2095" s="198">
        <f t="shared" si="258"/>
        <v>0</v>
      </c>
      <c r="L2095" s="198">
        <f>COUNTIF(J2095:K2095,"&lt;&gt;0")*-'Trading Model'!$E$15</f>
        <v>0</v>
      </c>
      <c r="M2095" s="198">
        <f t="shared" si="256"/>
        <v>0</v>
      </c>
      <c r="N2095" s="75">
        <f t="shared" si="259"/>
        <v>49</v>
      </c>
      <c r="O2095" s="202">
        <f t="shared" si="260"/>
        <v>0</v>
      </c>
      <c r="P2095" s="199">
        <f t="shared" si="257"/>
        <v>0</v>
      </c>
      <c r="Q2095" s="203">
        <f t="shared" si="261"/>
        <v>-3.5999999999985977</v>
      </c>
      <c r="R2095" s="203" t="s">
        <v>55</v>
      </c>
      <c r="S2095" s="201">
        <f t="shared" si="262"/>
        <v>1.0595993026622619E-2</v>
      </c>
    </row>
    <row r="2096" spans="1:19">
      <c r="A2096" s="196">
        <v>43007</v>
      </c>
      <c r="B2096" s="122">
        <v>30.530000999999999</v>
      </c>
      <c r="C2096" s="122">
        <v>31.08</v>
      </c>
      <c r="D2096" s="122">
        <v>30.18</v>
      </c>
      <c r="E2096" s="122">
        <v>30.84</v>
      </c>
      <c r="F2096" s="122">
        <v>27.241897999999999</v>
      </c>
      <c r="G2096" s="197">
        <v>311900</v>
      </c>
      <c r="H2096" s="198">
        <f>IF(AND(E2095&gt;=H2095,E2096&gt;=E2095),E2095*(1+'Trading Model'!$E$13),IF(AND(E2096&lt;E2095,E2095&gt;=H2095),E2096*(1+'Trading Model'!$E$13),H2095))</f>
        <v>32.024999999999999</v>
      </c>
      <c r="I2096" s="198">
        <f>IF(K2096&gt;0,E2096*(1-'Trading Model'!E2106),IF(E2096&lt;I2095,I2095*(1-'Trading Model'!$E$14),I2095))</f>
        <v>28.974999999999998</v>
      </c>
      <c r="J2096" s="198">
        <f t="shared" si="263"/>
        <v>0</v>
      </c>
      <c r="K2096" s="198">
        <f t="shared" si="258"/>
        <v>0</v>
      </c>
      <c r="L2096" s="198">
        <f>COUNTIF(J2096:K2096,"&lt;&gt;0")*-'Trading Model'!$E$15</f>
        <v>0</v>
      </c>
      <c r="M2096" s="198">
        <f t="shared" si="256"/>
        <v>0</v>
      </c>
      <c r="N2096" s="75">
        <f t="shared" si="259"/>
        <v>49</v>
      </c>
      <c r="O2096" s="202">
        <f t="shared" si="260"/>
        <v>0</v>
      </c>
      <c r="P2096" s="199">
        <f t="shared" si="257"/>
        <v>0</v>
      </c>
      <c r="Q2096" s="203">
        <f t="shared" si="261"/>
        <v>-3.5999999999985977</v>
      </c>
      <c r="R2096" s="203" t="s">
        <v>55</v>
      </c>
      <c r="S2096" s="201">
        <f t="shared" si="262"/>
        <v>1.0484927916120546E-2</v>
      </c>
    </row>
    <row r="2097" spans="1:19">
      <c r="A2097" s="196">
        <v>43010</v>
      </c>
      <c r="B2097" s="122">
        <v>30.799999</v>
      </c>
      <c r="C2097" s="122">
        <v>31.1</v>
      </c>
      <c r="D2097" s="122">
        <v>30.139999</v>
      </c>
      <c r="E2097" s="122">
        <v>30.43</v>
      </c>
      <c r="F2097" s="122">
        <v>26.879732000000001</v>
      </c>
      <c r="G2097" s="197">
        <v>122600</v>
      </c>
      <c r="H2097" s="198">
        <f>IF(AND(E2096&gt;=H2096,E2097&gt;=E2096),E2096*(1+'Trading Model'!$E$13),IF(AND(E2097&lt;E2096,E2096&gt;=H2096),E2097*(1+'Trading Model'!$E$13),H2096))</f>
        <v>32.024999999999999</v>
      </c>
      <c r="I2097" s="198">
        <f>IF(K2097&gt;0,E2097*(1-'Trading Model'!E2107),IF(E2097&lt;I2096,I2096*(1-'Trading Model'!$E$14),I2096))</f>
        <v>28.974999999999998</v>
      </c>
      <c r="J2097" s="198">
        <f t="shared" si="263"/>
        <v>0</v>
      </c>
      <c r="K2097" s="198">
        <f t="shared" si="258"/>
        <v>0</v>
      </c>
      <c r="L2097" s="198">
        <f>COUNTIF(J2097:K2097,"&lt;&gt;0")*-'Trading Model'!$E$15</f>
        <v>0</v>
      </c>
      <c r="M2097" s="198">
        <f t="shared" si="256"/>
        <v>0</v>
      </c>
      <c r="N2097" s="75">
        <f t="shared" si="259"/>
        <v>49</v>
      </c>
      <c r="O2097" s="202">
        <f t="shared" si="260"/>
        <v>0</v>
      </c>
      <c r="P2097" s="199">
        <f t="shared" si="257"/>
        <v>0</v>
      </c>
      <c r="Q2097" s="203">
        <f t="shared" si="261"/>
        <v>-3.6999999999985977</v>
      </c>
      <c r="R2097" s="201">
        <f>E2097/B2093-1</f>
        <v>1.399533488837057E-2</v>
      </c>
      <c r="S2097" s="201">
        <f t="shared" si="262"/>
        <v>-1.329442282749671E-2</v>
      </c>
    </row>
    <row r="2098" spans="1:19">
      <c r="A2098" s="196">
        <v>43011</v>
      </c>
      <c r="B2098" s="122">
        <v>30.43</v>
      </c>
      <c r="C2098" s="122">
        <v>31.09</v>
      </c>
      <c r="D2098" s="122">
        <v>30.110001</v>
      </c>
      <c r="E2098" s="122">
        <v>30.85</v>
      </c>
      <c r="F2098" s="122">
        <v>27.250730999999998</v>
      </c>
      <c r="G2098" s="197">
        <v>166900</v>
      </c>
      <c r="H2098" s="198">
        <f>IF(AND(E2097&gt;=H2097,E2098&gt;=E2097),E2097*(1+'Trading Model'!$E$13),IF(AND(E2098&lt;E2097,E2097&gt;=H2097),E2098*(1+'Trading Model'!$E$13),H2097))</f>
        <v>32.024999999999999</v>
      </c>
      <c r="I2098" s="198">
        <f>IF(K2098&gt;0,E2098*(1-'Trading Model'!E2108),IF(E2098&lt;I2097,I2097*(1-'Trading Model'!$E$14),I2097))</f>
        <v>28.974999999999998</v>
      </c>
      <c r="J2098" s="198">
        <f t="shared" si="263"/>
        <v>0</v>
      </c>
      <c r="K2098" s="198">
        <f t="shared" si="258"/>
        <v>0</v>
      </c>
      <c r="L2098" s="198">
        <f>COUNTIF(J2098:K2098,"&lt;&gt;0")*-'Trading Model'!$E$15</f>
        <v>0</v>
      </c>
      <c r="M2098" s="198">
        <f t="shared" si="256"/>
        <v>0</v>
      </c>
      <c r="N2098" s="75">
        <f t="shared" si="259"/>
        <v>49</v>
      </c>
      <c r="O2098" s="202">
        <f t="shared" si="260"/>
        <v>0</v>
      </c>
      <c r="P2098" s="199">
        <f t="shared" si="257"/>
        <v>0</v>
      </c>
      <c r="Q2098" s="203">
        <f t="shared" si="261"/>
        <v>-3.6999999999985977</v>
      </c>
      <c r="R2098" s="160" t="s">
        <v>55</v>
      </c>
      <c r="S2098" s="201">
        <f t="shared" si="262"/>
        <v>1.3802168912257606E-2</v>
      </c>
    </row>
    <row r="2099" spans="1:19">
      <c r="A2099" s="196">
        <v>43012</v>
      </c>
      <c r="B2099" s="122">
        <v>30.92</v>
      </c>
      <c r="C2099" s="122">
        <v>31.41</v>
      </c>
      <c r="D2099" s="122">
        <v>30.809999000000001</v>
      </c>
      <c r="E2099" s="122">
        <v>31.4</v>
      </c>
      <c r="F2099" s="122">
        <v>27.736560999999998</v>
      </c>
      <c r="G2099" s="197">
        <v>132100</v>
      </c>
      <c r="H2099" s="198">
        <f>IF(AND(E2098&gt;=H2098,E2099&gt;=E2098),E2098*(1+'Trading Model'!$E$13),IF(AND(E2099&lt;E2098,E2098&gt;=H2098),E2099*(1+'Trading Model'!$E$13),H2098))</f>
        <v>32.024999999999999</v>
      </c>
      <c r="I2099" s="198">
        <f>IF(K2099&gt;0,E2099*(1-'Trading Model'!E2109),IF(E2099&lt;I2098,I2098*(1-'Trading Model'!$E$14),I2098))</f>
        <v>28.974999999999998</v>
      </c>
      <c r="J2099" s="198">
        <f t="shared" si="263"/>
        <v>0</v>
      </c>
      <c r="K2099" s="198">
        <f t="shared" si="258"/>
        <v>0</v>
      </c>
      <c r="L2099" s="198">
        <f>COUNTIF(J2099:K2099,"&lt;&gt;0")*-'Trading Model'!$E$15</f>
        <v>0</v>
      </c>
      <c r="M2099" s="198">
        <f t="shared" si="256"/>
        <v>0</v>
      </c>
      <c r="N2099" s="75">
        <f t="shared" si="259"/>
        <v>49</v>
      </c>
      <c r="O2099" s="202">
        <f t="shared" si="260"/>
        <v>0</v>
      </c>
      <c r="P2099" s="199">
        <f t="shared" si="257"/>
        <v>0</v>
      </c>
      <c r="Q2099" s="203">
        <f t="shared" si="261"/>
        <v>-3.6999999999985977</v>
      </c>
      <c r="R2099" s="203" t="s">
        <v>55</v>
      </c>
      <c r="S2099" s="201">
        <f t="shared" si="262"/>
        <v>1.7828200972447306E-2</v>
      </c>
    </row>
    <row r="2100" spans="1:19">
      <c r="A2100" s="196">
        <v>43013</v>
      </c>
      <c r="B2100" s="122">
        <v>31.450001</v>
      </c>
      <c r="C2100" s="122">
        <v>31.780000999999999</v>
      </c>
      <c r="D2100" s="122">
        <v>31.440000999999999</v>
      </c>
      <c r="E2100" s="122">
        <v>31.700001</v>
      </c>
      <c r="F2100" s="122">
        <v>28.001560000000001</v>
      </c>
      <c r="G2100" s="197">
        <v>187200</v>
      </c>
      <c r="H2100" s="198">
        <f>IF(AND(E2099&gt;=H2099,E2100&gt;=E2099),E2099*(1+'Trading Model'!$E$13),IF(AND(E2100&lt;E2099,E2099&gt;=H2099),E2100*(1+'Trading Model'!$E$13),H2099))</f>
        <v>32.024999999999999</v>
      </c>
      <c r="I2100" s="198">
        <f>IF(K2100&gt;0,E2100*(1-'Trading Model'!E2110),IF(E2100&lt;I2099,I2099*(1-'Trading Model'!$E$14),I2099))</f>
        <v>28.974999999999998</v>
      </c>
      <c r="J2100" s="198">
        <f t="shared" si="263"/>
        <v>0</v>
      </c>
      <c r="K2100" s="198">
        <f t="shared" si="258"/>
        <v>0</v>
      </c>
      <c r="L2100" s="198">
        <f>COUNTIF(J2100:K2100,"&lt;&gt;0")*-'Trading Model'!$E$15</f>
        <v>0</v>
      </c>
      <c r="M2100" s="198">
        <f t="shared" si="256"/>
        <v>0</v>
      </c>
      <c r="N2100" s="75">
        <f t="shared" si="259"/>
        <v>49</v>
      </c>
      <c r="O2100" s="202">
        <f t="shared" si="260"/>
        <v>0</v>
      </c>
      <c r="P2100" s="199">
        <f t="shared" si="257"/>
        <v>0</v>
      </c>
      <c r="Q2100" s="203">
        <f t="shared" si="261"/>
        <v>-3.6999999999985977</v>
      </c>
      <c r="R2100" s="203" t="s">
        <v>55</v>
      </c>
      <c r="S2100" s="201">
        <f t="shared" si="262"/>
        <v>9.5541719745222409E-3</v>
      </c>
    </row>
    <row r="2101" spans="1:19">
      <c r="A2101" s="196">
        <v>43014</v>
      </c>
      <c r="B2101" s="122">
        <v>31.52</v>
      </c>
      <c r="C2101" s="122">
        <v>32.080002</v>
      </c>
      <c r="D2101" s="122">
        <v>31.200001</v>
      </c>
      <c r="E2101" s="122">
        <v>31.83</v>
      </c>
      <c r="F2101" s="122">
        <v>28.116394</v>
      </c>
      <c r="G2101" s="197">
        <v>153000</v>
      </c>
      <c r="H2101" s="198">
        <f>IF(AND(E2100&gt;=H2100,E2101&gt;=E2100),E2100*(1+'Trading Model'!$E$13),IF(AND(E2101&lt;E2100,E2100&gt;=H2100),E2101*(1+'Trading Model'!$E$13),H2100))</f>
        <v>32.024999999999999</v>
      </c>
      <c r="I2101" s="198">
        <f>IF(K2101&gt;0,E2101*(1-'Trading Model'!E2111),IF(E2101&lt;I2100,I2100*(1-'Trading Model'!$E$14),I2100))</f>
        <v>28.974999999999998</v>
      </c>
      <c r="J2101" s="198">
        <f t="shared" si="263"/>
        <v>0</v>
      </c>
      <c r="K2101" s="198">
        <f t="shared" si="258"/>
        <v>0</v>
      </c>
      <c r="L2101" s="198">
        <f>COUNTIF(J2101:K2101,"&lt;&gt;0")*-'Trading Model'!$E$15</f>
        <v>0</v>
      </c>
      <c r="M2101" s="198">
        <f t="shared" si="256"/>
        <v>0</v>
      </c>
      <c r="N2101" s="75">
        <f t="shared" si="259"/>
        <v>49</v>
      </c>
      <c r="O2101" s="202">
        <f t="shared" si="260"/>
        <v>0</v>
      </c>
      <c r="P2101" s="199">
        <f t="shared" si="257"/>
        <v>0</v>
      </c>
      <c r="Q2101" s="203">
        <f t="shared" si="261"/>
        <v>-3.6999999999985977</v>
      </c>
      <c r="R2101" s="203" t="s">
        <v>55</v>
      </c>
      <c r="S2101" s="201">
        <f t="shared" si="262"/>
        <v>4.1009146971320298E-3</v>
      </c>
    </row>
    <row r="2102" spans="1:19">
      <c r="A2102" s="196">
        <v>43017</v>
      </c>
      <c r="B2102" s="122">
        <v>31.77</v>
      </c>
      <c r="C2102" s="122">
        <v>31.799999</v>
      </c>
      <c r="D2102" s="122">
        <v>30.870000999999998</v>
      </c>
      <c r="E2102" s="122">
        <v>31.389999</v>
      </c>
      <c r="F2102" s="122">
        <v>27.727727999999999</v>
      </c>
      <c r="G2102" s="197">
        <v>133900</v>
      </c>
      <c r="H2102" s="198">
        <f>IF(AND(E2101&gt;=H2101,E2102&gt;=E2101),E2101*(1+'Trading Model'!$E$13),IF(AND(E2102&lt;E2101,E2101&gt;=H2101),E2102*(1+'Trading Model'!$E$13),H2101))</f>
        <v>32.024999999999999</v>
      </c>
      <c r="I2102" s="198">
        <f>IF(K2102&gt;0,E2102*(1-'Trading Model'!E2112),IF(E2102&lt;I2101,I2101*(1-'Trading Model'!$E$14),I2101))</f>
        <v>28.974999999999998</v>
      </c>
      <c r="J2102" s="198">
        <f t="shared" si="263"/>
        <v>0</v>
      </c>
      <c r="K2102" s="198">
        <f t="shared" si="258"/>
        <v>0</v>
      </c>
      <c r="L2102" s="198">
        <f>COUNTIF(J2102:K2102,"&lt;&gt;0")*-'Trading Model'!$E$15</f>
        <v>0</v>
      </c>
      <c r="M2102" s="198">
        <f t="shared" si="256"/>
        <v>0</v>
      </c>
      <c r="N2102" s="75">
        <f t="shared" si="259"/>
        <v>49</v>
      </c>
      <c r="O2102" s="202">
        <f t="shared" si="260"/>
        <v>0</v>
      </c>
      <c r="P2102" s="199">
        <f t="shared" si="257"/>
        <v>0</v>
      </c>
      <c r="Q2102" s="203">
        <f t="shared" si="261"/>
        <v>-3.7999999999985978</v>
      </c>
      <c r="R2102" s="201">
        <f>E2102/B2098-1</f>
        <v>3.154778179428197E-2</v>
      </c>
      <c r="S2102" s="201">
        <f t="shared" si="262"/>
        <v>-1.3823468426013119E-2</v>
      </c>
    </row>
    <row r="2103" spans="1:19">
      <c r="A2103" s="196">
        <v>43018</v>
      </c>
      <c r="B2103" s="122">
        <v>31.309999000000001</v>
      </c>
      <c r="C2103" s="122">
        <v>31.709999</v>
      </c>
      <c r="D2103" s="122">
        <v>31.09</v>
      </c>
      <c r="E2103" s="122">
        <v>31.43</v>
      </c>
      <c r="F2103" s="122">
        <v>27.763062000000001</v>
      </c>
      <c r="G2103" s="197">
        <v>179500</v>
      </c>
      <c r="H2103" s="198">
        <f>IF(AND(E2102&gt;=H2102,E2103&gt;=E2102),E2102*(1+'Trading Model'!$E$13),IF(AND(E2103&lt;E2102,E2102&gt;=H2102),E2103*(1+'Trading Model'!$E$13),H2102))</f>
        <v>32.024999999999999</v>
      </c>
      <c r="I2103" s="198">
        <f>IF(K2103&gt;0,E2103*(1-'Trading Model'!E2113),IF(E2103&lt;I2102,I2102*(1-'Trading Model'!$E$14),I2102))</f>
        <v>28.974999999999998</v>
      </c>
      <c r="J2103" s="198">
        <f t="shared" si="263"/>
        <v>0</v>
      </c>
      <c r="K2103" s="198">
        <f t="shared" si="258"/>
        <v>0</v>
      </c>
      <c r="L2103" s="198">
        <f>COUNTIF(J2103:K2103,"&lt;&gt;0")*-'Trading Model'!$E$15</f>
        <v>0</v>
      </c>
      <c r="M2103" s="198">
        <f t="shared" si="256"/>
        <v>0</v>
      </c>
      <c r="N2103" s="75">
        <f t="shared" si="259"/>
        <v>49</v>
      </c>
      <c r="O2103" s="202">
        <f t="shared" si="260"/>
        <v>0</v>
      </c>
      <c r="P2103" s="199">
        <f t="shared" si="257"/>
        <v>0</v>
      </c>
      <c r="Q2103" s="203">
        <f t="shared" si="261"/>
        <v>-3.7999999999985978</v>
      </c>
      <c r="R2103" s="160" t="s">
        <v>55</v>
      </c>
      <c r="S2103" s="201">
        <f t="shared" si="262"/>
        <v>1.2743230734095778E-3</v>
      </c>
    </row>
    <row r="2104" spans="1:19">
      <c r="A2104" s="196">
        <v>43019</v>
      </c>
      <c r="B2104" s="122">
        <v>31.59</v>
      </c>
      <c r="C2104" s="122">
        <v>31.66</v>
      </c>
      <c r="D2104" s="122">
        <v>31.02</v>
      </c>
      <c r="E2104" s="122">
        <v>31.08</v>
      </c>
      <c r="F2104" s="122">
        <v>27.453896</v>
      </c>
      <c r="G2104" s="197">
        <v>198100</v>
      </c>
      <c r="H2104" s="198">
        <f>IF(AND(E2103&gt;=H2103,E2104&gt;=E2103),E2103*(1+'Trading Model'!$E$13),IF(AND(E2104&lt;E2103,E2103&gt;=H2103),E2104*(1+'Trading Model'!$E$13),H2103))</f>
        <v>32.024999999999999</v>
      </c>
      <c r="I2104" s="198">
        <f>IF(K2104&gt;0,E2104*(1-'Trading Model'!E2114),IF(E2104&lt;I2103,I2103*(1-'Trading Model'!$E$14),I2103))</f>
        <v>28.974999999999998</v>
      </c>
      <c r="J2104" s="198">
        <f t="shared" si="263"/>
        <v>0</v>
      </c>
      <c r="K2104" s="198">
        <f t="shared" si="258"/>
        <v>0</v>
      </c>
      <c r="L2104" s="198">
        <f>COUNTIF(J2104:K2104,"&lt;&gt;0")*-'Trading Model'!$E$15</f>
        <v>0</v>
      </c>
      <c r="M2104" s="198">
        <f t="shared" si="256"/>
        <v>0</v>
      </c>
      <c r="N2104" s="75">
        <f t="shared" si="259"/>
        <v>49</v>
      </c>
      <c r="O2104" s="202">
        <f t="shared" si="260"/>
        <v>0</v>
      </c>
      <c r="P2104" s="199">
        <f t="shared" si="257"/>
        <v>0</v>
      </c>
      <c r="Q2104" s="203">
        <f t="shared" si="261"/>
        <v>-3.8999999999985979</v>
      </c>
      <c r="R2104" s="203" t="s">
        <v>55</v>
      </c>
      <c r="S2104" s="201">
        <f t="shared" si="262"/>
        <v>-1.1135857461024523E-2</v>
      </c>
    </row>
    <row r="2105" spans="1:19">
      <c r="A2105" s="196">
        <v>43020</v>
      </c>
      <c r="B2105" s="122">
        <v>31.17</v>
      </c>
      <c r="C2105" s="122">
        <v>31.68</v>
      </c>
      <c r="D2105" s="122">
        <v>30.969999000000001</v>
      </c>
      <c r="E2105" s="122">
        <v>31.360001</v>
      </c>
      <c r="F2105" s="122">
        <v>27.701229000000001</v>
      </c>
      <c r="G2105" s="197">
        <v>111200</v>
      </c>
      <c r="H2105" s="198">
        <f>IF(AND(E2104&gt;=H2104,E2105&gt;=E2104),E2104*(1+'Trading Model'!$E$13),IF(AND(E2105&lt;E2104,E2104&gt;=H2104),E2105*(1+'Trading Model'!$E$13),H2104))</f>
        <v>32.024999999999999</v>
      </c>
      <c r="I2105" s="198">
        <f>IF(K2105&gt;0,E2105*(1-'Trading Model'!E2115),IF(E2105&lt;I2104,I2104*(1-'Trading Model'!$E$14),I2104))</f>
        <v>28.974999999999998</v>
      </c>
      <c r="J2105" s="198">
        <f t="shared" si="263"/>
        <v>0</v>
      </c>
      <c r="K2105" s="198">
        <f t="shared" si="258"/>
        <v>0</v>
      </c>
      <c r="L2105" s="198">
        <f>COUNTIF(J2105:K2105,"&lt;&gt;0")*-'Trading Model'!$E$15</f>
        <v>0</v>
      </c>
      <c r="M2105" s="198">
        <f t="shared" si="256"/>
        <v>0</v>
      </c>
      <c r="N2105" s="75">
        <f t="shared" si="259"/>
        <v>49</v>
      </c>
      <c r="O2105" s="202">
        <f t="shared" si="260"/>
        <v>0</v>
      </c>
      <c r="P2105" s="199">
        <f t="shared" si="257"/>
        <v>0</v>
      </c>
      <c r="Q2105" s="203">
        <f t="shared" si="261"/>
        <v>-3.8999999999985979</v>
      </c>
      <c r="R2105" s="203" t="s">
        <v>55</v>
      </c>
      <c r="S2105" s="201">
        <f t="shared" si="262"/>
        <v>9.0090411840413331E-3</v>
      </c>
    </row>
    <row r="2106" spans="1:19">
      <c r="A2106" s="196">
        <v>43021</v>
      </c>
      <c r="B2106" s="122">
        <v>31.639999</v>
      </c>
      <c r="C2106" s="122">
        <v>31.93</v>
      </c>
      <c r="D2106" s="122">
        <v>31.370000999999998</v>
      </c>
      <c r="E2106" s="122">
        <v>31.450001</v>
      </c>
      <c r="F2106" s="122">
        <v>27.780730999999999</v>
      </c>
      <c r="G2106" s="197">
        <v>171000</v>
      </c>
      <c r="H2106" s="198">
        <f>IF(AND(E2105&gt;=H2105,E2106&gt;=E2105),E2105*(1+'Trading Model'!$E$13),IF(AND(E2106&lt;E2105,E2105&gt;=H2105),E2106*(1+'Trading Model'!$E$13),H2105))</f>
        <v>32.024999999999999</v>
      </c>
      <c r="I2106" s="198">
        <f>IF(K2106&gt;0,E2106*(1-'Trading Model'!E2116),IF(E2106&lt;I2105,I2105*(1-'Trading Model'!$E$14),I2105))</f>
        <v>28.974999999999998</v>
      </c>
      <c r="J2106" s="198">
        <f t="shared" si="263"/>
        <v>0</v>
      </c>
      <c r="K2106" s="198">
        <f t="shared" si="258"/>
        <v>0</v>
      </c>
      <c r="L2106" s="198">
        <f>COUNTIF(J2106:K2106,"&lt;&gt;0")*-'Trading Model'!$E$15</f>
        <v>0</v>
      </c>
      <c r="M2106" s="198">
        <f t="shared" si="256"/>
        <v>0</v>
      </c>
      <c r="N2106" s="75">
        <f t="shared" si="259"/>
        <v>49</v>
      </c>
      <c r="O2106" s="202">
        <f t="shared" si="260"/>
        <v>0</v>
      </c>
      <c r="P2106" s="199">
        <f t="shared" si="257"/>
        <v>0</v>
      </c>
      <c r="Q2106" s="203">
        <f t="shared" si="261"/>
        <v>-3.8999999999985979</v>
      </c>
      <c r="R2106" s="203" t="s">
        <v>55</v>
      </c>
      <c r="S2106" s="201">
        <f t="shared" si="262"/>
        <v>2.8698978676691134E-3</v>
      </c>
    </row>
    <row r="2107" spans="1:19">
      <c r="A2107" s="196">
        <v>43024</v>
      </c>
      <c r="B2107" s="122">
        <v>31.35</v>
      </c>
      <c r="C2107" s="122">
        <v>31.870000999999998</v>
      </c>
      <c r="D2107" s="122">
        <v>31.209999</v>
      </c>
      <c r="E2107" s="122">
        <v>31.35</v>
      </c>
      <c r="F2107" s="122">
        <v>27.692395999999999</v>
      </c>
      <c r="G2107" s="197">
        <v>144000</v>
      </c>
      <c r="H2107" s="198">
        <f>IF(AND(E2106&gt;=H2106,E2107&gt;=E2106),E2106*(1+'Trading Model'!$E$13),IF(AND(E2107&lt;E2106,E2106&gt;=H2106),E2107*(1+'Trading Model'!$E$13),H2106))</f>
        <v>32.024999999999999</v>
      </c>
      <c r="I2107" s="198">
        <f>IF(K2107&gt;0,E2107*(1-'Trading Model'!E2117),IF(E2107&lt;I2106,I2106*(1-'Trading Model'!$E$14),I2106))</f>
        <v>28.974999999999998</v>
      </c>
      <c r="J2107" s="198">
        <f t="shared" si="263"/>
        <v>0</v>
      </c>
      <c r="K2107" s="198">
        <f t="shared" si="258"/>
        <v>0</v>
      </c>
      <c r="L2107" s="198">
        <f>COUNTIF(J2107:K2107,"&lt;&gt;0")*-'Trading Model'!$E$15</f>
        <v>0</v>
      </c>
      <c r="M2107" s="198">
        <f t="shared" si="256"/>
        <v>0</v>
      </c>
      <c r="N2107" s="75">
        <f t="shared" si="259"/>
        <v>49</v>
      </c>
      <c r="O2107" s="202">
        <f t="shared" si="260"/>
        <v>0</v>
      </c>
      <c r="P2107" s="199">
        <f t="shared" si="257"/>
        <v>0</v>
      </c>
      <c r="Q2107" s="203">
        <f t="shared" si="261"/>
        <v>-3.999999999998598</v>
      </c>
      <c r="R2107" s="201">
        <f>E2107/B2103-1</f>
        <v>1.2775790890315886E-3</v>
      </c>
      <c r="S2107" s="201">
        <f t="shared" si="262"/>
        <v>-3.1796819338733018E-3</v>
      </c>
    </row>
    <row r="2108" spans="1:19">
      <c r="A2108" s="196">
        <v>43025</v>
      </c>
      <c r="B2108" s="122">
        <v>31.219999000000001</v>
      </c>
      <c r="C2108" s="122">
        <v>31.76</v>
      </c>
      <c r="D2108" s="122">
        <v>31.049999</v>
      </c>
      <c r="E2108" s="122">
        <v>31.450001</v>
      </c>
      <c r="F2108" s="122">
        <v>27.780730999999999</v>
      </c>
      <c r="G2108" s="197">
        <v>171100</v>
      </c>
      <c r="H2108" s="198">
        <f>IF(AND(E2107&gt;=H2107,E2108&gt;=E2107),E2107*(1+'Trading Model'!$E$13),IF(AND(E2108&lt;E2107,E2107&gt;=H2107),E2108*(1+'Trading Model'!$E$13),H2107))</f>
        <v>32.024999999999999</v>
      </c>
      <c r="I2108" s="198">
        <f>IF(K2108&gt;0,E2108*(1-'Trading Model'!E2118),IF(E2108&lt;I2107,I2107*(1-'Trading Model'!$E$14),I2107))</f>
        <v>28.974999999999998</v>
      </c>
      <c r="J2108" s="198">
        <f t="shared" si="263"/>
        <v>0</v>
      </c>
      <c r="K2108" s="198">
        <f t="shared" si="258"/>
        <v>0</v>
      </c>
      <c r="L2108" s="198">
        <f>COUNTIF(J2108:K2108,"&lt;&gt;0")*-'Trading Model'!$E$15</f>
        <v>0</v>
      </c>
      <c r="M2108" s="198">
        <f t="shared" si="256"/>
        <v>0</v>
      </c>
      <c r="N2108" s="75">
        <f t="shared" si="259"/>
        <v>49</v>
      </c>
      <c r="O2108" s="202">
        <f t="shared" si="260"/>
        <v>0</v>
      </c>
      <c r="P2108" s="199">
        <f t="shared" si="257"/>
        <v>0</v>
      </c>
      <c r="Q2108" s="203">
        <f t="shared" si="261"/>
        <v>-3.999999999998598</v>
      </c>
      <c r="R2108" s="160" t="s">
        <v>55</v>
      </c>
      <c r="S2108" s="201">
        <f t="shared" si="262"/>
        <v>3.189824561403487E-3</v>
      </c>
    </row>
    <row r="2109" spans="1:19">
      <c r="A2109" s="196">
        <v>43026</v>
      </c>
      <c r="B2109" s="122">
        <v>31.65</v>
      </c>
      <c r="C2109" s="122">
        <v>32.150002000000001</v>
      </c>
      <c r="D2109" s="122">
        <v>31.4</v>
      </c>
      <c r="E2109" s="122">
        <v>31.690000999999999</v>
      </c>
      <c r="F2109" s="122">
        <v>27.992726999999999</v>
      </c>
      <c r="G2109" s="197">
        <v>164900</v>
      </c>
      <c r="H2109" s="198">
        <f>IF(AND(E2108&gt;=H2108,E2109&gt;=E2108),E2108*(1+'Trading Model'!$E$13),IF(AND(E2109&lt;E2108,E2108&gt;=H2108),E2109*(1+'Trading Model'!$E$13),H2108))</f>
        <v>32.024999999999999</v>
      </c>
      <c r="I2109" s="198">
        <f>IF(K2109&gt;0,E2109*(1-'Trading Model'!E2119),IF(E2109&lt;I2108,I2108*(1-'Trading Model'!$E$14),I2108))</f>
        <v>28.974999999999998</v>
      </c>
      <c r="J2109" s="198">
        <f t="shared" si="263"/>
        <v>0</v>
      </c>
      <c r="K2109" s="198">
        <f t="shared" si="258"/>
        <v>0</v>
      </c>
      <c r="L2109" s="198">
        <f>COUNTIF(J2109:K2109,"&lt;&gt;0")*-'Trading Model'!$E$15</f>
        <v>0</v>
      </c>
      <c r="M2109" s="198">
        <f t="shared" si="256"/>
        <v>0</v>
      </c>
      <c r="N2109" s="75">
        <f t="shared" si="259"/>
        <v>49</v>
      </c>
      <c r="O2109" s="202">
        <f t="shared" si="260"/>
        <v>0</v>
      </c>
      <c r="P2109" s="199">
        <f t="shared" si="257"/>
        <v>0</v>
      </c>
      <c r="Q2109" s="203">
        <f t="shared" si="261"/>
        <v>-3.999999999998598</v>
      </c>
      <c r="R2109" s="203" t="s">
        <v>55</v>
      </c>
      <c r="S2109" s="201">
        <f t="shared" si="262"/>
        <v>7.6311603296927988E-3</v>
      </c>
    </row>
    <row r="2110" spans="1:19">
      <c r="A2110" s="196">
        <v>43027</v>
      </c>
      <c r="B2110" s="122">
        <v>31.540001</v>
      </c>
      <c r="C2110" s="122">
        <v>32.57</v>
      </c>
      <c r="D2110" s="122">
        <v>31.41</v>
      </c>
      <c r="E2110" s="122">
        <v>32.139999000000003</v>
      </c>
      <c r="F2110" s="122">
        <v>28.390224</v>
      </c>
      <c r="G2110" s="197">
        <v>287300</v>
      </c>
      <c r="H2110" s="198">
        <f>IF(AND(E2109&gt;=H2109,E2110&gt;=E2109),E2109*(1+'Trading Model'!$E$13),IF(AND(E2110&lt;E2109,E2109&gt;=H2109),E2110*(1+'Trading Model'!$E$13),H2109))</f>
        <v>32.024999999999999</v>
      </c>
      <c r="I2110" s="198">
        <f>IF(K2110&gt;0,E2110*(1-'Trading Model'!E2120),IF(E2110&lt;I2109,I2109*(1-'Trading Model'!$E$14),I2109))</f>
        <v>32.139999000000003</v>
      </c>
      <c r="J2110" s="198">
        <f t="shared" si="263"/>
        <v>-32.139999000000003</v>
      </c>
      <c r="K2110" s="198">
        <f t="shared" si="258"/>
        <v>32.139999000000003</v>
      </c>
      <c r="L2110" s="198">
        <f>COUNTIF(J2110:K2110,"&lt;&gt;0")*-'Trading Model'!$E$15</f>
        <v>-0.2</v>
      </c>
      <c r="M2110" s="198">
        <f t="shared" si="256"/>
        <v>-0.2</v>
      </c>
      <c r="N2110" s="75">
        <f t="shared" si="259"/>
        <v>49</v>
      </c>
      <c r="O2110" s="202">
        <f t="shared" si="260"/>
        <v>0</v>
      </c>
      <c r="P2110" s="199">
        <f t="shared" si="257"/>
        <v>0</v>
      </c>
      <c r="Q2110" s="203">
        <f t="shared" si="261"/>
        <v>-3.999999999998598</v>
      </c>
      <c r="R2110" s="203" t="s">
        <v>55</v>
      </c>
      <c r="S2110" s="201">
        <f t="shared" si="262"/>
        <v>1.4199999551909315E-2</v>
      </c>
    </row>
    <row r="2111" spans="1:19">
      <c r="A2111" s="196">
        <v>43028</v>
      </c>
      <c r="B2111" s="122">
        <v>32.169998</v>
      </c>
      <c r="C2111" s="122">
        <v>32.740001999999997</v>
      </c>
      <c r="D2111" s="122">
        <v>31.209999</v>
      </c>
      <c r="E2111" s="122">
        <v>31.700001</v>
      </c>
      <c r="F2111" s="122">
        <v>28.001560000000001</v>
      </c>
      <c r="G2111" s="197">
        <v>214900</v>
      </c>
      <c r="H2111" s="198">
        <f>IF(AND(E2110&gt;=H2110,E2111&gt;=E2110),E2110*(1+'Trading Model'!$E$13),IF(AND(E2111&lt;E2110,E2110&gt;=H2110),E2111*(1+'Trading Model'!$E$13),H2110))</f>
        <v>33.285001049999998</v>
      </c>
      <c r="I2111" s="198">
        <f>IF(K2111&gt;0,E2111*(1-'Trading Model'!E2121),IF(E2111&lt;I2110,I2110*(1-'Trading Model'!$E$14),I2110))</f>
        <v>30.532999050000001</v>
      </c>
      <c r="J2111" s="198">
        <f t="shared" si="263"/>
        <v>-31.700001</v>
      </c>
      <c r="K2111" s="198">
        <f t="shared" si="258"/>
        <v>0</v>
      </c>
      <c r="L2111" s="198">
        <f>COUNTIF(J2111:K2111,"&lt;&gt;0")*-'Trading Model'!$E$15</f>
        <v>-0.1</v>
      </c>
      <c r="M2111" s="198">
        <f t="shared" si="256"/>
        <v>-31.800001000000002</v>
      </c>
      <c r="N2111" s="75">
        <f t="shared" si="259"/>
        <v>50</v>
      </c>
      <c r="O2111" s="202">
        <f t="shared" si="260"/>
        <v>0</v>
      </c>
      <c r="P2111" s="199">
        <f t="shared" si="257"/>
        <v>0</v>
      </c>
      <c r="Q2111" s="203">
        <f t="shared" si="261"/>
        <v>-4.0999999999985981</v>
      </c>
      <c r="R2111" s="203" t="s">
        <v>55</v>
      </c>
      <c r="S2111" s="201">
        <f t="shared" si="262"/>
        <v>-1.3690043985377987E-2</v>
      </c>
    </row>
    <row r="2112" spans="1:19">
      <c r="A2112" s="196">
        <v>43031</v>
      </c>
      <c r="B2112" s="122">
        <v>31.950001</v>
      </c>
      <c r="C2112" s="122">
        <v>33.799999</v>
      </c>
      <c r="D2112" s="122">
        <v>31.860001</v>
      </c>
      <c r="E2112" s="122">
        <v>33.799999</v>
      </c>
      <c r="F2112" s="122">
        <v>29.856556000000001</v>
      </c>
      <c r="G2112" s="197">
        <v>311700</v>
      </c>
      <c r="H2112" s="198">
        <f>IF(AND(E2111&gt;=H2111,E2112&gt;=E2111),E2111*(1+'Trading Model'!$E$13),IF(AND(E2112&lt;E2111,E2111&gt;=H2111),E2112*(1+'Trading Model'!$E$13),H2111))</f>
        <v>33.285001049999998</v>
      </c>
      <c r="I2112" s="198">
        <f>IF(K2112&gt;0,E2112*(1-'Trading Model'!E2122),IF(E2112&lt;I2111,I2111*(1-'Trading Model'!$E$14),I2111))</f>
        <v>33.799999</v>
      </c>
      <c r="J2112" s="198">
        <f t="shared" si="263"/>
        <v>-33.799999</v>
      </c>
      <c r="K2112" s="198">
        <f t="shared" si="258"/>
        <v>33.799999</v>
      </c>
      <c r="L2112" s="198">
        <f>COUNTIF(J2112:K2112,"&lt;&gt;0")*-'Trading Model'!$E$15</f>
        <v>-0.2</v>
      </c>
      <c r="M2112" s="198">
        <f t="shared" si="256"/>
        <v>-0.2</v>
      </c>
      <c r="N2112" s="75">
        <f t="shared" si="259"/>
        <v>50</v>
      </c>
      <c r="O2112" s="202">
        <f t="shared" si="260"/>
        <v>0</v>
      </c>
      <c r="P2112" s="199">
        <f t="shared" si="257"/>
        <v>0</v>
      </c>
      <c r="Q2112" s="203">
        <f t="shared" si="261"/>
        <v>-4.0999999999985981</v>
      </c>
      <c r="R2112" s="201">
        <f>E2112/B2108-1</f>
        <v>8.2639336407409836E-2</v>
      </c>
      <c r="S2112" s="201">
        <f t="shared" si="262"/>
        <v>6.6245991601072696E-2</v>
      </c>
    </row>
    <row r="2113" spans="1:19">
      <c r="A2113" s="196">
        <v>43032</v>
      </c>
      <c r="B2113" s="122">
        <v>33.630001</v>
      </c>
      <c r="C2113" s="122">
        <v>33.860000999999997</v>
      </c>
      <c r="D2113" s="122">
        <v>33</v>
      </c>
      <c r="E2113" s="122">
        <v>33.529998999999997</v>
      </c>
      <c r="F2113" s="122">
        <v>29.618054999999998</v>
      </c>
      <c r="G2113" s="197">
        <v>119900</v>
      </c>
      <c r="H2113" s="198">
        <f>IF(AND(E2112&gt;=H2112,E2113&gt;=E2112),E2112*(1+'Trading Model'!$E$13),IF(AND(E2113&lt;E2112,E2112&gt;=H2112),E2113*(1+'Trading Model'!$E$13),H2112))</f>
        <v>35.206498949999997</v>
      </c>
      <c r="I2113" s="198">
        <f>IF(K2113&gt;0,E2113*(1-'Trading Model'!E2123),IF(E2113&lt;I2112,I2112*(1-'Trading Model'!$E$14),I2112))</f>
        <v>32.109999049999999</v>
      </c>
      <c r="J2113" s="198">
        <f t="shared" si="263"/>
        <v>-33.529998999999997</v>
      </c>
      <c r="K2113" s="198">
        <f t="shared" si="258"/>
        <v>0</v>
      </c>
      <c r="L2113" s="198">
        <f>COUNTIF(J2113:K2113,"&lt;&gt;0")*-'Trading Model'!$E$15</f>
        <v>-0.1</v>
      </c>
      <c r="M2113" s="198">
        <f t="shared" si="256"/>
        <v>-33.629998999999998</v>
      </c>
      <c r="N2113" s="75">
        <f t="shared" si="259"/>
        <v>51</v>
      </c>
      <c r="O2113" s="202">
        <f t="shared" si="260"/>
        <v>0</v>
      </c>
      <c r="P2113" s="199">
        <f t="shared" si="257"/>
        <v>0</v>
      </c>
      <c r="Q2113" s="203">
        <f t="shared" si="261"/>
        <v>-4.1999999999985977</v>
      </c>
      <c r="R2113" s="160" t="s">
        <v>55</v>
      </c>
      <c r="S2113" s="201">
        <f t="shared" si="262"/>
        <v>-7.9881659168097308E-3</v>
      </c>
    </row>
    <row r="2114" spans="1:19">
      <c r="A2114" s="196">
        <v>43033</v>
      </c>
      <c r="B2114" s="122">
        <v>33.529998999999997</v>
      </c>
      <c r="C2114" s="122">
        <v>34.009998000000003</v>
      </c>
      <c r="D2114" s="122">
        <v>33.310001</v>
      </c>
      <c r="E2114" s="122">
        <v>33.509998000000003</v>
      </c>
      <c r="F2114" s="122">
        <v>29.600386</v>
      </c>
      <c r="G2114" s="197">
        <v>154600</v>
      </c>
      <c r="H2114" s="198">
        <f>IF(AND(E2113&gt;=H2113,E2114&gt;=E2113),E2113*(1+'Trading Model'!$E$13),IF(AND(E2114&lt;E2113,E2113&gt;=H2113),E2114*(1+'Trading Model'!$E$13),H2113))</f>
        <v>35.206498949999997</v>
      </c>
      <c r="I2114" s="198">
        <f>IF(K2114&gt;0,E2114*(1-'Trading Model'!E2124),IF(E2114&lt;I2113,I2113*(1-'Trading Model'!$E$14),I2113))</f>
        <v>32.109999049999999</v>
      </c>
      <c r="J2114" s="198">
        <f t="shared" si="263"/>
        <v>0</v>
      </c>
      <c r="K2114" s="198">
        <f t="shared" si="258"/>
        <v>0</v>
      </c>
      <c r="L2114" s="198">
        <f>COUNTIF(J2114:K2114,"&lt;&gt;0")*-'Trading Model'!$E$15</f>
        <v>0</v>
      </c>
      <c r="M2114" s="198">
        <f t="shared" si="256"/>
        <v>0</v>
      </c>
      <c r="N2114" s="75">
        <f t="shared" si="259"/>
        <v>51</v>
      </c>
      <c r="O2114" s="202">
        <f t="shared" si="260"/>
        <v>0</v>
      </c>
      <c r="P2114" s="199">
        <f t="shared" si="257"/>
        <v>0</v>
      </c>
      <c r="Q2114" s="203">
        <f t="shared" si="261"/>
        <v>-4.2999999999985974</v>
      </c>
      <c r="R2114" s="203" t="s">
        <v>55</v>
      </c>
      <c r="S2114" s="201">
        <f t="shared" si="262"/>
        <v>-5.9651060532373013E-4</v>
      </c>
    </row>
    <row r="2115" spans="1:19">
      <c r="A2115" s="196">
        <v>43034</v>
      </c>
      <c r="B2115" s="122">
        <v>33.659999999999997</v>
      </c>
      <c r="C2115" s="122">
        <v>33.979999999999997</v>
      </c>
      <c r="D2115" s="122">
        <v>33.43</v>
      </c>
      <c r="E2115" s="122">
        <v>33.560001</v>
      </c>
      <c r="F2115" s="122">
        <v>29.644556000000001</v>
      </c>
      <c r="G2115" s="197">
        <v>241300</v>
      </c>
      <c r="H2115" s="198">
        <f>IF(AND(E2114&gt;=H2114,E2115&gt;=E2114),E2114*(1+'Trading Model'!$E$13),IF(AND(E2115&lt;E2114,E2114&gt;=H2114),E2115*(1+'Trading Model'!$E$13),H2114))</f>
        <v>35.206498949999997</v>
      </c>
      <c r="I2115" s="198">
        <f>IF(K2115&gt;0,E2115*(1-'Trading Model'!E2125),IF(E2115&lt;I2114,I2114*(1-'Trading Model'!$E$14),I2114))</f>
        <v>32.109999049999999</v>
      </c>
      <c r="J2115" s="198">
        <f t="shared" si="263"/>
        <v>0</v>
      </c>
      <c r="K2115" s="198">
        <f t="shared" si="258"/>
        <v>0</v>
      </c>
      <c r="L2115" s="198">
        <f>COUNTIF(J2115:K2115,"&lt;&gt;0")*-'Trading Model'!$E$15</f>
        <v>0</v>
      </c>
      <c r="M2115" s="198">
        <f t="shared" ref="M2115:M2178" si="264">SUM(J2115:L2115)</f>
        <v>0</v>
      </c>
      <c r="N2115" s="75">
        <f t="shared" si="259"/>
        <v>51</v>
      </c>
      <c r="O2115" s="202">
        <f t="shared" si="260"/>
        <v>0</v>
      </c>
      <c r="P2115" s="199">
        <f t="shared" ref="P2115:P2178" si="265">IFERROR(VLOOKUP(A2115,Dividends,2,FALSE),$U$1)</f>
        <v>0</v>
      </c>
      <c r="Q2115" s="203">
        <f t="shared" si="261"/>
        <v>-4.2999999999985974</v>
      </c>
      <c r="R2115" s="203" t="s">
        <v>55</v>
      </c>
      <c r="S2115" s="201">
        <f t="shared" si="262"/>
        <v>1.4921815274353545E-3</v>
      </c>
    </row>
    <row r="2116" spans="1:19">
      <c r="A2116" s="196">
        <v>43035</v>
      </c>
      <c r="B2116" s="122">
        <v>33.830002</v>
      </c>
      <c r="C2116" s="122">
        <v>33.830002</v>
      </c>
      <c r="D2116" s="122">
        <v>32.340000000000003</v>
      </c>
      <c r="E2116" s="122">
        <v>33.189999</v>
      </c>
      <c r="F2116" s="122">
        <v>29.317720000000001</v>
      </c>
      <c r="G2116" s="197">
        <v>137900</v>
      </c>
      <c r="H2116" s="198">
        <f>IF(AND(E2115&gt;=H2115,E2116&gt;=E2115),E2115*(1+'Trading Model'!$E$13),IF(AND(E2116&lt;E2115,E2115&gt;=H2115),E2116*(1+'Trading Model'!$E$13),H2115))</f>
        <v>35.206498949999997</v>
      </c>
      <c r="I2116" s="198">
        <f>IF(K2116&gt;0,E2116*(1-'Trading Model'!E2126),IF(E2116&lt;I2115,I2115*(1-'Trading Model'!$E$14),I2115))</f>
        <v>32.109999049999999</v>
      </c>
      <c r="J2116" s="198">
        <f t="shared" si="263"/>
        <v>0</v>
      </c>
      <c r="K2116" s="198">
        <f t="shared" ref="K2116:K2179" si="266">IF(E2116&gt;=H2116,E2116,0)</f>
        <v>0</v>
      </c>
      <c r="L2116" s="198">
        <f>COUNTIF(J2116:K2116,"&lt;&gt;0")*-'Trading Model'!$E$15</f>
        <v>0</v>
      </c>
      <c r="M2116" s="198">
        <f t="shared" si="264"/>
        <v>0</v>
      </c>
      <c r="N2116" s="75">
        <f t="shared" ref="N2116:N2179" si="267">IF(AND(J2116&lt;0,K2116&gt;0),N2115,(IF(J2116&lt;0,N2115+1,IF(K2116&gt;0,N2115+1,N2115))))</f>
        <v>51</v>
      </c>
      <c r="O2116" s="202">
        <f t="shared" ref="O2116:O2179" si="268">P2116</f>
        <v>0</v>
      </c>
      <c r="P2116" s="199">
        <f t="shared" si="265"/>
        <v>0</v>
      </c>
      <c r="Q2116" s="203">
        <f t="shared" ref="Q2116:Q2179" si="269">IF(E2116&lt;E2115,Q2115-0.1,Q2115)</f>
        <v>-4.399999999998597</v>
      </c>
      <c r="R2116" s="203" t="s">
        <v>55</v>
      </c>
      <c r="S2116" s="201">
        <f t="shared" ref="S2116:S2179" si="270">E2116/E2115-1</f>
        <v>-1.1025089063614768E-2</v>
      </c>
    </row>
    <row r="2117" spans="1:19">
      <c r="A2117" s="196">
        <v>43038</v>
      </c>
      <c r="B2117" s="122">
        <v>33.200001</v>
      </c>
      <c r="C2117" s="122">
        <v>33.240001999999997</v>
      </c>
      <c r="D2117" s="122">
        <v>32.060001</v>
      </c>
      <c r="E2117" s="122">
        <v>32.57</v>
      </c>
      <c r="F2117" s="122">
        <v>28.770056</v>
      </c>
      <c r="G2117" s="197">
        <v>102300</v>
      </c>
      <c r="H2117" s="198">
        <f>IF(AND(E2116&gt;=H2116,E2117&gt;=E2116),E2116*(1+'Trading Model'!$E$13),IF(AND(E2117&lt;E2116,E2116&gt;=H2116),E2117*(1+'Trading Model'!$E$13),H2116))</f>
        <v>35.206498949999997</v>
      </c>
      <c r="I2117" s="198">
        <f>IF(K2117&gt;0,E2117*(1-'Trading Model'!E2127),IF(E2117&lt;I2116,I2116*(1-'Trading Model'!$E$14),I2116))</f>
        <v>32.109999049999999</v>
      </c>
      <c r="J2117" s="198">
        <f t="shared" ref="J2117:J2180" si="271">IF(E2117&gt;=H2117,-E2117,IF(E2117&lt;=I2116,-E2117,0))</f>
        <v>0</v>
      </c>
      <c r="K2117" s="198">
        <f t="shared" si="266"/>
        <v>0</v>
      </c>
      <c r="L2117" s="198">
        <f>COUNTIF(J2117:K2117,"&lt;&gt;0")*-'Trading Model'!$E$15</f>
        <v>0</v>
      </c>
      <c r="M2117" s="198">
        <f t="shared" si="264"/>
        <v>0</v>
      </c>
      <c r="N2117" s="75">
        <f t="shared" si="267"/>
        <v>51</v>
      </c>
      <c r="O2117" s="202">
        <f t="shared" si="268"/>
        <v>0</v>
      </c>
      <c r="P2117" s="199">
        <f t="shared" si="265"/>
        <v>0</v>
      </c>
      <c r="Q2117" s="203">
        <f t="shared" si="269"/>
        <v>-4.4999999999985967</v>
      </c>
      <c r="R2117" s="201">
        <f>E2117/B2113-1</f>
        <v>-3.1519505455857688E-2</v>
      </c>
      <c r="S2117" s="201">
        <f t="shared" si="270"/>
        <v>-1.8680295832488536E-2</v>
      </c>
    </row>
    <row r="2118" spans="1:19">
      <c r="A2118" s="196">
        <v>43039</v>
      </c>
      <c r="B2118" s="122">
        <v>32.939999</v>
      </c>
      <c r="C2118" s="122">
        <v>32.939999</v>
      </c>
      <c r="D2118" s="122">
        <v>31.809999000000001</v>
      </c>
      <c r="E2118" s="122">
        <v>32.610000999999997</v>
      </c>
      <c r="F2118" s="122">
        <v>28.805391</v>
      </c>
      <c r="G2118" s="197">
        <v>217900</v>
      </c>
      <c r="H2118" s="198">
        <f>IF(AND(E2117&gt;=H2117,E2118&gt;=E2117),E2117*(1+'Trading Model'!$E$13),IF(AND(E2118&lt;E2117,E2117&gt;=H2117),E2118*(1+'Trading Model'!$E$13),H2117))</f>
        <v>35.206498949999997</v>
      </c>
      <c r="I2118" s="198">
        <f>IF(K2118&gt;0,E2118*(1-'Trading Model'!E2128),IF(E2118&lt;I2117,I2117*(1-'Trading Model'!$E$14),I2117))</f>
        <v>32.109999049999999</v>
      </c>
      <c r="J2118" s="198">
        <f t="shared" si="271"/>
        <v>0</v>
      </c>
      <c r="K2118" s="198">
        <f t="shared" si="266"/>
        <v>0</v>
      </c>
      <c r="L2118" s="198">
        <f>COUNTIF(J2118:K2118,"&lt;&gt;0")*-'Trading Model'!$E$15</f>
        <v>0</v>
      </c>
      <c r="M2118" s="198">
        <f t="shared" si="264"/>
        <v>0</v>
      </c>
      <c r="N2118" s="75">
        <f t="shared" si="267"/>
        <v>51</v>
      </c>
      <c r="O2118" s="202">
        <f t="shared" si="268"/>
        <v>0</v>
      </c>
      <c r="P2118" s="199">
        <f t="shared" si="265"/>
        <v>0</v>
      </c>
      <c r="Q2118" s="203">
        <f t="shared" si="269"/>
        <v>-4.4999999999985967</v>
      </c>
      <c r="R2118" s="160" t="s">
        <v>55</v>
      </c>
      <c r="S2118" s="201">
        <f t="shared" si="270"/>
        <v>1.2281547436290285E-3</v>
      </c>
    </row>
    <row r="2119" spans="1:19">
      <c r="A2119" s="196">
        <v>43040</v>
      </c>
      <c r="B2119" s="122">
        <v>32.959999000000003</v>
      </c>
      <c r="C2119" s="122">
        <v>33.93</v>
      </c>
      <c r="D2119" s="122">
        <v>32.959999000000003</v>
      </c>
      <c r="E2119" s="122">
        <v>33.770000000000003</v>
      </c>
      <c r="F2119" s="122">
        <v>29.830055000000002</v>
      </c>
      <c r="G2119" s="197">
        <v>343500</v>
      </c>
      <c r="H2119" s="198">
        <f>IF(AND(E2118&gt;=H2118,E2119&gt;=E2118),E2118*(1+'Trading Model'!$E$13),IF(AND(E2119&lt;E2118,E2118&gt;=H2118),E2119*(1+'Trading Model'!$E$13),H2118))</f>
        <v>35.206498949999997</v>
      </c>
      <c r="I2119" s="198">
        <f>IF(K2119&gt;0,E2119*(1-'Trading Model'!E2129),IF(E2119&lt;I2118,I2118*(1-'Trading Model'!$E$14),I2118))</f>
        <v>32.109999049999999</v>
      </c>
      <c r="J2119" s="198">
        <f t="shared" si="271"/>
        <v>0</v>
      </c>
      <c r="K2119" s="198">
        <f t="shared" si="266"/>
        <v>0</v>
      </c>
      <c r="L2119" s="198">
        <f>COUNTIF(J2119:K2119,"&lt;&gt;0")*-'Trading Model'!$E$15</f>
        <v>0</v>
      </c>
      <c r="M2119" s="198">
        <f t="shared" si="264"/>
        <v>0</v>
      </c>
      <c r="N2119" s="75">
        <f t="shared" si="267"/>
        <v>51</v>
      </c>
      <c r="O2119" s="202">
        <f t="shared" si="268"/>
        <v>0</v>
      </c>
      <c r="P2119" s="199">
        <f t="shared" si="265"/>
        <v>0</v>
      </c>
      <c r="Q2119" s="203">
        <f t="shared" si="269"/>
        <v>-4.4999999999985967</v>
      </c>
      <c r="R2119" s="203" t="s">
        <v>55</v>
      </c>
      <c r="S2119" s="201">
        <f t="shared" si="270"/>
        <v>3.5571878700647819E-2</v>
      </c>
    </row>
    <row r="2120" spans="1:19">
      <c r="A2120" s="196">
        <v>43041</v>
      </c>
      <c r="B2120" s="122">
        <v>34</v>
      </c>
      <c r="C2120" s="122">
        <v>34.200001</v>
      </c>
      <c r="D2120" s="122">
        <v>33.830002</v>
      </c>
      <c r="E2120" s="122">
        <v>34.110000999999997</v>
      </c>
      <c r="F2120" s="122">
        <v>30.130388</v>
      </c>
      <c r="G2120" s="197">
        <v>410600</v>
      </c>
      <c r="H2120" s="198">
        <f>IF(AND(E2119&gt;=H2119,E2120&gt;=E2119),E2119*(1+'Trading Model'!$E$13),IF(AND(E2120&lt;E2119,E2119&gt;=H2119),E2120*(1+'Trading Model'!$E$13),H2119))</f>
        <v>35.206498949999997</v>
      </c>
      <c r="I2120" s="198">
        <f>IF(K2120&gt;0,E2120*(1-'Trading Model'!E2130),IF(E2120&lt;I2119,I2119*(1-'Trading Model'!$E$14),I2119))</f>
        <v>32.109999049999999</v>
      </c>
      <c r="J2120" s="198">
        <f t="shared" si="271"/>
        <v>0</v>
      </c>
      <c r="K2120" s="198">
        <f t="shared" si="266"/>
        <v>0</v>
      </c>
      <c r="L2120" s="198">
        <f>COUNTIF(J2120:K2120,"&lt;&gt;0")*-'Trading Model'!$E$15</f>
        <v>0</v>
      </c>
      <c r="M2120" s="198">
        <f t="shared" si="264"/>
        <v>0</v>
      </c>
      <c r="N2120" s="75">
        <f t="shared" si="267"/>
        <v>51</v>
      </c>
      <c r="O2120" s="202">
        <f t="shared" si="268"/>
        <v>0</v>
      </c>
      <c r="P2120" s="199">
        <f t="shared" si="265"/>
        <v>0</v>
      </c>
      <c r="Q2120" s="203">
        <f t="shared" si="269"/>
        <v>-4.4999999999985967</v>
      </c>
      <c r="R2120" s="203" t="s">
        <v>55</v>
      </c>
      <c r="S2120" s="201">
        <f t="shared" si="270"/>
        <v>1.0068137400059074E-2</v>
      </c>
    </row>
    <row r="2121" spans="1:19">
      <c r="A2121" s="196">
        <v>43042</v>
      </c>
      <c r="B2121" s="122">
        <v>34.200001</v>
      </c>
      <c r="C2121" s="122">
        <v>34.200001</v>
      </c>
      <c r="D2121" s="122">
        <v>33.090000000000003</v>
      </c>
      <c r="E2121" s="122">
        <v>33.5</v>
      </c>
      <c r="F2121" s="122">
        <v>29.591555</v>
      </c>
      <c r="G2121" s="197">
        <v>664100</v>
      </c>
      <c r="H2121" s="198">
        <f>IF(AND(E2120&gt;=H2120,E2121&gt;=E2120),E2120*(1+'Trading Model'!$E$13),IF(AND(E2121&lt;E2120,E2120&gt;=H2120),E2121*(1+'Trading Model'!$E$13),H2120))</f>
        <v>35.206498949999997</v>
      </c>
      <c r="I2121" s="198">
        <f>IF(K2121&gt;0,E2121*(1-'Trading Model'!E2131),IF(E2121&lt;I2120,I2120*(1-'Trading Model'!$E$14),I2120))</f>
        <v>32.109999049999999</v>
      </c>
      <c r="J2121" s="198">
        <f t="shared" si="271"/>
        <v>0</v>
      </c>
      <c r="K2121" s="198">
        <f t="shared" si="266"/>
        <v>0</v>
      </c>
      <c r="L2121" s="198">
        <f>COUNTIF(J2121:K2121,"&lt;&gt;0")*-'Trading Model'!$E$15</f>
        <v>0</v>
      </c>
      <c r="M2121" s="198">
        <f t="shared" si="264"/>
        <v>0</v>
      </c>
      <c r="N2121" s="75">
        <f t="shared" si="267"/>
        <v>51</v>
      </c>
      <c r="O2121" s="202">
        <f t="shared" si="268"/>
        <v>0</v>
      </c>
      <c r="P2121" s="199">
        <f t="shared" si="265"/>
        <v>0</v>
      </c>
      <c r="Q2121" s="203">
        <f t="shared" si="269"/>
        <v>-4.5999999999985963</v>
      </c>
      <c r="R2121" s="203" t="s">
        <v>55</v>
      </c>
      <c r="S2121" s="201">
        <f t="shared" si="270"/>
        <v>-1.7883347467506527E-2</v>
      </c>
    </row>
    <row r="2122" spans="1:19">
      <c r="A2122" s="196">
        <v>43045</v>
      </c>
      <c r="B2122" s="122">
        <v>33.270000000000003</v>
      </c>
      <c r="C2122" s="122">
        <v>33.740001999999997</v>
      </c>
      <c r="D2122" s="122">
        <v>32.93</v>
      </c>
      <c r="E2122" s="122">
        <v>33.040000999999997</v>
      </c>
      <c r="F2122" s="122">
        <v>29.185223000000001</v>
      </c>
      <c r="G2122" s="197">
        <v>160900</v>
      </c>
      <c r="H2122" s="198">
        <f>IF(AND(E2121&gt;=H2121,E2122&gt;=E2121),E2121*(1+'Trading Model'!$E$13),IF(AND(E2122&lt;E2121,E2121&gt;=H2121),E2122*(1+'Trading Model'!$E$13),H2121))</f>
        <v>35.206498949999997</v>
      </c>
      <c r="I2122" s="198">
        <f>IF(K2122&gt;0,E2122*(1-'Trading Model'!E2132),IF(E2122&lt;I2121,I2121*(1-'Trading Model'!$E$14),I2121))</f>
        <v>32.109999049999999</v>
      </c>
      <c r="J2122" s="198">
        <f t="shared" si="271"/>
        <v>0</v>
      </c>
      <c r="K2122" s="198">
        <f t="shared" si="266"/>
        <v>0</v>
      </c>
      <c r="L2122" s="198">
        <f>COUNTIF(J2122:K2122,"&lt;&gt;0")*-'Trading Model'!$E$15</f>
        <v>0</v>
      </c>
      <c r="M2122" s="198">
        <f t="shared" si="264"/>
        <v>0</v>
      </c>
      <c r="N2122" s="75">
        <f t="shared" si="267"/>
        <v>51</v>
      </c>
      <c r="O2122" s="202">
        <f t="shared" si="268"/>
        <v>0</v>
      </c>
      <c r="P2122" s="199">
        <f t="shared" si="265"/>
        <v>0</v>
      </c>
      <c r="Q2122" s="203">
        <f t="shared" si="269"/>
        <v>-4.699999999998596</v>
      </c>
      <c r="R2122" s="201">
        <f>E2122/B2118-1</f>
        <v>3.0358835165720244E-3</v>
      </c>
      <c r="S2122" s="201">
        <f t="shared" si="270"/>
        <v>-1.3731313432835957E-2</v>
      </c>
    </row>
    <row r="2123" spans="1:19">
      <c r="A2123" s="196">
        <v>43046</v>
      </c>
      <c r="B2123" s="122">
        <v>33.200001</v>
      </c>
      <c r="C2123" s="122">
        <v>33.290000999999997</v>
      </c>
      <c r="D2123" s="122">
        <v>32.459999000000003</v>
      </c>
      <c r="E2123" s="122">
        <v>32.650002000000001</v>
      </c>
      <c r="F2123" s="122">
        <v>28.840727000000001</v>
      </c>
      <c r="G2123" s="197">
        <v>174600</v>
      </c>
      <c r="H2123" s="198">
        <f>IF(AND(E2122&gt;=H2122,E2123&gt;=E2122),E2122*(1+'Trading Model'!$E$13),IF(AND(E2123&lt;E2122,E2122&gt;=H2122),E2123*(1+'Trading Model'!$E$13),H2122))</f>
        <v>35.206498949999997</v>
      </c>
      <c r="I2123" s="198">
        <f>IF(K2123&gt;0,E2123*(1-'Trading Model'!E2133),IF(E2123&lt;I2122,I2122*(1-'Trading Model'!$E$14),I2122))</f>
        <v>32.109999049999999</v>
      </c>
      <c r="J2123" s="198">
        <f t="shared" si="271"/>
        <v>0</v>
      </c>
      <c r="K2123" s="198">
        <f t="shared" si="266"/>
        <v>0</v>
      </c>
      <c r="L2123" s="198">
        <f>COUNTIF(J2123:K2123,"&lt;&gt;0")*-'Trading Model'!$E$15</f>
        <v>0</v>
      </c>
      <c r="M2123" s="198">
        <f t="shared" si="264"/>
        <v>0</v>
      </c>
      <c r="N2123" s="75">
        <f t="shared" si="267"/>
        <v>51</v>
      </c>
      <c r="O2123" s="202">
        <f t="shared" si="268"/>
        <v>0</v>
      </c>
      <c r="P2123" s="199">
        <f t="shared" si="265"/>
        <v>0</v>
      </c>
      <c r="Q2123" s="203">
        <f t="shared" si="269"/>
        <v>-4.7999999999985956</v>
      </c>
      <c r="R2123" s="160" t="s">
        <v>55</v>
      </c>
      <c r="S2123" s="201">
        <f t="shared" si="270"/>
        <v>-1.1803843468406572E-2</v>
      </c>
    </row>
    <row r="2124" spans="1:19">
      <c r="A2124" s="196">
        <v>43047</v>
      </c>
      <c r="B2124" s="122">
        <v>32.5</v>
      </c>
      <c r="C2124" s="122">
        <v>34.159999999999997</v>
      </c>
      <c r="D2124" s="122">
        <v>32.5</v>
      </c>
      <c r="E2124" s="122">
        <v>34.159999999999997</v>
      </c>
      <c r="F2124" s="122">
        <v>30.174553</v>
      </c>
      <c r="G2124" s="197">
        <v>198800</v>
      </c>
      <c r="H2124" s="198">
        <f>IF(AND(E2123&gt;=H2123,E2124&gt;=E2123),E2123*(1+'Trading Model'!$E$13),IF(AND(E2124&lt;E2123,E2123&gt;=H2123),E2124*(1+'Trading Model'!$E$13),H2123))</f>
        <v>35.206498949999997</v>
      </c>
      <c r="I2124" s="198">
        <f>IF(K2124&gt;0,E2124*(1-'Trading Model'!E2134),IF(E2124&lt;I2123,I2123*(1-'Trading Model'!$E$14),I2123))</f>
        <v>32.109999049999999</v>
      </c>
      <c r="J2124" s="198">
        <f t="shared" si="271"/>
        <v>0</v>
      </c>
      <c r="K2124" s="198">
        <f t="shared" si="266"/>
        <v>0</v>
      </c>
      <c r="L2124" s="198">
        <f>COUNTIF(J2124:K2124,"&lt;&gt;0")*-'Trading Model'!$E$15</f>
        <v>0</v>
      </c>
      <c r="M2124" s="198">
        <f t="shared" si="264"/>
        <v>0</v>
      </c>
      <c r="N2124" s="75">
        <f t="shared" si="267"/>
        <v>51</v>
      </c>
      <c r="O2124" s="202">
        <f t="shared" si="268"/>
        <v>0</v>
      </c>
      <c r="P2124" s="199">
        <f t="shared" si="265"/>
        <v>0</v>
      </c>
      <c r="Q2124" s="203">
        <f t="shared" si="269"/>
        <v>-4.7999999999985956</v>
      </c>
      <c r="R2124" s="203" t="s">
        <v>55</v>
      </c>
      <c r="S2124" s="201">
        <f t="shared" si="270"/>
        <v>4.6248021669339945E-2</v>
      </c>
    </row>
    <row r="2125" spans="1:19">
      <c r="A2125" s="196">
        <v>43048</v>
      </c>
      <c r="B2125" s="122">
        <v>33.840000000000003</v>
      </c>
      <c r="C2125" s="122">
        <v>33.939999</v>
      </c>
      <c r="D2125" s="122">
        <v>33.049999</v>
      </c>
      <c r="E2125" s="122">
        <v>33.25</v>
      </c>
      <c r="F2125" s="122">
        <v>29.370722000000001</v>
      </c>
      <c r="G2125" s="197">
        <v>150100</v>
      </c>
      <c r="H2125" s="198">
        <f>IF(AND(E2124&gt;=H2124,E2125&gt;=E2124),E2124*(1+'Trading Model'!$E$13),IF(AND(E2125&lt;E2124,E2124&gt;=H2124),E2125*(1+'Trading Model'!$E$13),H2124))</f>
        <v>35.206498949999997</v>
      </c>
      <c r="I2125" s="198">
        <f>IF(K2125&gt;0,E2125*(1-'Trading Model'!E2135),IF(E2125&lt;I2124,I2124*(1-'Trading Model'!$E$14),I2124))</f>
        <v>32.109999049999999</v>
      </c>
      <c r="J2125" s="198">
        <f t="shared" si="271"/>
        <v>0</v>
      </c>
      <c r="K2125" s="198">
        <f t="shared" si="266"/>
        <v>0</v>
      </c>
      <c r="L2125" s="198">
        <f>COUNTIF(J2125:K2125,"&lt;&gt;0")*-'Trading Model'!$E$15</f>
        <v>0</v>
      </c>
      <c r="M2125" s="198">
        <f t="shared" si="264"/>
        <v>0</v>
      </c>
      <c r="N2125" s="75">
        <f t="shared" si="267"/>
        <v>51</v>
      </c>
      <c r="O2125" s="202">
        <f t="shared" si="268"/>
        <v>0</v>
      </c>
      <c r="P2125" s="199">
        <f t="shared" si="265"/>
        <v>0</v>
      </c>
      <c r="Q2125" s="203">
        <f t="shared" si="269"/>
        <v>-4.8999999999985953</v>
      </c>
      <c r="R2125" s="203" t="s">
        <v>55</v>
      </c>
      <c r="S2125" s="201">
        <f t="shared" si="270"/>
        <v>-2.6639344262294973E-2</v>
      </c>
    </row>
    <row r="2126" spans="1:19">
      <c r="A2126" s="196">
        <v>43049</v>
      </c>
      <c r="B2126" s="122">
        <v>33.189999</v>
      </c>
      <c r="C2126" s="122">
        <v>33.700001</v>
      </c>
      <c r="D2126" s="122">
        <v>32.799999</v>
      </c>
      <c r="E2126" s="122">
        <v>33.040000999999997</v>
      </c>
      <c r="F2126" s="122">
        <v>29.185223000000001</v>
      </c>
      <c r="G2126" s="197">
        <v>94600</v>
      </c>
      <c r="H2126" s="198">
        <f>IF(AND(E2125&gt;=H2125,E2126&gt;=E2125),E2125*(1+'Trading Model'!$E$13),IF(AND(E2126&lt;E2125,E2125&gt;=H2125),E2126*(1+'Trading Model'!$E$13),H2125))</f>
        <v>35.206498949999997</v>
      </c>
      <c r="I2126" s="198">
        <f>IF(K2126&gt;0,E2126*(1-'Trading Model'!E2136),IF(E2126&lt;I2125,I2125*(1-'Trading Model'!$E$14),I2125))</f>
        <v>32.109999049999999</v>
      </c>
      <c r="J2126" s="198">
        <f t="shared" si="271"/>
        <v>0</v>
      </c>
      <c r="K2126" s="198">
        <f t="shared" si="266"/>
        <v>0</v>
      </c>
      <c r="L2126" s="198">
        <f>COUNTIF(J2126:K2126,"&lt;&gt;0")*-'Trading Model'!$E$15</f>
        <v>0</v>
      </c>
      <c r="M2126" s="198">
        <f t="shared" si="264"/>
        <v>0</v>
      </c>
      <c r="N2126" s="75">
        <f t="shared" si="267"/>
        <v>51</v>
      </c>
      <c r="O2126" s="202">
        <f t="shared" si="268"/>
        <v>0</v>
      </c>
      <c r="P2126" s="199">
        <f t="shared" si="265"/>
        <v>0</v>
      </c>
      <c r="Q2126" s="203">
        <f t="shared" si="269"/>
        <v>-4.9999999999985949</v>
      </c>
      <c r="R2126" s="203" t="s">
        <v>55</v>
      </c>
      <c r="S2126" s="201">
        <f t="shared" si="270"/>
        <v>-6.3157593984963789E-3</v>
      </c>
    </row>
    <row r="2127" spans="1:19">
      <c r="A2127" s="196">
        <v>43052</v>
      </c>
      <c r="B2127" s="122">
        <v>33.040000999999997</v>
      </c>
      <c r="C2127" s="122">
        <v>33.599997999999999</v>
      </c>
      <c r="D2127" s="122">
        <v>31.18</v>
      </c>
      <c r="E2127" s="122">
        <v>32.560001</v>
      </c>
      <c r="F2127" s="122">
        <v>28.761227000000002</v>
      </c>
      <c r="G2127" s="197">
        <v>151800</v>
      </c>
      <c r="H2127" s="198">
        <f>IF(AND(E2126&gt;=H2126,E2127&gt;=E2126),E2126*(1+'Trading Model'!$E$13),IF(AND(E2127&lt;E2126,E2126&gt;=H2126),E2127*(1+'Trading Model'!$E$13),H2126))</f>
        <v>35.206498949999997</v>
      </c>
      <c r="I2127" s="198">
        <f>IF(K2127&gt;0,E2127*(1-'Trading Model'!E2137),IF(E2127&lt;I2126,I2126*(1-'Trading Model'!$E$14),I2126))</f>
        <v>32.109999049999999</v>
      </c>
      <c r="J2127" s="198">
        <f t="shared" si="271"/>
        <v>0</v>
      </c>
      <c r="K2127" s="198">
        <f t="shared" si="266"/>
        <v>0</v>
      </c>
      <c r="L2127" s="198">
        <f>COUNTIF(J2127:K2127,"&lt;&gt;0")*-'Trading Model'!$E$15</f>
        <v>0</v>
      </c>
      <c r="M2127" s="198">
        <f t="shared" si="264"/>
        <v>0</v>
      </c>
      <c r="N2127" s="75">
        <f t="shared" si="267"/>
        <v>51</v>
      </c>
      <c r="O2127" s="202">
        <f t="shared" si="268"/>
        <v>0</v>
      </c>
      <c r="P2127" s="199">
        <f t="shared" si="265"/>
        <v>0</v>
      </c>
      <c r="Q2127" s="203">
        <f t="shared" si="269"/>
        <v>-5.0999999999985945</v>
      </c>
      <c r="R2127" s="201">
        <f>E2127/B2123-1</f>
        <v>-1.9277107853099218E-2</v>
      </c>
      <c r="S2127" s="201">
        <f t="shared" si="270"/>
        <v>-1.4527844596614825E-2</v>
      </c>
    </row>
    <row r="2128" spans="1:19">
      <c r="A2128" s="196">
        <v>43053</v>
      </c>
      <c r="B2128" s="122">
        <v>32.630001</v>
      </c>
      <c r="C2128" s="122">
        <v>32.630001</v>
      </c>
      <c r="D2128" s="122">
        <v>30.629999000000002</v>
      </c>
      <c r="E2128" s="122">
        <v>30.860001</v>
      </c>
      <c r="F2128" s="122">
        <v>27.259563</v>
      </c>
      <c r="G2128" s="197">
        <v>268400</v>
      </c>
      <c r="H2128" s="198">
        <f>IF(AND(E2127&gt;=H2127,E2128&gt;=E2127),E2127*(1+'Trading Model'!$E$13),IF(AND(E2128&lt;E2127,E2127&gt;=H2127),E2128*(1+'Trading Model'!$E$13),H2127))</f>
        <v>35.206498949999997</v>
      </c>
      <c r="I2128" s="198">
        <f>IF(K2128&gt;0,E2128*(1-'Trading Model'!E2138),IF(E2128&lt;I2127,I2127*(1-'Trading Model'!$E$14),I2127))</f>
        <v>30.504499097499998</v>
      </c>
      <c r="J2128" s="198">
        <f t="shared" si="271"/>
        <v>-30.860001</v>
      </c>
      <c r="K2128" s="198">
        <f t="shared" si="266"/>
        <v>0</v>
      </c>
      <c r="L2128" s="198">
        <f>COUNTIF(J2128:K2128,"&lt;&gt;0")*-'Trading Model'!$E$15</f>
        <v>-0.1</v>
      </c>
      <c r="M2128" s="198">
        <f t="shared" si="264"/>
        <v>-30.960001000000002</v>
      </c>
      <c r="N2128" s="75">
        <f t="shared" si="267"/>
        <v>52</v>
      </c>
      <c r="O2128" s="202">
        <f t="shared" si="268"/>
        <v>0</v>
      </c>
      <c r="P2128" s="199">
        <f t="shared" si="265"/>
        <v>0</v>
      </c>
      <c r="Q2128" s="203">
        <f t="shared" si="269"/>
        <v>-5.1999999999985942</v>
      </c>
      <c r="R2128" s="160" t="s">
        <v>55</v>
      </c>
      <c r="S2128" s="201">
        <f t="shared" si="270"/>
        <v>-5.2211300607761024E-2</v>
      </c>
    </row>
    <row r="2129" spans="1:19">
      <c r="A2129" s="196">
        <v>43054</v>
      </c>
      <c r="B2129" s="122">
        <v>30.870000999999998</v>
      </c>
      <c r="C2129" s="122">
        <v>32.909999999999997</v>
      </c>
      <c r="D2129" s="122">
        <v>30.76</v>
      </c>
      <c r="E2129" s="122">
        <v>32.349997999999999</v>
      </c>
      <c r="F2129" s="122">
        <v>28.575724000000001</v>
      </c>
      <c r="G2129" s="197">
        <v>333500</v>
      </c>
      <c r="H2129" s="198">
        <f>IF(AND(E2128&gt;=H2128,E2129&gt;=E2128),E2128*(1+'Trading Model'!$E$13),IF(AND(E2129&lt;E2128,E2128&gt;=H2128),E2129*(1+'Trading Model'!$E$13),H2128))</f>
        <v>35.206498949999997</v>
      </c>
      <c r="I2129" s="198">
        <f>IF(K2129&gt;0,E2129*(1-'Trading Model'!E2139),IF(E2129&lt;I2128,I2128*(1-'Trading Model'!$E$14),I2128))</f>
        <v>30.504499097499998</v>
      </c>
      <c r="J2129" s="198">
        <f t="shared" si="271"/>
        <v>0</v>
      </c>
      <c r="K2129" s="198">
        <f t="shared" si="266"/>
        <v>0</v>
      </c>
      <c r="L2129" s="198">
        <f>COUNTIF(J2129:K2129,"&lt;&gt;0")*-'Trading Model'!$E$15</f>
        <v>0</v>
      </c>
      <c r="M2129" s="198">
        <f t="shared" si="264"/>
        <v>0</v>
      </c>
      <c r="N2129" s="75">
        <f t="shared" si="267"/>
        <v>52</v>
      </c>
      <c r="O2129" s="202">
        <f t="shared" si="268"/>
        <v>0</v>
      </c>
      <c r="P2129" s="199">
        <f t="shared" si="265"/>
        <v>0</v>
      </c>
      <c r="Q2129" s="203">
        <f t="shared" si="269"/>
        <v>-5.1999999999985942</v>
      </c>
      <c r="R2129" s="203" t="s">
        <v>55</v>
      </c>
      <c r="S2129" s="201">
        <f t="shared" si="270"/>
        <v>4.8282467651248551E-2</v>
      </c>
    </row>
    <row r="2130" spans="1:19">
      <c r="A2130" s="196">
        <v>43055</v>
      </c>
      <c r="B2130" s="122">
        <v>32.389999000000003</v>
      </c>
      <c r="C2130" s="122">
        <v>33.599997999999999</v>
      </c>
      <c r="D2130" s="122">
        <v>32.200001</v>
      </c>
      <c r="E2130" s="122">
        <v>33.389999000000003</v>
      </c>
      <c r="F2130" s="122">
        <v>29.494389999999999</v>
      </c>
      <c r="G2130" s="197">
        <v>231600</v>
      </c>
      <c r="H2130" s="198">
        <f>IF(AND(E2129&gt;=H2129,E2130&gt;=E2129),E2129*(1+'Trading Model'!$E$13),IF(AND(E2130&lt;E2129,E2129&gt;=H2129),E2130*(1+'Trading Model'!$E$13),H2129))</f>
        <v>35.206498949999997</v>
      </c>
      <c r="I2130" s="198">
        <f>IF(K2130&gt;0,E2130*(1-'Trading Model'!E2140),IF(E2130&lt;I2129,I2129*(1-'Trading Model'!$E$14),I2129))</f>
        <v>30.504499097499998</v>
      </c>
      <c r="J2130" s="198">
        <f t="shared" si="271"/>
        <v>0</v>
      </c>
      <c r="K2130" s="198">
        <f t="shared" si="266"/>
        <v>0</v>
      </c>
      <c r="L2130" s="198">
        <f>COUNTIF(J2130:K2130,"&lt;&gt;0")*-'Trading Model'!$E$15</f>
        <v>0</v>
      </c>
      <c r="M2130" s="198">
        <f t="shared" si="264"/>
        <v>0</v>
      </c>
      <c r="N2130" s="75">
        <f t="shared" si="267"/>
        <v>52</v>
      </c>
      <c r="O2130" s="202">
        <f t="shared" si="268"/>
        <v>0</v>
      </c>
      <c r="P2130" s="199">
        <f t="shared" si="265"/>
        <v>0</v>
      </c>
      <c r="Q2130" s="203">
        <f t="shared" si="269"/>
        <v>-5.1999999999985942</v>
      </c>
      <c r="R2130" s="203" t="s">
        <v>55</v>
      </c>
      <c r="S2130" s="201">
        <f t="shared" si="270"/>
        <v>3.2148410024631424E-2</v>
      </c>
    </row>
    <row r="2131" spans="1:19">
      <c r="A2131" s="196">
        <v>43056</v>
      </c>
      <c r="B2131" s="122">
        <v>33.389999000000003</v>
      </c>
      <c r="C2131" s="122">
        <v>33.869999</v>
      </c>
      <c r="D2131" s="122">
        <v>33.130001</v>
      </c>
      <c r="E2131" s="122">
        <v>33.810001</v>
      </c>
      <c r="F2131" s="122">
        <v>29.865386999999998</v>
      </c>
      <c r="G2131" s="197">
        <v>201200</v>
      </c>
      <c r="H2131" s="198">
        <f>IF(AND(E2130&gt;=H2130,E2131&gt;=E2130),E2130*(1+'Trading Model'!$E$13),IF(AND(E2131&lt;E2130,E2130&gt;=H2130),E2131*(1+'Trading Model'!$E$13),H2130))</f>
        <v>35.206498949999997</v>
      </c>
      <c r="I2131" s="198">
        <f>IF(K2131&gt;0,E2131*(1-'Trading Model'!E2141),IF(E2131&lt;I2130,I2130*(1-'Trading Model'!$E$14),I2130))</f>
        <v>30.504499097499998</v>
      </c>
      <c r="J2131" s="198">
        <f t="shared" si="271"/>
        <v>0</v>
      </c>
      <c r="K2131" s="198">
        <f t="shared" si="266"/>
        <v>0</v>
      </c>
      <c r="L2131" s="198">
        <f>COUNTIF(J2131:K2131,"&lt;&gt;0")*-'Trading Model'!$E$15</f>
        <v>0</v>
      </c>
      <c r="M2131" s="198">
        <f t="shared" si="264"/>
        <v>0</v>
      </c>
      <c r="N2131" s="75">
        <f t="shared" si="267"/>
        <v>52</v>
      </c>
      <c r="O2131" s="202">
        <f t="shared" si="268"/>
        <v>0</v>
      </c>
      <c r="P2131" s="199">
        <f t="shared" si="265"/>
        <v>0</v>
      </c>
      <c r="Q2131" s="203">
        <f t="shared" si="269"/>
        <v>-5.1999999999985942</v>
      </c>
      <c r="R2131" s="203" t="s">
        <v>55</v>
      </c>
      <c r="S2131" s="201">
        <f t="shared" si="270"/>
        <v>1.257867662709411E-2</v>
      </c>
    </row>
    <row r="2132" spans="1:19">
      <c r="A2132" s="196">
        <v>43059</v>
      </c>
      <c r="B2132" s="122">
        <v>33.740001999999997</v>
      </c>
      <c r="C2132" s="122">
        <v>34.849997999999999</v>
      </c>
      <c r="D2132" s="122">
        <v>33.409999999999997</v>
      </c>
      <c r="E2132" s="122">
        <v>34.130001</v>
      </c>
      <c r="F2132" s="122">
        <v>30.148052</v>
      </c>
      <c r="G2132" s="197">
        <v>210200</v>
      </c>
      <c r="H2132" s="198">
        <f>IF(AND(E2131&gt;=H2131,E2132&gt;=E2131),E2131*(1+'Trading Model'!$E$13),IF(AND(E2132&lt;E2131,E2131&gt;=H2131),E2132*(1+'Trading Model'!$E$13),H2131))</f>
        <v>35.206498949999997</v>
      </c>
      <c r="I2132" s="198">
        <f>IF(K2132&gt;0,E2132*(1-'Trading Model'!E2142),IF(E2132&lt;I2131,I2131*(1-'Trading Model'!$E$14),I2131))</f>
        <v>30.504499097499998</v>
      </c>
      <c r="J2132" s="198">
        <f t="shared" si="271"/>
        <v>0</v>
      </c>
      <c r="K2132" s="198">
        <f t="shared" si="266"/>
        <v>0</v>
      </c>
      <c r="L2132" s="198">
        <f>COUNTIF(J2132:K2132,"&lt;&gt;0")*-'Trading Model'!$E$15</f>
        <v>0</v>
      </c>
      <c r="M2132" s="198">
        <f t="shared" si="264"/>
        <v>0</v>
      </c>
      <c r="N2132" s="75">
        <f t="shared" si="267"/>
        <v>52</v>
      </c>
      <c r="O2132" s="202">
        <f t="shared" si="268"/>
        <v>0</v>
      </c>
      <c r="P2132" s="199">
        <f t="shared" si="265"/>
        <v>0</v>
      </c>
      <c r="Q2132" s="203">
        <f t="shared" si="269"/>
        <v>-5.1999999999985942</v>
      </c>
      <c r="R2132" s="201">
        <f>E2132/B2128-1</f>
        <v>4.5969964879866154E-2</v>
      </c>
      <c r="S2132" s="201">
        <f t="shared" si="270"/>
        <v>9.4646551474517615E-3</v>
      </c>
    </row>
    <row r="2133" spans="1:19">
      <c r="A2133" s="196">
        <v>43060</v>
      </c>
      <c r="B2133" s="122">
        <v>33.900002000000001</v>
      </c>
      <c r="C2133" s="122">
        <v>34.840000000000003</v>
      </c>
      <c r="D2133" s="122">
        <v>33.799999</v>
      </c>
      <c r="E2133" s="122">
        <v>34.419998</v>
      </c>
      <c r="F2133" s="122">
        <v>30.404216999999999</v>
      </c>
      <c r="G2133" s="197">
        <v>200200</v>
      </c>
      <c r="H2133" s="198">
        <f>IF(AND(E2132&gt;=H2132,E2133&gt;=E2132),E2132*(1+'Trading Model'!$E$13),IF(AND(E2133&lt;E2132,E2132&gt;=H2132),E2133*(1+'Trading Model'!$E$13),H2132))</f>
        <v>35.206498949999997</v>
      </c>
      <c r="I2133" s="198">
        <f>IF(K2133&gt;0,E2133*(1-'Trading Model'!E2143),IF(E2133&lt;I2132,I2132*(1-'Trading Model'!$E$14),I2132))</f>
        <v>30.504499097499998</v>
      </c>
      <c r="J2133" s="198">
        <f t="shared" si="271"/>
        <v>0</v>
      </c>
      <c r="K2133" s="198">
        <f t="shared" si="266"/>
        <v>0</v>
      </c>
      <c r="L2133" s="198">
        <f>COUNTIF(J2133:K2133,"&lt;&gt;0")*-'Trading Model'!$E$15</f>
        <v>0</v>
      </c>
      <c r="M2133" s="198">
        <f t="shared" si="264"/>
        <v>0</v>
      </c>
      <c r="N2133" s="75">
        <f t="shared" si="267"/>
        <v>52</v>
      </c>
      <c r="O2133" s="202">
        <f t="shared" si="268"/>
        <v>0</v>
      </c>
      <c r="P2133" s="199">
        <f t="shared" si="265"/>
        <v>0</v>
      </c>
      <c r="Q2133" s="203">
        <f t="shared" si="269"/>
        <v>-5.1999999999985942</v>
      </c>
      <c r="R2133" s="160" t="s">
        <v>55</v>
      </c>
      <c r="S2133" s="201">
        <f t="shared" si="270"/>
        <v>8.4968353795242813E-3</v>
      </c>
    </row>
    <row r="2134" spans="1:19">
      <c r="A2134" s="196">
        <v>43061</v>
      </c>
      <c r="B2134" s="122">
        <v>34.770000000000003</v>
      </c>
      <c r="C2134" s="122">
        <v>34.970001000000003</v>
      </c>
      <c r="D2134" s="122">
        <v>34.509998000000003</v>
      </c>
      <c r="E2134" s="122">
        <v>34.970001000000003</v>
      </c>
      <c r="F2134" s="122">
        <v>30.890055</v>
      </c>
      <c r="G2134" s="197">
        <v>150900</v>
      </c>
      <c r="H2134" s="198">
        <f>IF(AND(E2133&gt;=H2133,E2134&gt;=E2133),E2133*(1+'Trading Model'!$E$13),IF(AND(E2134&lt;E2133,E2133&gt;=H2133),E2134*(1+'Trading Model'!$E$13),H2133))</f>
        <v>35.206498949999997</v>
      </c>
      <c r="I2134" s="198">
        <f>IF(K2134&gt;0,E2134*(1-'Trading Model'!E2144),IF(E2134&lt;I2133,I2133*(1-'Trading Model'!$E$14),I2133))</f>
        <v>30.504499097499998</v>
      </c>
      <c r="J2134" s="198">
        <f t="shared" si="271"/>
        <v>0</v>
      </c>
      <c r="K2134" s="198">
        <f t="shared" si="266"/>
        <v>0</v>
      </c>
      <c r="L2134" s="198">
        <f>COUNTIF(J2134:K2134,"&lt;&gt;0")*-'Trading Model'!$E$15</f>
        <v>0</v>
      </c>
      <c r="M2134" s="198">
        <f t="shared" si="264"/>
        <v>0</v>
      </c>
      <c r="N2134" s="75">
        <f t="shared" si="267"/>
        <v>52</v>
      </c>
      <c r="O2134" s="202">
        <f t="shared" si="268"/>
        <v>0</v>
      </c>
      <c r="P2134" s="199">
        <f t="shared" si="265"/>
        <v>0</v>
      </c>
      <c r="Q2134" s="203">
        <f t="shared" si="269"/>
        <v>-5.1999999999985942</v>
      </c>
      <c r="R2134" s="203" t="s">
        <v>55</v>
      </c>
      <c r="S2134" s="201">
        <f t="shared" si="270"/>
        <v>1.5979170016221511E-2</v>
      </c>
    </row>
    <row r="2135" spans="1:19">
      <c r="A2135" s="196">
        <v>43063</v>
      </c>
      <c r="B2135" s="122">
        <v>34.970001000000003</v>
      </c>
      <c r="C2135" s="122">
        <v>35.25</v>
      </c>
      <c r="D2135" s="122">
        <v>34.43</v>
      </c>
      <c r="E2135" s="122">
        <v>34.950001</v>
      </c>
      <c r="F2135" s="122">
        <v>30.872385000000001</v>
      </c>
      <c r="G2135" s="197">
        <v>117800</v>
      </c>
      <c r="H2135" s="198">
        <f>IF(AND(E2134&gt;=H2134,E2135&gt;=E2134),E2134*(1+'Trading Model'!$E$13),IF(AND(E2135&lt;E2134,E2134&gt;=H2134),E2135*(1+'Trading Model'!$E$13),H2134))</f>
        <v>35.206498949999997</v>
      </c>
      <c r="I2135" s="198">
        <f>IF(K2135&gt;0,E2135*(1-'Trading Model'!E2145),IF(E2135&lt;I2134,I2134*(1-'Trading Model'!$E$14),I2134))</f>
        <v>30.504499097499998</v>
      </c>
      <c r="J2135" s="198">
        <f t="shared" si="271"/>
        <v>0</v>
      </c>
      <c r="K2135" s="198">
        <f t="shared" si="266"/>
        <v>0</v>
      </c>
      <c r="L2135" s="198">
        <f>COUNTIF(J2135:K2135,"&lt;&gt;0")*-'Trading Model'!$E$15</f>
        <v>0</v>
      </c>
      <c r="M2135" s="198">
        <f t="shared" si="264"/>
        <v>0</v>
      </c>
      <c r="N2135" s="75">
        <f t="shared" si="267"/>
        <v>52</v>
      </c>
      <c r="O2135" s="202">
        <f t="shared" si="268"/>
        <v>0</v>
      </c>
      <c r="P2135" s="199">
        <f t="shared" si="265"/>
        <v>0</v>
      </c>
      <c r="Q2135" s="203">
        <f t="shared" si="269"/>
        <v>-5.2999999999985938</v>
      </c>
      <c r="R2135" s="203" t="s">
        <v>55</v>
      </c>
      <c r="S2135" s="201">
        <f t="shared" si="270"/>
        <v>-5.7191877117768186E-4</v>
      </c>
    </row>
    <row r="2136" spans="1:19">
      <c r="A2136" s="196">
        <v>43066</v>
      </c>
      <c r="B2136" s="122">
        <v>34.799999</v>
      </c>
      <c r="C2136" s="122">
        <v>35.110000999999997</v>
      </c>
      <c r="D2136" s="122">
        <v>34.189999</v>
      </c>
      <c r="E2136" s="122">
        <v>34.720001000000003</v>
      </c>
      <c r="F2136" s="122">
        <v>30.669215999999999</v>
      </c>
      <c r="G2136" s="197">
        <v>122100</v>
      </c>
      <c r="H2136" s="198">
        <f>IF(AND(E2135&gt;=H2135,E2136&gt;=E2135),E2135*(1+'Trading Model'!$E$13),IF(AND(E2136&lt;E2135,E2135&gt;=H2135),E2136*(1+'Trading Model'!$E$13),H2135))</f>
        <v>35.206498949999997</v>
      </c>
      <c r="I2136" s="198">
        <f>IF(K2136&gt;0,E2136*(1-'Trading Model'!E2146),IF(E2136&lt;I2135,I2135*(1-'Trading Model'!$E$14),I2135))</f>
        <v>30.504499097499998</v>
      </c>
      <c r="J2136" s="198">
        <f t="shared" si="271"/>
        <v>0</v>
      </c>
      <c r="K2136" s="198">
        <f t="shared" si="266"/>
        <v>0</v>
      </c>
      <c r="L2136" s="198">
        <f>COUNTIF(J2136:K2136,"&lt;&gt;0")*-'Trading Model'!$E$15</f>
        <v>0</v>
      </c>
      <c r="M2136" s="198">
        <f t="shared" si="264"/>
        <v>0</v>
      </c>
      <c r="N2136" s="75">
        <f t="shared" si="267"/>
        <v>52</v>
      </c>
      <c r="O2136" s="202">
        <f t="shared" si="268"/>
        <v>0</v>
      </c>
      <c r="P2136" s="199">
        <f t="shared" si="265"/>
        <v>0</v>
      </c>
      <c r="Q2136" s="203">
        <f t="shared" si="269"/>
        <v>-5.3999999999985935</v>
      </c>
      <c r="R2136" s="203" t="s">
        <v>55</v>
      </c>
      <c r="S2136" s="201">
        <f t="shared" si="270"/>
        <v>-6.5808295685025886E-3</v>
      </c>
    </row>
    <row r="2137" spans="1:19">
      <c r="A2137" s="196">
        <v>43067</v>
      </c>
      <c r="B2137" s="122">
        <v>34.959999000000003</v>
      </c>
      <c r="C2137" s="122">
        <v>34.959999000000003</v>
      </c>
      <c r="D2137" s="122">
        <v>34.619999</v>
      </c>
      <c r="E2137" s="122">
        <v>34.720001000000003</v>
      </c>
      <c r="F2137" s="122">
        <v>30.669215999999999</v>
      </c>
      <c r="G2137" s="197">
        <v>111700</v>
      </c>
      <c r="H2137" s="198">
        <f>IF(AND(E2136&gt;=H2136,E2137&gt;=E2136),E2136*(1+'Trading Model'!$E$13),IF(AND(E2137&lt;E2136,E2136&gt;=H2136),E2137*(1+'Trading Model'!$E$13),H2136))</f>
        <v>35.206498949999997</v>
      </c>
      <c r="I2137" s="198">
        <f>IF(K2137&gt;0,E2137*(1-'Trading Model'!E2147),IF(E2137&lt;I2136,I2136*(1-'Trading Model'!$E$14),I2136))</f>
        <v>30.504499097499998</v>
      </c>
      <c r="J2137" s="198">
        <f t="shared" si="271"/>
        <v>0</v>
      </c>
      <c r="K2137" s="198">
        <f t="shared" si="266"/>
        <v>0</v>
      </c>
      <c r="L2137" s="198">
        <f>COUNTIF(J2137:K2137,"&lt;&gt;0")*-'Trading Model'!$E$15</f>
        <v>0</v>
      </c>
      <c r="M2137" s="198">
        <f t="shared" si="264"/>
        <v>0</v>
      </c>
      <c r="N2137" s="75">
        <f t="shared" si="267"/>
        <v>52</v>
      </c>
      <c r="O2137" s="202">
        <f t="shared" si="268"/>
        <v>0</v>
      </c>
      <c r="P2137" s="199">
        <f t="shared" si="265"/>
        <v>0</v>
      </c>
      <c r="Q2137" s="203">
        <f t="shared" si="269"/>
        <v>-5.3999999999985935</v>
      </c>
      <c r="R2137" s="201">
        <f>E2137/B2133-1</f>
        <v>2.418875963488154E-2</v>
      </c>
      <c r="S2137" s="201">
        <f t="shared" si="270"/>
        <v>0</v>
      </c>
    </row>
    <row r="2138" spans="1:19">
      <c r="A2138" s="196">
        <v>43068</v>
      </c>
      <c r="B2138" s="122">
        <v>34.479999999999997</v>
      </c>
      <c r="C2138" s="122">
        <v>34.979999999999997</v>
      </c>
      <c r="D2138" s="122">
        <v>34.450001</v>
      </c>
      <c r="E2138" s="122">
        <v>34.880001</v>
      </c>
      <c r="F2138" s="122">
        <v>30.810552999999999</v>
      </c>
      <c r="G2138" s="197">
        <v>216800</v>
      </c>
      <c r="H2138" s="198">
        <f>IF(AND(E2137&gt;=H2137,E2138&gt;=E2137),E2137*(1+'Trading Model'!$E$13),IF(AND(E2138&lt;E2137,E2137&gt;=H2137),E2138*(1+'Trading Model'!$E$13),H2137))</f>
        <v>35.206498949999997</v>
      </c>
      <c r="I2138" s="198">
        <f>IF(K2138&gt;0,E2138*(1-'Trading Model'!E2148),IF(E2138&lt;I2137,I2137*(1-'Trading Model'!$E$14),I2137))</f>
        <v>30.504499097499998</v>
      </c>
      <c r="J2138" s="198">
        <f t="shared" si="271"/>
        <v>0</v>
      </c>
      <c r="K2138" s="198">
        <f t="shared" si="266"/>
        <v>0</v>
      </c>
      <c r="L2138" s="198">
        <f>COUNTIF(J2138:K2138,"&lt;&gt;0")*-'Trading Model'!$E$15</f>
        <v>0</v>
      </c>
      <c r="M2138" s="198">
        <f t="shared" si="264"/>
        <v>0</v>
      </c>
      <c r="N2138" s="75">
        <f t="shared" si="267"/>
        <v>52</v>
      </c>
      <c r="O2138" s="202">
        <f t="shared" si="268"/>
        <v>0</v>
      </c>
      <c r="P2138" s="199">
        <f t="shared" si="265"/>
        <v>0</v>
      </c>
      <c r="Q2138" s="203">
        <f t="shared" si="269"/>
        <v>-5.3999999999985935</v>
      </c>
      <c r="R2138" s="160" t="s">
        <v>55</v>
      </c>
      <c r="S2138" s="201">
        <f t="shared" si="270"/>
        <v>4.6082947981480604E-3</v>
      </c>
    </row>
    <row r="2139" spans="1:19">
      <c r="A2139" s="196">
        <v>43069</v>
      </c>
      <c r="B2139" s="122">
        <v>35</v>
      </c>
      <c r="C2139" s="122">
        <v>35</v>
      </c>
      <c r="D2139" s="122">
        <v>34.520000000000003</v>
      </c>
      <c r="E2139" s="122">
        <v>34.790000999999997</v>
      </c>
      <c r="F2139" s="122">
        <v>30.731051999999998</v>
      </c>
      <c r="G2139" s="197">
        <v>140900</v>
      </c>
      <c r="H2139" s="198">
        <f>IF(AND(E2138&gt;=H2138,E2139&gt;=E2138),E2138*(1+'Trading Model'!$E$13),IF(AND(E2139&lt;E2138,E2138&gt;=H2138),E2139*(1+'Trading Model'!$E$13),H2138))</f>
        <v>35.206498949999997</v>
      </c>
      <c r="I2139" s="198">
        <f>IF(K2139&gt;0,E2139*(1-'Trading Model'!E2149),IF(E2139&lt;I2138,I2138*(1-'Trading Model'!$E$14),I2138))</f>
        <v>30.504499097499998</v>
      </c>
      <c r="J2139" s="198">
        <f t="shared" si="271"/>
        <v>0</v>
      </c>
      <c r="K2139" s="198">
        <f t="shared" si="266"/>
        <v>0</v>
      </c>
      <c r="L2139" s="198">
        <f>COUNTIF(J2139:K2139,"&lt;&gt;0")*-'Trading Model'!$E$15</f>
        <v>0</v>
      </c>
      <c r="M2139" s="198">
        <f t="shared" si="264"/>
        <v>0</v>
      </c>
      <c r="N2139" s="75">
        <f t="shared" si="267"/>
        <v>52</v>
      </c>
      <c r="O2139" s="202">
        <f t="shared" si="268"/>
        <v>0</v>
      </c>
      <c r="P2139" s="199">
        <f t="shared" si="265"/>
        <v>0</v>
      </c>
      <c r="Q2139" s="203">
        <f t="shared" si="269"/>
        <v>-5.4999999999985931</v>
      </c>
      <c r="R2139" s="203" t="s">
        <v>55</v>
      </c>
      <c r="S2139" s="201">
        <f t="shared" si="270"/>
        <v>-2.5802751553821723E-3</v>
      </c>
    </row>
    <row r="2140" spans="1:19">
      <c r="A2140" s="196">
        <v>43070</v>
      </c>
      <c r="B2140" s="122">
        <v>35</v>
      </c>
      <c r="C2140" s="122">
        <v>36.830002</v>
      </c>
      <c r="D2140" s="122">
        <v>35</v>
      </c>
      <c r="E2140" s="122">
        <v>36.080002</v>
      </c>
      <c r="F2140" s="122">
        <v>31.870552</v>
      </c>
      <c r="G2140" s="197">
        <v>197100</v>
      </c>
      <c r="H2140" s="198">
        <f>IF(AND(E2139&gt;=H2139,E2140&gt;=E2139),E2139*(1+'Trading Model'!$E$13),IF(AND(E2140&lt;E2139,E2139&gt;=H2139),E2140*(1+'Trading Model'!$E$13),H2139))</f>
        <v>35.206498949999997</v>
      </c>
      <c r="I2140" s="198">
        <f>IF(K2140&gt;0,E2140*(1-'Trading Model'!E2150),IF(E2140&lt;I2139,I2139*(1-'Trading Model'!$E$14),I2139))</f>
        <v>36.080002</v>
      </c>
      <c r="J2140" s="198">
        <f t="shared" si="271"/>
        <v>-36.080002</v>
      </c>
      <c r="K2140" s="198">
        <f t="shared" si="266"/>
        <v>36.080002</v>
      </c>
      <c r="L2140" s="198">
        <f>COUNTIF(J2140:K2140,"&lt;&gt;0")*-'Trading Model'!$E$15</f>
        <v>-0.2</v>
      </c>
      <c r="M2140" s="198">
        <f t="shared" si="264"/>
        <v>-0.2</v>
      </c>
      <c r="N2140" s="75">
        <f t="shared" si="267"/>
        <v>52</v>
      </c>
      <c r="O2140" s="202">
        <f t="shared" si="268"/>
        <v>0</v>
      </c>
      <c r="P2140" s="199">
        <f t="shared" si="265"/>
        <v>0</v>
      </c>
      <c r="Q2140" s="203">
        <f t="shared" si="269"/>
        <v>-5.4999999999985931</v>
      </c>
      <c r="R2140" s="203" t="s">
        <v>55</v>
      </c>
      <c r="S2140" s="201">
        <f t="shared" si="270"/>
        <v>3.7079648258705245E-2</v>
      </c>
    </row>
    <row r="2141" spans="1:19">
      <c r="A2141" s="196">
        <v>43073</v>
      </c>
      <c r="B2141" s="122">
        <v>36.25</v>
      </c>
      <c r="C2141" s="122">
        <v>38.540000999999997</v>
      </c>
      <c r="D2141" s="122">
        <v>35.590000000000003</v>
      </c>
      <c r="E2141" s="122">
        <v>35.990001999999997</v>
      </c>
      <c r="F2141" s="122">
        <v>31.791048</v>
      </c>
      <c r="G2141" s="197">
        <v>217800</v>
      </c>
      <c r="H2141" s="198">
        <f>IF(AND(E2140&gt;=H2140,E2141&gt;=E2140),E2140*(1+'Trading Model'!$E$13),IF(AND(E2141&lt;E2140,E2140&gt;=H2140),E2141*(1+'Trading Model'!$E$13),H2140))</f>
        <v>37.7895021</v>
      </c>
      <c r="I2141" s="198">
        <f>IF(K2141&gt;0,E2141*(1-'Trading Model'!E2151),IF(E2141&lt;I2140,I2140*(1-'Trading Model'!$E$14),I2140))</f>
        <v>34.276001899999997</v>
      </c>
      <c r="J2141" s="198">
        <f t="shared" si="271"/>
        <v>-35.990001999999997</v>
      </c>
      <c r="K2141" s="198">
        <f t="shared" si="266"/>
        <v>0</v>
      </c>
      <c r="L2141" s="198">
        <f>COUNTIF(J2141:K2141,"&lt;&gt;0")*-'Trading Model'!$E$15</f>
        <v>-0.1</v>
      </c>
      <c r="M2141" s="198">
        <f t="shared" si="264"/>
        <v>-36.090001999999998</v>
      </c>
      <c r="N2141" s="75">
        <f t="shared" si="267"/>
        <v>53</v>
      </c>
      <c r="O2141" s="202">
        <f t="shared" si="268"/>
        <v>0</v>
      </c>
      <c r="P2141" s="199">
        <f t="shared" si="265"/>
        <v>0</v>
      </c>
      <c r="Q2141" s="203">
        <f t="shared" si="269"/>
        <v>-5.5999999999985928</v>
      </c>
      <c r="R2141" s="203" t="s">
        <v>55</v>
      </c>
      <c r="S2141" s="201">
        <f t="shared" si="270"/>
        <v>-2.4944566244758937E-3</v>
      </c>
    </row>
    <row r="2142" spans="1:19">
      <c r="A2142" s="196">
        <v>43074</v>
      </c>
      <c r="B2142" s="122">
        <v>36.200001</v>
      </c>
      <c r="C2142" s="122">
        <v>38.169998</v>
      </c>
      <c r="D2142" s="122">
        <v>35.82</v>
      </c>
      <c r="E2142" s="122">
        <v>37.099997999999999</v>
      </c>
      <c r="F2142" s="122">
        <v>32.771545000000003</v>
      </c>
      <c r="G2142" s="197">
        <v>361200</v>
      </c>
      <c r="H2142" s="198">
        <f>IF(AND(E2141&gt;=H2141,E2142&gt;=E2141),E2141*(1+'Trading Model'!$E$13),IF(AND(E2142&lt;E2141,E2141&gt;=H2141),E2142*(1+'Trading Model'!$E$13),H2141))</f>
        <v>37.7895021</v>
      </c>
      <c r="I2142" s="198">
        <f>IF(K2142&gt;0,E2142*(1-'Trading Model'!E2152),IF(E2142&lt;I2141,I2141*(1-'Trading Model'!$E$14),I2141))</f>
        <v>34.276001899999997</v>
      </c>
      <c r="J2142" s="198">
        <f t="shared" si="271"/>
        <v>0</v>
      </c>
      <c r="K2142" s="198">
        <f t="shared" si="266"/>
        <v>0</v>
      </c>
      <c r="L2142" s="198">
        <f>COUNTIF(J2142:K2142,"&lt;&gt;0")*-'Trading Model'!$E$15</f>
        <v>0</v>
      </c>
      <c r="M2142" s="198">
        <f t="shared" si="264"/>
        <v>0</v>
      </c>
      <c r="N2142" s="75">
        <f t="shared" si="267"/>
        <v>53</v>
      </c>
      <c r="O2142" s="202">
        <f t="shared" si="268"/>
        <v>0</v>
      </c>
      <c r="P2142" s="199">
        <f t="shared" si="265"/>
        <v>0</v>
      </c>
      <c r="Q2142" s="203">
        <f t="shared" si="269"/>
        <v>-5.5999999999985928</v>
      </c>
      <c r="R2142" s="201">
        <f>E2142/B2138-1</f>
        <v>7.5986020881670502E-2</v>
      </c>
      <c r="S2142" s="201">
        <f t="shared" si="270"/>
        <v>3.0841787672031939E-2</v>
      </c>
    </row>
    <row r="2143" spans="1:19">
      <c r="A2143" s="196">
        <v>43075</v>
      </c>
      <c r="B2143" s="122">
        <v>37.25</v>
      </c>
      <c r="C2143" s="122">
        <v>37.439999</v>
      </c>
      <c r="D2143" s="122">
        <v>36.549999</v>
      </c>
      <c r="E2143" s="122">
        <v>37.020000000000003</v>
      </c>
      <c r="F2143" s="122">
        <v>32.700873999999999</v>
      </c>
      <c r="G2143" s="197">
        <v>115600</v>
      </c>
      <c r="H2143" s="198">
        <f>IF(AND(E2142&gt;=H2142,E2143&gt;=E2142),E2142*(1+'Trading Model'!$E$13),IF(AND(E2143&lt;E2142,E2142&gt;=H2142),E2143*(1+'Trading Model'!$E$13),H2142))</f>
        <v>37.7895021</v>
      </c>
      <c r="I2143" s="198">
        <f>IF(K2143&gt;0,E2143*(1-'Trading Model'!E2153),IF(E2143&lt;I2142,I2142*(1-'Trading Model'!$E$14),I2142))</f>
        <v>34.276001899999997</v>
      </c>
      <c r="J2143" s="198">
        <f t="shared" si="271"/>
        <v>0</v>
      </c>
      <c r="K2143" s="198">
        <f t="shared" si="266"/>
        <v>0</v>
      </c>
      <c r="L2143" s="198">
        <f>COUNTIF(J2143:K2143,"&lt;&gt;0")*-'Trading Model'!$E$15</f>
        <v>0</v>
      </c>
      <c r="M2143" s="198">
        <f t="shared" si="264"/>
        <v>0</v>
      </c>
      <c r="N2143" s="75">
        <f t="shared" si="267"/>
        <v>53</v>
      </c>
      <c r="O2143" s="202">
        <f t="shared" si="268"/>
        <v>0</v>
      </c>
      <c r="P2143" s="199">
        <f t="shared" si="265"/>
        <v>0</v>
      </c>
      <c r="Q2143" s="203">
        <f t="shared" si="269"/>
        <v>-5.6999999999985924</v>
      </c>
      <c r="R2143" s="160" t="s">
        <v>55</v>
      </c>
      <c r="S2143" s="201">
        <f t="shared" si="270"/>
        <v>-2.1562804396915158E-3</v>
      </c>
    </row>
    <row r="2144" spans="1:19">
      <c r="A2144" s="196">
        <v>43076</v>
      </c>
      <c r="B2144" s="122">
        <v>37</v>
      </c>
      <c r="C2144" s="122">
        <v>37.229999999999997</v>
      </c>
      <c r="D2144" s="122">
        <v>36.630001</v>
      </c>
      <c r="E2144" s="122">
        <v>37.220001000000003</v>
      </c>
      <c r="F2144" s="122">
        <v>32.877544</v>
      </c>
      <c r="G2144" s="197">
        <v>109700</v>
      </c>
      <c r="H2144" s="198">
        <f>IF(AND(E2143&gt;=H2143,E2144&gt;=E2143),E2143*(1+'Trading Model'!$E$13),IF(AND(E2144&lt;E2143,E2143&gt;=H2143),E2144*(1+'Trading Model'!$E$13),H2143))</f>
        <v>37.7895021</v>
      </c>
      <c r="I2144" s="198">
        <f>IF(K2144&gt;0,E2144*(1-'Trading Model'!E2154),IF(E2144&lt;I2143,I2143*(1-'Trading Model'!$E$14),I2143))</f>
        <v>34.276001899999997</v>
      </c>
      <c r="J2144" s="198">
        <f t="shared" si="271"/>
        <v>0</v>
      </c>
      <c r="K2144" s="198">
        <f t="shared" si="266"/>
        <v>0</v>
      </c>
      <c r="L2144" s="198">
        <f>COUNTIF(J2144:K2144,"&lt;&gt;0")*-'Trading Model'!$E$15</f>
        <v>0</v>
      </c>
      <c r="M2144" s="198">
        <f t="shared" si="264"/>
        <v>0</v>
      </c>
      <c r="N2144" s="75">
        <f t="shared" si="267"/>
        <v>53</v>
      </c>
      <c r="O2144" s="202">
        <f t="shared" si="268"/>
        <v>0</v>
      </c>
      <c r="P2144" s="199">
        <f t="shared" si="265"/>
        <v>0</v>
      </c>
      <c r="Q2144" s="203">
        <f t="shared" si="269"/>
        <v>-5.6999999999985924</v>
      </c>
      <c r="R2144" s="203" t="s">
        <v>55</v>
      </c>
      <c r="S2144" s="201">
        <f t="shared" si="270"/>
        <v>5.4025121555916211E-3</v>
      </c>
    </row>
    <row r="2145" spans="1:19">
      <c r="A2145" s="196">
        <v>43077</v>
      </c>
      <c r="B2145" s="122">
        <v>36.93</v>
      </c>
      <c r="C2145" s="122">
        <v>37.610000999999997</v>
      </c>
      <c r="D2145" s="122">
        <v>36.849997999999999</v>
      </c>
      <c r="E2145" s="122">
        <v>37.479999999999997</v>
      </c>
      <c r="F2145" s="122">
        <v>33.107208</v>
      </c>
      <c r="G2145" s="197">
        <v>76800</v>
      </c>
      <c r="H2145" s="198">
        <f>IF(AND(E2144&gt;=H2144,E2145&gt;=E2144),E2144*(1+'Trading Model'!$E$13),IF(AND(E2145&lt;E2144,E2144&gt;=H2144),E2145*(1+'Trading Model'!$E$13),H2144))</f>
        <v>37.7895021</v>
      </c>
      <c r="I2145" s="198">
        <f>IF(K2145&gt;0,E2145*(1-'Trading Model'!E2155),IF(E2145&lt;I2144,I2144*(1-'Trading Model'!$E$14),I2144))</f>
        <v>34.276001899999997</v>
      </c>
      <c r="J2145" s="198">
        <f t="shared" si="271"/>
        <v>0</v>
      </c>
      <c r="K2145" s="198">
        <f t="shared" si="266"/>
        <v>0</v>
      </c>
      <c r="L2145" s="198">
        <f>COUNTIF(J2145:K2145,"&lt;&gt;0")*-'Trading Model'!$E$15</f>
        <v>0</v>
      </c>
      <c r="M2145" s="198">
        <f t="shared" si="264"/>
        <v>0</v>
      </c>
      <c r="N2145" s="75">
        <f t="shared" si="267"/>
        <v>53</v>
      </c>
      <c r="O2145" s="202">
        <f t="shared" si="268"/>
        <v>0</v>
      </c>
      <c r="P2145" s="199">
        <f t="shared" si="265"/>
        <v>0</v>
      </c>
      <c r="Q2145" s="203">
        <f t="shared" si="269"/>
        <v>-5.6999999999985924</v>
      </c>
      <c r="R2145" s="203" t="s">
        <v>55</v>
      </c>
      <c r="S2145" s="201">
        <f t="shared" si="270"/>
        <v>6.9854646161882084E-3</v>
      </c>
    </row>
    <row r="2146" spans="1:19">
      <c r="A2146" s="196">
        <v>43080</v>
      </c>
      <c r="B2146" s="122">
        <v>37.650002000000001</v>
      </c>
      <c r="C2146" s="122">
        <v>37.82</v>
      </c>
      <c r="D2146" s="122">
        <v>37.040000999999997</v>
      </c>
      <c r="E2146" s="122">
        <v>37.650002000000001</v>
      </c>
      <c r="F2146" s="122">
        <v>33.257378000000003</v>
      </c>
      <c r="G2146" s="197">
        <v>162600</v>
      </c>
      <c r="H2146" s="198">
        <f>IF(AND(E2145&gt;=H2145,E2146&gt;=E2145),E2145*(1+'Trading Model'!$E$13),IF(AND(E2146&lt;E2145,E2145&gt;=H2145),E2146*(1+'Trading Model'!$E$13),H2145))</f>
        <v>37.7895021</v>
      </c>
      <c r="I2146" s="198">
        <f>IF(K2146&gt;0,E2146*(1-'Trading Model'!E2156),IF(E2146&lt;I2145,I2145*(1-'Trading Model'!$E$14),I2145))</f>
        <v>34.276001899999997</v>
      </c>
      <c r="J2146" s="198">
        <f t="shared" si="271"/>
        <v>0</v>
      </c>
      <c r="K2146" s="198">
        <f t="shared" si="266"/>
        <v>0</v>
      </c>
      <c r="L2146" s="198">
        <f>COUNTIF(J2146:K2146,"&lt;&gt;0")*-'Trading Model'!$E$15</f>
        <v>0</v>
      </c>
      <c r="M2146" s="198">
        <f t="shared" si="264"/>
        <v>0</v>
      </c>
      <c r="N2146" s="75">
        <f t="shared" si="267"/>
        <v>53</v>
      </c>
      <c r="O2146" s="202">
        <f t="shared" si="268"/>
        <v>0</v>
      </c>
      <c r="P2146" s="199">
        <f t="shared" si="265"/>
        <v>0</v>
      </c>
      <c r="Q2146" s="203">
        <f t="shared" si="269"/>
        <v>-5.6999999999985924</v>
      </c>
      <c r="R2146" s="203" t="s">
        <v>55</v>
      </c>
      <c r="S2146" s="201">
        <f t="shared" si="270"/>
        <v>4.5358057630737747E-3</v>
      </c>
    </row>
    <row r="2147" spans="1:19">
      <c r="A2147" s="196">
        <v>43081</v>
      </c>
      <c r="B2147" s="122">
        <v>37.75</v>
      </c>
      <c r="C2147" s="122">
        <v>38.040000999999997</v>
      </c>
      <c r="D2147" s="122">
        <v>37.470001000000003</v>
      </c>
      <c r="E2147" s="122">
        <v>37.709999000000003</v>
      </c>
      <c r="F2147" s="122">
        <v>33.310375000000001</v>
      </c>
      <c r="G2147" s="197">
        <v>112800</v>
      </c>
      <c r="H2147" s="198">
        <f>IF(AND(E2146&gt;=H2146,E2147&gt;=E2146),E2146*(1+'Trading Model'!$E$13),IF(AND(E2147&lt;E2146,E2146&gt;=H2146),E2147*(1+'Trading Model'!$E$13),H2146))</f>
        <v>37.7895021</v>
      </c>
      <c r="I2147" s="198">
        <f>IF(K2147&gt;0,E2147*(1-'Trading Model'!E2157),IF(E2147&lt;I2146,I2146*(1-'Trading Model'!$E$14),I2146))</f>
        <v>34.276001899999997</v>
      </c>
      <c r="J2147" s="198">
        <f t="shared" si="271"/>
        <v>0</v>
      </c>
      <c r="K2147" s="198">
        <f t="shared" si="266"/>
        <v>0</v>
      </c>
      <c r="L2147" s="198">
        <f>COUNTIF(J2147:K2147,"&lt;&gt;0")*-'Trading Model'!$E$15</f>
        <v>0</v>
      </c>
      <c r="M2147" s="198">
        <f t="shared" si="264"/>
        <v>0</v>
      </c>
      <c r="N2147" s="75">
        <f t="shared" si="267"/>
        <v>53</v>
      </c>
      <c r="O2147" s="202">
        <f t="shared" si="268"/>
        <v>0</v>
      </c>
      <c r="P2147" s="199">
        <f t="shared" si="265"/>
        <v>0</v>
      </c>
      <c r="Q2147" s="203">
        <f t="shared" si="269"/>
        <v>-5.6999999999985924</v>
      </c>
      <c r="R2147" s="201">
        <f>E2147/B2143-1</f>
        <v>1.2348966442953024E-2</v>
      </c>
      <c r="S2147" s="201">
        <f t="shared" si="270"/>
        <v>1.5935457320825908E-3</v>
      </c>
    </row>
    <row r="2148" spans="1:19">
      <c r="A2148" s="196">
        <v>43082</v>
      </c>
      <c r="B2148" s="122">
        <v>37.959999000000003</v>
      </c>
      <c r="C2148" s="122">
        <v>38.580002</v>
      </c>
      <c r="D2148" s="122">
        <v>37.540000999999997</v>
      </c>
      <c r="E2148" s="122">
        <v>38.479999999999997</v>
      </c>
      <c r="F2148" s="122">
        <v>33.990535999999999</v>
      </c>
      <c r="G2148" s="197">
        <v>82700</v>
      </c>
      <c r="H2148" s="198">
        <f>IF(AND(E2147&gt;=H2147,E2148&gt;=E2147),E2147*(1+'Trading Model'!$E$13),IF(AND(E2148&lt;E2147,E2147&gt;=H2147),E2148*(1+'Trading Model'!$E$13),H2147))</f>
        <v>37.7895021</v>
      </c>
      <c r="I2148" s="198">
        <f>IF(K2148&gt;0,E2148*(1-'Trading Model'!E2158),IF(E2148&lt;I2147,I2147*(1-'Trading Model'!$E$14),I2147))</f>
        <v>38.479999999999997</v>
      </c>
      <c r="J2148" s="198">
        <f t="shared" si="271"/>
        <v>-38.479999999999997</v>
      </c>
      <c r="K2148" s="198">
        <f t="shared" si="266"/>
        <v>38.479999999999997</v>
      </c>
      <c r="L2148" s="198">
        <f>COUNTIF(J2148:K2148,"&lt;&gt;0")*-'Trading Model'!$E$15</f>
        <v>-0.2</v>
      </c>
      <c r="M2148" s="198">
        <f t="shared" si="264"/>
        <v>-0.2</v>
      </c>
      <c r="N2148" s="75">
        <f t="shared" si="267"/>
        <v>53</v>
      </c>
      <c r="O2148" s="202">
        <f t="shared" si="268"/>
        <v>0</v>
      </c>
      <c r="P2148" s="199">
        <f t="shared" si="265"/>
        <v>0</v>
      </c>
      <c r="Q2148" s="203">
        <f t="shared" si="269"/>
        <v>-5.6999999999985924</v>
      </c>
      <c r="R2148" s="160" t="s">
        <v>55</v>
      </c>
      <c r="S2148" s="201">
        <f t="shared" si="270"/>
        <v>2.0419014065738761E-2</v>
      </c>
    </row>
    <row r="2149" spans="1:19">
      <c r="A2149" s="196">
        <v>43083</v>
      </c>
      <c r="B2149" s="122">
        <v>38.689999</v>
      </c>
      <c r="C2149" s="122">
        <v>38.689999</v>
      </c>
      <c r="D2149" s="122">
        <v>37.619999</v>
      </c>
      <c r="E2149" s="122">
        <v>38.020000000000003</v>
      </c>
      <c r="F2149" s="122">
        <v>33.584206000000002</v>
      </c>
      <c r="G2149" s="197">
        <v>174000</v>
      </c>
      <c r="H2149" s="198">
        <f>IF(AND(E2148&gt;=H2148,E2149&gt;=E2148),E2148*(1+'Trading Model'!$E$13),IF(AND(E2149&lt;E2148,E2148&gt;=H2148),E2149*(1+'Trading Model'!$E$13),H2148))</f>
        <v>39.921000000000006</v>
      </c>
      <c r="I2149" s="198">
        <f>IF(K2149&gt;0,E2149*(1-'Trading Model'!E2159),IF(E2149&lt;I2148,I2148*(1-'Trading Model'!$E$14),I2148))</f>
        <v>36.555999999999997</v>
      </c>
      <c r="J2149" s="198">
        <f t="shared" si="271"/>
        <v>-38.020000000000003</v>
      </c>
      <c r="K2149" s="198">
        <f t="shared" si="266"/>
        <v>0</v>
      </c>
      <c r="L2149" s="198">
        <f>COUNTIF(J2149:K2149,"&lt;&gt;0")*-'Trading Model'!$E$15</f>
        <v>-0.1</v>
      </c>
      <c r="M2149" s="198">
        <f t="shared" si="264"/>
        <v>-38.120000000000005</v>
      </c>
      <c r="N2149" s="75">
        <f t="shared" si="267"/>
        <v>54</v>
      </c>
      <c r="O2149" s="202">
        <f t="shared" si="268"/>
        <v>0</v>
      </c>
      <c r="P2149" s="199">
        <f t="shared" si="265"/>
        <v>0</v>
      </c>
      <c r="Q2149" s="203">
        <f t="shared" si="269"/>
        <v>-5.7999999999985921</v>
      </c>
      <c r="R2149" s="203" t="s">
        <v>55</v>
      </c>
      <c r="S2149" s="201">
        <f t="shared" si="270"/>
        <v>-1.1954261954261747E-2</v>
      </c>
    </row>
    <row r="2150" spans="1:19">
      <c r="A2150" s="196">
        <v>43084</v>
      </c>
      <c r="B2150" s="122">
        <v>38.290000999999997</v>
      </c>
      <c r="C2150" s="122">
        <v>38.290000999999997</v>
      </c>
      <c r="D2150" s="122">
        <v>37.5</v>
      </c>
      <c r="E2150" s="122">
        <v>37.849997999999999</v>
      </c>
      <c r="F2150" s="122">
        <v>33.434040000000003</v>
      </c>
      <c r="G2150" s="197">
        <v>416300</v>
      </c>
      <c r="H2150" s="198">
        <f>IF(AND(E2149&gt;=H2149,E2150&gt;=E2149),E2149*(1+'Trading Model'!$E$13),IF(AND(E2150&lt;E2149,E2149&gt;=H2149),E2150*(1+'Trading Model'!$E$13),H2149))</f>
        <v>39.921000000000006</v>
      </c>
      <c r="I2150" s="198">
        <f>IF(K2150&gt;0,E2150*(1-'Trading Model'!E2160),IF(E2150&lt;I2149,I2149*(1-'Trading Model'!$E$14),I2149))</f>
        <v>36.555999999999997</v>
      </c>
      <c r="J2150" s="198">
        <f t="shared" si="271"/>
        <v>0</v>
      </c>
      <c r="K2150" s="198">
        <f t="shared" si="266"/>
        <v>0</v>
      </c>
      <c r="L2150" s="198">
        <f>COUNTIF(J2150:K2150,"&lt;&gt;0")*-'Trading Model'!$E$15</f>
        <v>0</v>
      </c>
      <c r="M2150" s="198">
        <f t="shared" si="264"/>
        <v>0</v>
      </c>
      <c r="N2150" s="75">
        <f t="shared" si="267"/>
        <v>54</v>
      </c>
      <c r="O2150" s="202">
        <f t="shared" si="268"/>
        <v>0</v>
      </c>
      <c r="P2150" s="199">
        <f t="shared" si="265"/>
        <v>0</v>
      </c>
      <c r="Q2150" s="203">
        <f t="shared" si="269"/>
        <v>-5.8999999999985917</v>
      </c>
      <c r="R2150" s="203" t="s">
        <v>55</v>
      </c>
      <c r="S2150" s="201">
        <f t="shared" si="270"/>
        <v>-4.4713834823777443E-3</v>
      </c>
    </row>
    <row r="2151" spans="1:19">
      <c r="A2151" s="196">
        <v>43087</v>
      </c>
      <c r="B2151" s="122">
        <v>38.029998999999997</v>
      </c>
      <c r="C2151" s="122">
        <v>38.5</v>
      </c>
      <c r="D2151" s="122">
        <v>37.950001</v>
      </c>
      <c r="E2151" s="122">
        <v>38.099997999999999</v>
      </c>
      <c r="F2151" s="122">
        <v>33.654873000000002</v>
      </c>
      <c r="G2151" s="197">
        <v>108900</v>
      </c>
      <c r="H2151" s="198">
        <f>IF(AND(E2150&gt;=H2150,E2151&gt;=E2150),E2150*(1+'Trading Model'!$E$13),IF(AND(E2151&lt;E2150,E2150&gt;=H2150),E2151*(1+'Trading Model'!$E$13),H2150))</f>
        <v>39.921000000000006</v>
      </c>
      <c r="I2151" s="198">
        <f>IF(K2151&gt;0,E2151*(1-'Trading Model'!E2161),IF(E2151&lt;I2150,I2150*(1-'Trading Model'!$E$14),I2150))</f>
        <v>36.555999999999997</v>
      </c>
      <c r="J2151" s="198">
        <f t="shared" si="271"/>
        <v>0</v>
      </c>
      <c r="K2151" s="198">
        <f t="shared" si="266"/>
        <v>0</v>
      </c>
      <c r="L2151" s="198">
        <f>COUNTIF(J2151:K2151,"&lt;&gt;0")*-'Trading Model'!$E$15</f>
        <v>0</v>
      </c>
      <c r="M2151" s="198">
        <f t="shared" si="264"/>
        <v>0</v>
      </c>
      <c r="N2151" s="75">
        <f t="shared" si="267"/>
        <v>54</v>
      </c>
      <c r="O2151" s="202">
        <f t="shared" si="268"/>
        <v>0</v>
      </c>
      <c r="P2151" s="199">
        <f t="shared" si="265"/>
        <v>0</v>
      </c>
      <c r="Q2151" s="203">
        <f t="shared" si="269"/>
        <v>-5.8999999999985917</v>
      </c>
      <c r="R2151" s="203" t="s">
        <v>55</v>
      </c>
      <c r="S2151" s="201">
        <f t="shared" si="270"/>
        <v>6.6050201640697193E-3</v>
      </c>
    </row>
    <row r="2152" spans="1:19">
      <c r="A2152" s="196">
        <v>43088</v>
      </c>
      <c r="B2152" s="122">
        <v>38.200001</v>
      </c>
      <c r="C2152" s="122">
        <v>38.700001</v>
      </c>
      <c r="D2152" s="122">
        <v>38.130001</v>
      </c>
      <c r="E2152" s="122">
        <v>38.409999999999997</v>
      </c>
      <c r="F2152" s="122">
        <v>33.928707000000003</v>
      </c>
      <c r="G2152" s="197">
        <v>410600</v>
      </c>
      <c r="H2152" s="198">
        <f>IF(AND(E2151&gt;=H2151,E2152&gt;=E2151),E2151*(1+'Trading Model'!$E$13),IF(AND(E2152&lt;E2151,E2151&gt;=H2151),E2152*(1+'Trading Model'!$E$13),H2151))</f>
        <v>39.921000000000006</v>
      </c>
      <c r="I2152" s="198">
        <f>IF(K2152&gt;0,E2152*(1-'Trading Model'!E2162),IF(E2152&lt;I2151,I2151*(1-'Trading Model'!$E$14),I2151))</f>
        <v>36.555999999999997</v>
      </c>
      <c r="J2152" s="198">
        <f t="shared" si="271"/>
        <v>0</v>
      </c>
      <c r="K2152" s="198">
        <f t="shared" si="266"/>
        <v>0</v>
      </c>
      <c r="L2152" s="198">
        <f>COUNTIF(J2152:K2152,"&lt;&gt;0")*-'Trading Model'!$E$15</f>
        <v>0</v>
      </c>
      <c r="M2152" s="198">
        <f t="shared" si="264"/>
        <v>0</v>
      </c>
      <c r="N2152" s="75">
        <f t="shared" si="267"/>
        <v>54</v>
      </c>
      <c r="O2152" s="202">
        <f t="shared" si="268"/>
        <v>0</v>
      </c>
      <c r="P2152" s="199">
        <f t="shared" si="265"/>
        <v>0</v>
      </c>
      <c r="Q2152" s="203">
        <f t="shared" si="269"/>
        <v>-5.8999999999985917</v>
      </c>
      <c r="R2152" s="201">
        <f>E2152/B2148-1</f>
        <v>1.1854610428203571E-2</v>
      </c>
      <c r="S2152" s="201">
        <f t="shared" si="270"/>
        <v>8.1365358601854787E-3</v>
      </c>
    </row>
    <row r="2153" spans="1:19">
      <c r="A2153" s="196">
        <v>43089</v>
      </c>
      <c r="B2153" s="122">
        <v>38.689999</v>
      </c>
      <c r="C2153" s="122">
        <v>40.189999</v>
      </c>
      <c r="D2153" s="122">
        <v>38.150002000000001</v>
      </c>
      <c r="E2153" s="122">
        <v>39.700001</v>
      </c>
      <c r="F2153" s="122">
        <v>35.068202999999997</v>
      </c>
      <c r="G2153" s="197">
        <v>187300</v>
      </c>
      <c r="H2153" s="198">
        <f>IF(AND(E2152&gt;=H2152,E2153&gt;=E2152),E2152*(1+'Trading Model'!$E$13),IF(AND(E2153&lt;E2152,E2152&gt;=H2152),E2153*(1+'Trading Model'!$E$13),H2152))</f>
        <v>39.921000000000006</v>
      </c>
      <c r="I2153" s="198">
        <f>IF(K2153&gt;0,E2153*(1-'Trading Model'!E2163),IF(E2153&lt;I2152,I2152*(1-'Trading Model'!$E$14),I2152))</f>
        <v>36.555999999999997</v>
      </c>
      <c r="J2153" s="198">
        <f t="shared" si="271"/>
        <v>0</v>
      </c>
      <c r="K2153" s="198">
        <f t="shared" si="266"/>
        <v>0</v>
      </c>
      <c r="L2153" s="198">
        <f>COUNTIF(J2153:K2153,"&lt;&gt;0")*-'Trading Model'!$E$15</f>
        <v>0</v>
      </c>
      <c r="M2153" s="198">
        <f t="shared" si="264"/>
        <v>0</v>
      </c>
      <c r="N2153" s="75">
        <f t="shared" si="267"/>
        <v>54</v>
      </c>
      <c r="O2153" s="202">
        <f t="shared" si="268"/>
        <v>0</v>
      </c>
      <c r="P2153" s="199">
        <f t="shared" si="265"/>
        <v>0</v>
      </c>
      <c r="Q2153" s="203">
        <f t="shared" si="269"/>
        <v>-5.8999999999985917</v>
      </c>
      <c r="R2153" s="160" t="s">
        <v>55</v>
      </c>
      <c r="S2153" s="201">
        <f t="shared" si="270"/>
        <v>3.3585029940119915E-2</v>
      </c>
    </row>
    <row r="2154" spans="1:19">
      <c r="A2154" s="196">
        <v>43090</v>
      </c>
      <c r="B2154" s="122">
        <v>39.979999999999997</v>
      </c>
      <c r="C2154" s="122">
        <v>40.020000000000003</v>
      </c>
      <c r="D2154" s="122">
        <v>38.840000000000003</v>
      </c>
      <c r="E2154" s="122">
        <v>38.909999999999997</v>
      </c>
      <c r="F2154" s="122">
        <v>34.370373000000001</v>
      </c>
      <c r="G2154" s="197">
        <v>663400</v>
      </c>
      <c r="H2154" s="198">
        <f>IF(AND(E2153&gt;=H2153,E2154&gt;=E2153),E2153*(1+'Trading Model'!$E$13),IF(AND(E2154&lt;E2153,E2153&gt;=H2153),E2154*(1+'Trading Model'!$E$13),H2153))</f>
        <v>39.921000000000006</v>
      </c>
      <c r="I2154" s="198">
        <f>IF(K2154&gt;0,E2154*(1-'Trading Model'!E2164),IF(E2154&lt;I2153,I2153*(1-'Trading Model'!$E$14),I2153))</f>
        <v>36.555999999999997</v>
      </c>
      <c r="J2154" s="198">
        <f t="shared" si="271"/>
        <v>0</v>
      </c>
      <c r="K2154" s="198">
        <f t="shared" si="266"/>
        <v>0</v>
      </c>
      <c r="L2154" s="198">
        <f>COUNTIF(J2154:K2154,"&lt;&gt;0")*-'Trading Model'!$E$15</f>
        <v>0</v>
      </c>
      <c r="M2154" s="198">
        <f t="shared" si="264"/>
        <v>0</v>
      </c>
      <c r="N2154" s="75">
        <f t="shared" si="267"/>
        <v>54</v>
      </c>
      <c r="O2154" s="202">
        <f t="shared" si="268"/>
        <v>0</v>
      </c>
      <c r="P2154" s="199">
        <f t="shared" si="265"/>
        <v>0</v>
      </c>
      <c r="Q2154" s="203">
        <f t="shared" si="269"/>
        <v>-5.9999999999985913</v>
      </c>
      <c r="R2154" s="203" t="s">
        <v>55</v>
      </c>
      <c r="S2154" s="201">
        <f t="shared" si="270"/>
        <v>-1.9899269020169585E-2</v>
      </c>
    </row>
    <row r="2155" spans="1:19">
      <c r="A2155" s="196">
        <v>43091</v>
      </c>
      <c r="B2155" s="122">
        <v>39.330002</v>
      </c>
      <c r="C2155" s="122">
        <v>39.909999999999997</v>
      </c>
      <c r="D2155" s="122">
        <v>38.419998</v>
      </c>
      <c r="E2155" s="122">
        <v>38.639999000000003</v>
      </c>
      <c r="F2155" s="122">
        <v>34.131869999999999</v>
      </c>
      <c r="G2155" s="197">
        <v>433400</v>
      </c>
      <c r="H2155" s="198">
        <f>IF(AND(E2154&gt;=H2154,E2155&gt;=E2154),E2154*(1+'Trading Model'!$E$13),IF(AND(E2155&lt;E2154,E2154&gt;=H2154),E2155*(1+'Trading Model'!$E$13),H2154))</f>
        <v>39.921000000000006</v>
      </c>
      <c r="I2155" s="198">
        <f>IF(K2155&gt;0,E2155*(1-'Trading Model'!E2165),IF(E2155&lt;I2154,I2154*(1-'Trading Model'!$E$14),I2154))</f>
        <v>36.555999999999997</v>
      </c>
      <c r="J2155" s="198">
        <f t="shared" si="271"/>
        <v>0</v>
      </c>
      <c r="K2155" s="198">
        <f t="shared" si="266"/>
        <v>0</v>
      </c>
      <c r="L2155" s="198">
        <f>COUNTIF(J2155:K2155,"&lt;&gt;0")*-'Trading Model'!$E$15</f>
        <v>0</v>
      </c>
      <c r="M2155" s="198">
        <f t="shared" si="264"/>
        <v>0</v>
      </c>
      <c r="N2155" s="75">
        <f t="shared" si="267"/>
        <v>54</v>
      </c>
      <c r="O2155" s="202">
        <f t="shared" si="268"/>
        <v>0</v>
      </c>
      <c r="P2155" s="199">
        <f t="shared" si="265"/>
        <v>0</v>
      </c>
      <c r="Q2155" s="203">
        <f t="shared" si="269"/>
        <v>-6.099999999998591</v>
      </c>
      <c r="R2155" s="203" t="s">
        <v>55</v>
      </c>
      <c r="S2155" s="201">
        <f t="shared" si="270"/>
        <v>-6.939115908506599E-3</v>
      </c>
    </row>
    <row r="2156" spans="1:19">
      <c r="A2156" s="196">
        <v>43095</v>
      </c>
      <c r="B2156" s="122">
        <v>39.029998999999997</v>
      </c>
      <c r="C2156" s="122">
        <v>39.130001</v>
      </c>
      <c r="D2156" s="122">
        <v>38.060001</v>
      </c>
      <c r="E2156" s="122">
        <v>38.599997999999999</v>
      </c>
      <c r="F2156" s="122">
        <v>34.096535000000003</v>
      </c>
      <c r="G2156" s="197">
        <v>288200</v>
      </c>
      <c r="H2156" s="198">
        <f>IF(AND(E2155&gt;=H2155,E2156&gt;=E2155),E2155*(1+'Trading Model'!$E$13),IF(AND(E2156&lt;E2155,E2155&gt;=H2155),E2156*(1+'Trading Model'!$E$13),H2155))</f>
        <v>39.921000000000006</v>
      </c>
      <c r="I2156" s="198">
        <f>IF(K2156&gt;0,E2156*(1-'Trading Model'!E2166),IF(E2156&lt;I2155,I2155*(1-'Trading Model'!$E$14),I2155))</f>
        <v>36.555999999999997</v>
      </c>
      <c r="J2156" s="198">
        <f t="shared" si="271"/>
        <v>0</v>
      </c>
      <c r="K2156" s="198">
        <f t="shared" si="266"/>
        <v>0</v>
      </c>
      <c r="L2156" s="198">
        <f>COUNTIF(J2156:K2156,"&lt;&gt;0")*-'Trading Model'!$E$15</f>
        <v>0</v>
      </c>
      <c r="M2156" s="198">
        <f t="shared" si="264"/>
        <v>0</v>
      </c>
      <c r="N2156" s="75">
        <f t="shared" si="267"/>
        <v>54</v>
      </c>
      <c r="O2156" s="202">
        <f t="shared" si="268"/>
        <v>0</v>
      </c>
      <c r="P2156" s="199">
        <f t="shared" si="265"/>
        <v>0</v>
      </c>
      <c r="Q2156" s="203">
        <f t="shared" si="269"/>
        <v>-6.1999999999985906</v>
      </c>
      <c r="R2156" s="203" t="s">
        <v>55</v>
      </c>
      <c r="S2156" s="201">
        <f t="shared" si="270"/>
        <v>-1.0352225940793991E-3</v>
      </c>
    </row>
    <row r="2157" spans="1:19">
      <c r="A2157" s="196">
        <v>43096</v>
      </c>
      <c r="B2157" s="122">
        <v>37.580002</v>
      </c>
      <c r="C2157" s="122">
        <v>37.580002</v>
      </c>
      <c r="D2157" s="122">
        <v>36.520000000000003</v>
      </c>
      <c r="E2157" s="122">
        <v>37.240001999999997</v>
      </c>
      <c r="F2157" s="122">
        <v>33.893687999999997</v>
      </c>
      <c r="G2157" s="197">
        <v>227300</v>
      </c>
      <c r="H2157" s="198">
        <f>IF(AND(E2156&gt;=H2156,E2157&gt;=E2156),E2156*(1+'Trading Model'!$E$13),IF(AND(E2157&lt;E2156,E2156&gt;=H2156),E2157*(1+'Trading Model'!$E$13),H2156))</f>
        <v>39.921000000000006</v>
      </c>
      <c r="I2157" s="198">
        <f>IF(K2157&gt;0,E2157*(1-'Trading Model'!E2167),IF(E2157&lt;I2156,I2156*(1-'Trading Model'!$E$14),I2156))</f>
        <v>36.555999999999997</v>
      </c>
      <c r="J2157" s="198">
        <f t="shared" si="271"/>
        <v>0</v>
      </c>
      <c r="K2157" s="198">
        <f t="shared" si="266"/>
        <v>0</v>
      </c>
      <c r="L2157" s="198">
        <f>COUNTIF(J2157:K2157,"&lt;&gt;0")*-'Trading Model'!$E$15</f>
        <v>0</v>
      </c>
      <c r="M2157" s="198">
        <f t="shared" si="264"/>
        <v>0</v>
      </c>
      <c r="N2157" s="75">
        <f t="shared" si="267"/>
        <v>54</v>
      </c>
      <c r="O2157" s="202">
        <f t="shared" si="268"/>
        <v>1.1371199999999999</v>
      </c>
      <c r="P2157" s="199">
        <f t="shared" si="265"/>
        <v>1.1371199999999999</v>
      </c>
      <c r="Q2157" s="203">
        <f t="shared" si="269"/>
        <v>-6.2999999999985903</v>
      </c>
      <c r="R2157" s="201">
        <f>E2157/B2153-1</f>
        <v>-3.7477307766278445E-2</v>
      </c>
      <c r="S2157" s="201">
        <f t="shared" si="270"/>
        <v>-3.5233058820365759E-2</v>
      </c>
    </row>
    <row r="2158" spans="1:19">
      <c r="A2158" s="196">
        <v>43097</v>
      </c>
      <c r="B2158" s="122">
        <v>37.409999999999997</v>
      </c>
      <c r="C2158" s="122">
        <v>37.439999</v>
      </c>
      <c r="D2158" s="122">
        <v>36.299999</v>
      </c>
      <c r="E2158" s="122">
        <v>36.639999000000003</v>
      </c>
      <c r="F2158" s="122">
        <v>33.347602999999999</v>
      </c>
      <c r="G2158" s="197">
        <v>245500</v>
      </c>
      <c r="H2158" s="198">
        <f>IF(AND(E2157&gt;=H2157,E2158&gt;=E2157),E2157*(1+'Trading Model'!$E$13),IF(AND(E2158&lt;E2157,E2157&gt;=H2157),E2158*(1+'Trading Model'!$E$13),H2157))</f>
        <v>39.921000000000006</v>
      </c>
      <c r="I2158" s="198">
        <f>IF(K2158&gt;0,E2158*(1-'Trading Model'!E2168),IF(E2158&lt;I2157,I2157*(1-'Trading Model'!$E$14),I2157))</f>
        <v>36.555999999999997</v>
      </c>
      <c r="J2158" s="198">
        <f t="shared" si="271"/>
        <v>0</v>
      </c>
      <c r="K2158" s="198">
        <f t="shared" si="266"/>
        <v>0</v>
      </c>
      <c r="L2158" s="198">
        <f>COUNTIF(J2158:K2158,"&lt;&gt;0")*-'Trading Model'!$E$15</f>
        <v>0</v>
      </c>
      <c r="M2158" s="198">
        <f t="shared" si="264"/>
        <v>0</v>
      </c>
      <c r="N2158" s="75">
        <f t="shared" si="267"/>
        <v>54</v>
      </c>
      <c r="O2158" s="202">
        <f t="shared" si="268"/>
        <v>0</v>
      </c>
      <c r="P2158" s="199">
        <f t="shared" si="265"/>
        <v>0</v>
      </c>
      <c r="Q2158" s="203">
        <f t="shared" si="269"/>
        <v>-6.3999999999985899</v>
      </c>
      <c r="R2158" s="160" t="s">
        <v>55</v>
      </c>
      <c r="S2158" s="201">
        <f t="shared" si="270"/>
        <v>-1.6111787534275446E-2</v>
      </c>
    </row>
    <row r="2159" spans="1:19">
      <c r="A2159" s="196">
        <v>43098</v>
      </c>
      <c r="B2159" s="122">
        <v>37.020000000000003</v>
      </c>
      <c r="C2159" s="122">
        <v>37.119999</v>
      </c>
      <c r="D2159" s="122">
        <v>36.32</v>
      </c>
      <c r="E2159" s="122">
        <v>36.630001</v>
      </c>
      <c r="F2159" s="122">
        <v>33.338501000000001</v>
      </c>
      <c r="G2159" s="197">
        <v>127300</v>
      </c>
      <c r="H2159" s="198">
        <f>IF(AND(E2158&gt;=H2158,E2159&gt;=E2158),E2158*(1+'Trading Model'!$E$13),IF(AND(E2159&lt;E2158,E2158&gt;=H2158),E2159*(1+'Trading Model'!$E$13),H2158))</f>
        <v>39.921000000000006</v>
      </c>
      <c r="I2159" s="198">
        <f>IF(K2159&gt;0,E2159*(1-'Trading Model'!E2169),IF(E2159&lt;I2158,I2158*(1-'Trading Model'!$E$14),I2158))</f>
        <v>36.555999999999997</v>
      </c>
      <c r="J2159" s="198">
        <f t="shared" si="271"/>
        <v>0</v>
      </c>
      <c r="K2159" s="198">
        <f t="shared" si="266"/>
        <v>0</v>
      </c>
      <c r="L2159" s="198">
        <f>COUNTIF(J2159:K2159,"&lt;&gt;0")*-'Trading Model'!$E$15</f>
        <v>0</v>
      </c>
      <c r="M2159" s="198">
        <f t="shared" si="264"/>
        <v>0</v>
      </c>
      <c r="N2159" s="75">
        <f t="shared" si="267"/>
        <v>54</v>
      </c>
      <c r="O2159" s="202">
        <f t="shared" si="268"/>
        <v>0</v>
      </c>
      <c r="P2159" s="199">
        <f t="shared" si="265"/>
        <v>0</v>
      </c>
      <c r="Q2159" s="203">
        <f t="shared" si="269"/>
        <v>-6.4999999999985896</v>
      </c>
      <c r="R2159" s="203" t="s">
        <v>55</v>
      </c>
      <c r="S2159" s="201">
        <f t="shared" si="270"/>
        <v>-2.7287118648677833E-4</v>
      </c>
    </row>
    <row r="2160" spans="1:19">
      <c r="A2160" s="196">
        <v>43102</v>
      </c>
      <c r="B2160" s="122">
        <v>36.759998000000003</v>
      </c>
      <c r="C2160" s="122">
        <v>37.590000000000003</v>
      </c>
      <c r="D2160" s="122">
        <v>36.509998000000003</v>
      </c>
      <c r="E2160" s="122">
        <v>37.259998000000003</v>
      </c>
      <c r="F2160" s="122">
        <v>33.911884000000001</v>
      </c>
      <c r="G2160" s="197">
        <v>166600</v>
      </c>
      <c r="H2160" s="198">
        <f>IF(AND(E2159&gt;=H2159,E2160&gt;=E2159),E2159*(1+'Trading Model'!$E$13),IF(AND(E2160&lt;E2159,E2159&gt;=H2159),E2160*(1+'Trading Model'!$E$13),H2159))</f>
        <v>39.921000000000006</v>
      </c>
      <c r="I2160" s="198">
        <f>IF(K2160&gt;0,E2160*(1-'Trading Model'!E2170),IF(E2160&lt;I2159,I2159*(1-'Trading Model'!$E$14),I2159))</f>
        <v>36.555999999999997</v>
      </c>
      <c r="J2160" s="198">
        <f t="shared" si="271"/>
        <v>0</v>
      </c>
      <c r="K2160" s="198">
        <f t="shared" si="266"/>
        <v>0</v>
      </c>
      <c r="L2160" s="198">
        <f>COUNTIF(J2160:K2160,"&lt;&gt;0")*-'Trading Model'!$E$15</f>
        <v>0</v>
      </c>
      <c r="M2160" s="198">
        <f t="shared" si="264"/>
        <v>0</v>
      </c>
      <c r="N2160" s="75">
        <f t="shared" si="267"/>
        <v>54</v>
      </c>
      <c r="O2160" s="202">
        <f t="shared" si="268"/>
        <v>0</v>
      </c>
      <c r="P2160" s="199">
        <f t="shared" si="265"/>
        <v>0</v>
      </c>
      <c r="Q2160" s="203">
        <f t="shared" si="269"/>
        <v>-6.4999999999985896</v>
      </c>
      <c r="R2160" s="203" t="s">
        <v>55</v>
      </c>
      <c r="S2160" s="201">
        <f t="shared" si="270"/>
        <v>1.7198934829403933E-2</v>
      </c>
    </row>
    <row r="2161" spans="1:19">
      <c r="A2161" s="196">
        <v>43103</v>
      </c>
      <c r="B2161" s="122">
        <v>37.400002000000001</v>
      </c>
      <c r="C2161" s="122">
        <v>37.700001</v>
      </c>
      <c r="D2161" s="122">
        <v>37.139999000000003</v>
      </c>
      <c r="E2161" s="122">
        <v>37.540000999999997</v>
      </c>
      <c r="F2161" s="122">
        <v>34.166728999999997</v>
      </c>
      <c r="G2161" s="197">
        <v>355500</v>
      </c>
      <c r="H2161" s="198">
        <f>IF(AND(E2160&gt;=H2160,E2161&gt;=E2160),E2160*(1+'Trading Model'!$E$13),IF(AND(E2161&lt;E2160,E2160&gt;=H2160),E2161*(1+'Trading Model'!$E$13),H2160))</f>
        <v>39.921000000000006</v>
      </c>
      <c r="I2161" s="198">
        <f>IF(K2161&gt;0,E2161*(1-'Trading Model'!E2171),IF(E2161&lt;I2160,I2160*(1-'Trading Model'!$E$14),I2160))</f>
        <v>36.555999999999997</v>
      </c>
      <c r="J2161" s="198">
        <f t="shared" si="271"/>
        <v>0</v>
      </c>
      <c r="K2161" s="198">
        <f t="shared" si="266"/>
        <v>0</v>
      </c>
      <c r="L2161" s="198">
        <f>COUNTIF(J2161:K2161,"&lt;&gt;0")*-'Trading Model'!$E$15</f>
        <v>0</v>
      </c>
      <c r="M2161" s="198">
        <f t="shared" si="264"/>
        <v>0</v>
      </c>
      <c r="N2161" s="75">
        <f t="shared" si="267"/>
        <v>54</v>
      </c>
      <c r="O2161" s="202">
        <f t="shared" si="268"/>
        <v>0</v>
      </c>
      <c r="P2161" s="199">
        <f t="shared" si="265"/>
        <v>0</v>
      </c>
      <c r="Q2161" s="203">
        <f t="shared" si="269"/>
        <v>-6.4999999999985896</v>
      </c>
      <c r="R2161" s="203" t="s">
        <v>55</v>
      </c>
      <c r="S2161" s="201">
        <f t="shared" si="270"/>
        <v>7.5148420566204521E-3</v>
      </c>
    </row>
    <row r="2162" spans="1:19">
      <c r="A2162" s="196">
        <v>43104</v>
      </c>
      <c r="B2162" s="122">
        <v>37.720001000000003</v>
      </c>
      <c r="C2162" s="122">
        <v>38.159999999999997</v>
      </c>
      <c r="D2162" s="122">
        <v>37.419998</v>
      </c>
      <c r="E2162" s="122">
        <v>37.799999</v>
      </c>
      <c r="F2162" s="122">
        <v>34.403365999999998</v>
      </c>
      <c r="G2162" s="197">
        <v>240200</v>
      </c>
      <c r="H2162" s="198">
        <f>IF(AND(E2161&gt;=H2161,E2162&gt;=E2161),E2161*(1+'Trading Model'!$E$13),IF(AND(E2162&lt;E2161,E2161&gt;=H2161),E2162*(1+'Trading Model'!$E$13),H2161))</f>
        <v>39.921000000000006</v>
      </c>
      <c r="I2162" s="198">
        <f>IF(K2162&gt;0,E2162*(1-'Trading Model'!E2172),IF(E2162&lt;I2161,I2161*(1-'Trading Model'!$E$14),I2161))</f>
        <v>36.555999999999997</v>
      </c>
      <c r="J2162" s="198">
        <f t="shared" si="271"/>
        <v>0</v>
      </c>
      <c r="K2162" s="198">
        <f t="shared" si="266"/>
        <v>0</v>
      </c>
      <c r="L2162" s="198">
        <f>COUNTIF(J2162:K2162,"&lt;&gt;0")*-'Trading Model'!$E$15</f>
        <v>0</v>
      </c>
      <c r="M2162" s="198">
        <f t="shared" si="264"/>
        <v>0</v>
      </c>
      <c r="N2162" s="75">
        <f t="shared" si="267"/>
        <v>54</v>
      </c>
      <c r="O2162" s="202">
        <f t="shared" si="268"/>
        <v>0</v>
      </c>
      <c r="P2162" s="199">
        <f t="shared" si="265"/>
        <v>0</v>
      </c>
      <c r="Q2162" s="203">
        <f t="shared" si="269"/>
        <v>-6.4999999999985896</v>
      </c>
      <c r="R2162" s="201">
        <f>E2162/B2158-1</f>
        <v>1.0424993317294851E-2</v>
      </c>
      <c r="S2162" s="201">
        <f t="shared" si="270"/>
        <v>6.9258921969661547E-3</v>
      </c>
    </row>
    <row r="2163" spans="1:19">
      <c r="A2163" s="196">
        <v>43105</v>
      </c>
      <c r="B2163" s="122">
        <v>37.889999000000003</v>
      </c>
      <c r="C2163" s="122">
        <v>38.330002</v>
      </c>
      <c r="D2163" s="122">
        <v>37.43</v>
      </c>
      <c r="E2163" s="122">
        <v>38.029998999999997</v>
      </c>
      <c r="F2163" s="122">
        <v>34.612698000000002</v>
      </c>
      <c r="G2163" s="197">
        <v>101700</v>
      </c>
      <c r="H2163" s="198">
        <f>IF(AND(E2162&gt;=H2162,E2163&gt;=E2162),E2162*(1+'Trading Model'!$E$13),IF(AND(E2163&lt;E2162,E2162&gt;=H2162),E2163*(1+'Trading Model'!$E$13),H2162))</f>
        <v>39.921000000000006</v>
      </c>
      <c r="I2163" s="198">
        <f>IF(K2163&gt;0,E2163*(1-'Trading Model'!E2173),IF(E2163&lt;I2162,I2162*(1-'Trading Model'!$E$14),I2162))</f>
        <v>36.555999999999997</v>
      </c>
      <c r="J2163" s="198">
        <f t="shared" si="271"/>
        <v>0</v>
      </c>
      <c r="K2163" s="198">
        <f t="shared" si="266"/>
        <v>0</v>
      </c>
      <c r="L2163" s="198">
        <f>COUNTIF(J2163:K2163,"&lt;&gt;0")*-'Trading Model'!$E$15</f>
        <v>0</v>
      </c>
      <c r="M2163" s="198">
        <f t="shared" si="264"/>
        <v>0</v>
      </c>
      <c r="N2163" s="75">
        <f t="shared" si="267"/>
        <v>54</v>
      </c>
      <c r="O2163" s="202">
        <f t="shared" si="268"/>
        <v>0</v>
      </c>
      <c r="P2163" s="199">
        <f t="shared" si="265"/>
        <v>0</v>
      </c>
      <c r="Q2163" s="203">
        <f t="shared" si="269"/>
        <v>-6.4999999999985896</v>
      </c>
      <c r="R2163" s="160" t="s">
        <v>55</v>
      </c>
      <c r="S2163" s="201">
        <f t="shared" si="270"/>
        <v>6.0846562456258191E-3</v>
      </c>
    </row>
    <row r="2164" spans="1:19">
      <c r="A2164" s="196">
        <v>43108</v>
      </c>
      <c r="B2164" s="122">
        <v>38.419998</v>
      </c>
      <c r="C2164" s="122">
        <v>39.189999</v>
      </c>
      <c r="D2164" s="122">
        <v>38.060001</v>
      </c>
      <c r="E2164" s="122">
        <v>39.099997999999999</v>
      </c>
      <c r="F2164" s="122">
        <v>35.586548000000001</v>
      </c>
      <c r="G2164" s="197">
        <v>239000</v>
      </c>
      <c r="H2164" s="198">
        <f>IF(AND(E2163&gt;=H2163,E2164&gt;=E2163),E2163*(1+'Trading Model'!$E$13),IF(AND(E2164&lt;E2163,E2163&gt;=H2163),E2164*(1+'Trading Model'!$E$13),H2163))</f>
        <v>39.921000000000006</v>
      </c>
      <c r="I2164" s="198">
        <f>IF(K2164&gt;0,E2164*(1-'Trading Model'!E2174),IF(E2164&lt;I2163,I2163*(1-'Trading Model'!$E$14),I2163))</f>
        <v>36.555999999999997</v>
      </c>
      <c r="J2164" s="198">
        <f t="shared" si="271"/>
        <v>0</v>
      </c>
      <c r="K2164" s="198">
        <f t="shared" si="266"/>
        <v>0</v>
      </c>
      <c r="L2164" s="198">
        <f>COUNTIF(J2164:K2164,"&lt;&gt;0")*-'Trading Model'!$E$15</f>
        <v>0</v>
      </c>
      <c r="M2164" s="198">
        <f t="shared" si="264"/>
        <v>0</v>
      </c>
      <c r="N2164" s="75">
        <f t="shared" si="267"/>
        <v>54</v>
      </c>
      <c r="O2164" s="202">
        <f t="shared" si="268"/>
        <v>0</v>
      </c>
      <c r="P2164" s="199">
        <f t="shared" si="265"/>
        <v>0</v>
      </c>
      <c r="Q2164" s="203">
        <f t="shared" si="269"/>
        <v>-6.4999999999985896</v>
      </c>
      <c r="R2164" s="203" t="s">
        <v>55</v>
      </c>
      <c r="S2164" s="201">
        <f t="shared" si="270"/>
        <v>2.8135656800832409E-2</v>
      </c>
    </row>
    <row r="2165" spans="1:19">
      <c r="A2165" s="196">
        <v>43109</v>
      </c>
      <c r="B2165" s="122">
        <v>39.169998</v>
      </c>
      <c r="C2165" s="122">
        <v>39.450001</v>
      </c>
      <c r="D2165" s="122">
        <v>38.669998</v>
      </c>
      <c r="E2165" s="122">
        <v>39.029998999999997</v>
      </c>
      <c r="F2165" s="122">
        <v>35.522838999999998</v>
      </c>
      <c r="G2165" s="197">
        <v>250200</v>
      </c>
      <c r="H2165" s="198">
        <f>IF(AND(E2164&gt;=H2164,E2165&gt;=E2164),E2164*(1+'Trading Model'!$E$13),IF(AND(E2165&lt;E2164,E2164&gt;=H2164),E2165*(1+'Trading Model'!$E$13),H2164))</f>
        <v>39.921000000000006</v>
      </c>
      <c r="I2165" s="198">
        <f>IF(K2165&gt;0,E2165*(1-'Trading Model'!E2175),IF(E2165&lt;I2164,I2164*(1-'Trading Model'!$E$14),I2164))</f>
        <v>36.555999999999997</v>
      </c>
      <c r="J2165" s="198">
        <f t="shared" si="271"/>
        <v>0</v>
      </c>
      <c r="K2165" s="198">
        <f t="shared" si="266"/>
        <v>0</v>
      </c>
      <c r="L2165" s="198">
        <f>COUNTIF(J2165:K2165,"&lt;&gt;0")*-'Trading Model'!$E$15</f>
        <v>0</v>
      </c>
      <c r="M2165" s="198">
        <f t="shared" si="264"/>
        <v>0</v>
      </c>
      <c r="N2165" s="75">
        <f t="shared" si="267"/>
        <v>54</v>
      </c>
      <c r="O2165" s="202">
        <f t="shared" si="268"/>
        <v>0</v>
      </c>
      <c r="P2165" s="199">
        <f t="shared" si="265"/>
        <v>0</v>
      </c>
      <c r="Q2165" s="203">
        <f t="shared" si="269"/>
        <v>-6.5999999999985892</v>
      </c>
      <c r="R2165" s="203" t="s">
        <v>55</v>
      </c>
      <c r="S2165" s="201">
        <f t="shared" si="270"/>
        <v>-1.7902558460489715E-3</v>
      </c>
    </row>
    <row r="2166" spans="1:19">
      <c r="A2166" s="196">
        <v>43110</v>
      </c>
      <c r="B2166" s="122">
        <v>39.169998</v>
      </c>
      <c r="C2166" s="122">
        <v>39.240001999999997</v>
      </c>
      <c r="D2166" s="122">
        <v>38.68</v>
      </c>
      <c r="E2166" s="122">
        <v>39.099997999999999</v>
      </c>
      <c r="F2166" s="122">
        <v>35.586548000000001</v>
      </c>
      <c r="G2166" s="197">
        <v>220000</v>
      </c>
      <c r="H2166" s="198">
        <f>IF(AND(E2165&gt;=H2165,E2166&gt;=E2165),E2165*(1+'Trading Model'!$E$13),IF(AND(E2166&lt;E2165,E2165&gt;=H2165),E2166*(1+'Trading Model'!$E$13),H2165))</f>
        <v>39.921000000000006</v>
      </c>
      <c r="I2166" s="198">
        <f>IF(K2166&gt;0,E2166*(1-'Trading Model'!E2176),IF(E2166&lt;I2165,I2165*(1-'Trading Model'!$E$14),I2165))</f>
        <v>36.555999999999997</v>
      </c>
      <c r="J2166" s="198">
        <f t="shared" si="271"/>
        <v>0</v>
      </c>
      <c r="K2166" s="198">
        <f t="shared" si="266"/>
        <v>0</v>
      </c>
      <c r="L2166" s="198">
        <f>COUNTIF(J2166:K2166,"&lt;&gt;0")*-'Trading Model'!$E$15</f>
        <v>0</v>
      </c>
      <c r="M2166" s="198">
        <f t="shared" si="264"/>
        <v>0</v>
      </c>
      <c r="N2166" s="75">
        <f t="shared" si="267"/>
        <v>54</v>
      </c>
      <c r="O2166" s="202">
        <f t="shared" si="268"/>
        <v>0</v>
      </c>
      <c r="P2166" s="199">
        <f t="shared" si="265"/>
        <v>0</v>
      </c>
      <c r="Q2166" s="203">
        <f t="shared" si="269"/>
        <v>-6.5999999999985892</v>
      </c>
      <c r="R2166" s="203" t="s">
        <v>55</v>
      </c>
      <c r="S2166" s="201">
        <f t="shared" si="270"/>
        <v>1.7934666101324659E-3</v>
      </c>
    </row>
    <row r="2167" spans="1:19">
      <c r="A2167" s="196">
        <v>43111</v>
      </c>
      <c r="B2167" s="122">
        <v>39.240001999999997</v>
      </c>
      <c r="C2167" s="122">
        <v>39.240001999999997</v>
      </c>
      <c r="D2167" s="122">
        <v>38.909999999999997</v>
      </c>
      <c r="E2167" s="122">
        <v>39.150002000000001</v>
      </c>
      <c r="F2167" s="122">
        <v>35.632057000000003</v>
      </c>
      <c r="G2167" s="197">
        <v>240200</v>
      </c>
      <c r="H2167" s="198">
        <f>IF(AND(E2166&gt;=H2166,E2167&gt;=E2166),E2166*(1+'Trading Model'!$E$13),IF(AND(E2167&lt;E2166,E2166&gt;=H2166),E2167*(1+'Trading Model'!$E$13),H2166))</f>
        <v>39.921000000000006</v>
      </c>
      <c r="I2167" s="198">
        <f>IF(K2167&gt;0,E2167*(1-'Trading Model'!E2177),IF(E2167&lt;I2166,I2166*(1-'Trading Model'!$E$14),I2166))</f>
        <v>36.555999999999997</v>
      </c>
      <c r="J2167" s="198">
        <f t="shared" si="271"/>
        <v>0</v>
      </c>
      <c r="K2167" s="198">
        <f t="shared" si="266"/>
        <v>0</v>
      </c>
      <c r="L2167" s="198">
        <f>COUNTIF(J2167:K2167,"&lt;&gt;0")*-'Trading Model'!$E$15</f>
        <v>0</v>
      </c>
      <c r="M2167" s="198">
        <f t="shared" si="264"/>
        <v>0</v>
      </c>
      <c r="N2167" s="75">
        <f t="shared" si="267"/>
        <v>54</v>
      </c>
      <c r="O2167" s="202">
        <f t="shared" si="268"/>
        <v>0</v>
      </c>
      <c r="P2167" s="199">
        <f t="shared" si="265"/>
        <v>0</v>
      </c>
      <c r="Q2167" s="203">
        <f t="shared" si="269"/>
        <v>-6.5999999999985892</v>
      </c>
      <c r="R2167" s="201">
        <f>E2167/B2163-1</f>
        <v>3.3254236823812011E-2</v>
      </c>
      <c r="S2167" s="201">
        <f t="shared" si="270"/>
        <v>1.2788747457226357E-3</v>
      </c>
    </row>
    <row r="2168" spans="1:19">
      <c r="A2168" s="196">
        <v>43112</v>
      </c>
      <c r="B2168" s="122">
        <v>39.209999000000003</v>
      </c>
      <c r="C2168" s="122">
        <v>39.290000999999997</v>
      </c>
      <c r="D2168" s="122">
        <v>38.689999</v>
      </c>
      <c r="E2168" s="122">
        <v>38.770000000000003</v>
      </c>
      <c r="F2168" s="122">
        <v>35.286200999999998</v>
      </c>
      <c r="G2168" s="197">
        <v>312800</v>
      </c>
      <c r="H2168" s="198">
        <f>IF(AND(E2167&gt;=H2167,E2168&gt;=E2167),E2167*(1+'Trading Model'!$E$13),IF(AND(E2168&lt;E2167,E2167&gt;=H2167),E2168*(1+'Trading Model'!$E$13),H2167))</f>
        <v>39.921000000000006</v>
      </c>
      <c r="I2168" s="198">
        <f>IF(K2168&gt;0,E2168*(1-'Trading Model'!E2178),IF(E2168&lt;I2167,I2167*(1-'Trading Model'!$E$14),I2167))</f>
        <v>36.555999999999997</v>
      </c>
      <c r="J2168" s="198">
        <f t="shared" si="271"/>
        <v>0</v>
      </c>
      <c r="K2168" s="198">
        <f t="shared" si="266"/>
        <v>0</v>
      </c>
      <c r="L2168" s="198">
        <f>COUNTIF(J2168:K2168,"&lt;&gt;0")*-'Trading Model'!$E$15</f>
        <v>0</v>
      </c>
      <c r="M2168" s="198">
        <f t="shared" si="264"/>
        <v>0</v>
      </c>
      <c r="N2168" s="75">
        <f t="shared" si="267"/>
        <v>54</v>
      </c>
      <c r="O2168" s="202">
        <f t="shared" si="268"/>
        <v>0</v>
      </c>
      <c r="P2168" s="199">
        <f t="shared" si="265"/>
        <v>0</v>
      </c>
      <c r="Q2168" s="203">
        <f t="shared" si="269"/>
        <v>-6.6999999999985889</v>
      </c>
      <c r="R2168" s="160" t="s">
        <v>55</v>
      </c>
      <c r="S2168" s="201">
        <f t="shared" si="270"/>
        <v>-9.7063085718360753E-3</v>
      </c>
    </row>
    <row r="2169" spans="1:19">
      <c r="A2169" s="196">
        <v>43116</v>
      </c>
      <c r="B2169" s="122">
        <v>38.950001</v>
      </c>
      <c r="C2169" s="122">
        <v>38.970001000000003</v>
      </c>
      <c r="D2169" s="122">
        <v>38.349997999999999</v>
      </c>
      <c r="E2169" s="122">
        <v>38.470001000000003</v>
      </c>
      <c r="F2169" s="122">
        <v>35.013160999999997</v>
      </c>
      <c r="G2169" s="197">
        <v>162600</v>
      </c>
      <c r="H2169" s="198">
        <f>IF(AND(E2168&gt;=H2168,E2169&gt;=E2168),E2168*(1+'Trading Model'!$E$13),IF(AND(E2169&lt;E2168,E2168&gt;=H2168),E2169*(1+'Trading Model'!$E$13),H2168))</f>
        <v>39.921000000000006</v>
      </c>
      <c r="I2169" s="198">
        <f>IF(K2169&gt;0,E2169*(1-'Trading Model'!E2179),IF(E2169&lt;I2168,I2168*(1-'Trading Model'!$E$14),I2168))</f>
        <v>36.555999999999997</v>
      </c>
      <c r="J2169" s="198">
        <f t="shared" si="271"/>
        <v>0</v>
      </c>
      <c r="K2169" s="198">
        <f t="shared" si="266"/>
        <v>0</v>
      </c>
      <c r="L2169" s="198">
        <f>COUNTIF(J2169:K2169,"&lt;&gt;0")*-'Trading Model'!$E$15</f>
        <v>0</v>
      </c>
      <c r="M2169" s="198">
        <f t="shared" si="264"/>
        <v>0</v>
      </c>
      <c r="N2169" s="75">
        <f t="shared" si="267"/>
        <v>54</v>
      </c>
      <c r="O2169" s="202">
        <f t="shared" si="268"/>
        <v>0</v>
      </c>
      <c r="P2169" s="199">
        <f t="shared" si="265"/>
        <v>0</v>
      </c>
      <c r="Q2169" s="203">
        <f t="shared" si="269"/>
        <v>-6.7999999999985885</v>
      </c>
      <c r="R2169" s="203" t="s">
        <v>55</v>
      </c>
      <c r="S2169" s="201">
        <f t="shared" si="270"/>
        <v>-7.7379159143667886E-3</v>
      </c>
    </row>
    <row r="2170" spans="1:19">
      <c r="A2170" s="196">
        <v>43117</v>
      </c>
      <c r="B2170" s="122">
        <v>38.810001</v>
      </c>
      <c r="C2170" s="122">
        <v>38.939999</v>
      </c>
      <c r="D2170" s="122">
        <v>38.229999999999997</v>
      </c>
      <c r="E2170" s="122">
        <v>38.590000000000003</v>
      </c>
      <c r="F2170" s="122">
        <v>35.122379000000002</v>
      </c>
      <c r="G2170" s="197">
        <v>113100</v>
      </c>
      <c r="H2170" s="198">
        <f>IF(AND(E2169&gt;=H2169,E2170&gt;=E2169),E2169*(1+'Trading Model'!$E$13),IF(AND(E2170&lt;E2169,E2169&gt;=H2169),E2170*(1+'Trading Model'!$E$13),H2169))</f>
        <v>39.921000000000006</v>
      </c>
      <c r="I2170" s="198">
        <f>IF(K2170&gt;0,E2170*(1-'Trading Model'!E2180),IF(E2170&lt;I2169,I2169*(1-'Trading Model'!$E$14),I2169))</f>
        <v>36.555999999999997</v>
      </c>
      <c r="J2170" s="198">
        <f t="shared" si="271"/>
        <v>0</v>
      </c>
      <c r="K2170" s="198">
        <f t="shared" si="266"/>
        <v>0</v>
      </c>
      <c r="L2170" s="198">
        <f>COUNTIF(J2170:K2170,"&lt;&gt;0")*-'Trading Model'!$E$15</f>
        <v>0</v>
      </c>
      <c r="M2170" s="198">
        <f t="shared" si="264"/>
        <v>0</v>
      </c>
      <c r="N2170" s="75">
        <f t="shared" si="267"/>
        <v>54</v>
      </c>
      <c r="O2170" s="202">
        <f t="shared" si="268"/>
        <v>0</v>
      </c>
      <c r="P2170" s="199">
        <f t="shared" si="265"/>
        <v>0</v>
      </c>
      <c r="Q2170" s="203">
        <f t="shared" si="269"/>
        <v>-6.7999999999985885</v>
      </c>
      <c r="R2170" s="203" t="s">
        <v>55</v>
      </c>
      <c r="S2170" s="201">
        <f t="shared" si="270"/>
        <v>3.119287675609872E-3</v>
      </c>
    </row>
    <row r="2171" spans="1:19">
      <c r="A2171" s="196">
        <v>43118</v>
      </c>
      <c r="B2171" s="122">
        <v>38.450001</v>
      </c>
      <c r="C2171" s="122">
        <v>39.549999</v>
      </c>
      <c r="D2171" s="122">
        <v>38.389999000000003</v>
      </c>
      <c r="E2171" s="122">
        <v>39.43</v>
      </c>
      <c r="F2171" s="122">
        <v>35.886893999999998</v>
      </c>
      <c r="G2171" s="197">
        <v>168100</v>
      </c>
      <c r="H2171" s="198">
        <f>IF(AND(E2170&gt;=H2170,E2171&gt;=E2170),E2170*(1+'Trading Model'!$E$13),IF(AND(E2171&lt;E2170,E2170&gt;=H2170),E2171*(1+'Trading Model'!$E$13),H2170))</f>
        <v>39.921000000000006</v>
      </c>
      <c r="I2171" s="198">
        <f>IF(K2171&gt;0,E2171*(1-'Trading Model'!E2181),IF(E2171&lt;I2170,I2170*(1-'Trading Model'!$E$14),I2170))</f>
        <v>36.555999999999997</v>
      </c>
      <c r="J2171" s="198">
        <f t="shared" si="271"/>
        <v>0</v>
      </c>
      <c r="K2171" s="198">
        <f t="shared" si="266"/>
        <v>0</v>
      </c>
      <c r="L2171" s="198">
        <f>COUNTIF(J2171:K2171,"&lt;&gt;0")*-'Trading Model'!$E$15</f>
        <v>0</v>
      </c>
      <c r="M2171" s="198">
        <f t="shared" si="264"/>
        <v>0</v>
      </c>
      <c r="N2171" s="75">
        <f t="shared" si="267"/>
        <v>54</v>
      </c>
      <c r="O2171" s="202">
        <f t="shared" si="268"/>
        <v>0</v>
      </c>
      <c r="P2171" s="199">
        <f t="shared" si="265"/>
        <v>0</v>
      </c>
      <c r="Q2171" s="203">
        <f t="shared" si="269"/>
        <v>-6.7999999999985885</v>
      </c>
      <c r="R2171" s="203" t="s">
        <v>55</v>
      </c>
      <c r="S2171" s="201">
        <f t="shared" si="270"/>
        <v>2.1767297227260896E-2</v>
      </c>
    </row>
    <row r="2172" spans="1:19">
      <c r="A2172" s="196">
        <v>43119</v>
      </c>
      <c r="B2172" s="122">
        <v>39.389999000000003</v>
      </c>
      <c r="C2172" s="122">
        <v>39.889999000000003</v>
      </c>
      <c r="D2172" s="122">
        <v>38.450001</v>
      </c>
      <c r="E2172" s="122">
        <v>38.520000000000003</v>
      </c>
      <c r="F2172" s="122">
        <v>35.058666000000002</v>
      </c>
      <c r="G2172" s="197">
        <v>281700</v>
      </c>
      <c r="H2172" s="198">
        <f>IF(AND(E2171&gt;=H2171,E2172&gt;=E2171),E2171*(1+'Trading Model'!$E$13),IF(AND(E2172&lt;E2171,E2171&gt;=H2171),E2172*(1+'Trading Model'!$E$13),H2171))</f>
        <v>39.921000000000006</v>
      </c>
      <c r="I2172" s="198">
        <f>IF(K2172&gt;0,E2172*(1-'Trading Model'!E2182),IF(E2172&lt;I2171,I2171*(1-'Trading Model'!$E$14),I2171))</f>
        <v>36.555999999999997</v>
      </c>
      <c r="J2172" s="198">
        <f t="shared" si="271"/>
        <v>0</v>
      </c>
      <c r="K2172" s="198">
        <f t="shared" si="266"/>
        <v>0</v>
      </c>
      <c r="L2172" s="198">
        <f>COUNTIF(J2172:K2172,"&lt;&gt;0")*-'Trading Model'!$E$15</f>
        <v>0</v>
      </c>
      <c r="M2172" s="198">
        <f t="shared" si="264"/>
        <v>0</v>
      </c>
      <c r="N2172" s="75">
        <f t="shared" si="267"/>
        <v>54</v>
      </c>
      <c r="O2172" s="202">
        <f t="shared" si="268"/>
        <v>0</v>
      </c>
      <c r="P2172" s="199">
        <f t="shared" si="265"/>
        <v>0</v>
      </c>
      <c r="Q2172" s="203">
        <f t="shared" si="269"/>
        <v>-6.8999999999985882</v>
      </c>
      <c r="R2172" s="201">
        <f>E2172/B2168-1</f>
        <v>-1.7597526590092505E-2</v>
      </c>
      <c r="S2172" s="201">
        <f t="shared" si="270"/>
        <v>-2.3078873953842116E-2</v>
      </c>
    </row>
    <row r="2173" spans="1:19">
      <c r="A2173" s="196">
        <v>43122</v>
      </c>
      <c r="B2173" s="122">
        <v>38.689999</v>
      </c>
      <c r="C2173" s="122">
        <v>39.490001999999997</v>
      </c>
      <c r="D2173" s="122">
        <v>38.340000000000003</v>
      </c>
      <c r="E2173" s="122">
        <v>39.490001999999997</v>
      </c>
      <c r="F2173" s="122">
        <v>35.941504999999999</v>
      </c>
      <c r="G2173" s="197">
        <v>119000</v>
      </c>
      <c r="H2173" s="198">
        <f>IF(AND(E2172&gt;=H2172,E2173&gt;=E2172),E2172*(1+'Trading Model'!$E$13),IF(AND(E2173&lt;E2172,E2172&gt;=H2172),E2173*(1+'Trading Model'!$E$13),H2172))</f>
        <v>39.921000000000006</v>
      </c>
      <c r="I2173" s="198">
        <f>IF(K2173&gt;0,E2173*(1-'Trading Model'!E2183),IF(E2173&lt;I2172,I2172*(1-'Trading Model'!$E$14),I2172))</f>
        <v>36.555999999999997</v>
      </c>
      <c r="J2173" s="198">
        <f t="shared" si="271"/>
        <v>0</v>
      </c>
      <c r="K2173" s="198">
        <f t="shared" si="266"/>
        <v>0</v>
      </c>
      <c r="L2173" s="198">
        <f>COUNTIF(J2173:K2173,"&lt;&gt;0")*-'Trading Model'!$E$15</f>
        <v>0</v>
      </c>
      <c r="M2173" s="198">
        <f t="shared" si="264"/>
        <v>0</v>
      </c>
      <c r="N2173" s="75">
        <f t="shared" si="267"/>
        <v>54</v>
      </c>
      <c r="O2173" s="202">
        <f t="shared" si="268"/>
        <v>0</v>
      </c>
      <c r="P2173" s="199">
        <f t="shared" si="265"/>
        <v>0</v>
      </c>
      <c r="Q2173" s="203">
        <f t="shared" si="269"/>
        <v>-6.8999999999985882</v>
      </c>
      <c r="R2173" s="160" t="s">
        <v>55</v>
      </c>
      <c r="S2173" s="201">
        <f t="shared" si="270"/>
        <v>2.5181775700934494E-2</v>
      </c>
    </row>
    <row r="2174" spans="1:19">
      <c r="A2174" s="196">
        <v>43123</v>
      </c>
      <c r="B2174" s="122">
        <v>39.43</v>
      </c>
      <c r="C2174" s="122">
        <v>39.529998999999997</v>
      </c>
      <c r="D2174" s="122">
        <v>38.93</v>
      </c>
      <c r="E2174" s="122">
        <v>39.279998999999997</v>
      </c>
      <c r="F2174" s="122">
        <v>35.750374000000001</v>
      </c>
      <c r="G2174" s="197">
        <v>103200</v>
      </c>
      <c r="H2174" s="198">
        <f>IF(AND(E2173&gt;=H2173,E2174&gt;=E2173),E2173*(1+'Trading Model'!$E$13),IF(AND(E2174&lt;E2173,E2173&gt;=H2173),E2174*(1+'Trading Model'!$E$13),H2173))</f>
        <v>39.921000000000006</v>
      </c>
      <c r="I2174" s="198">
        <f>IF(K2174&gt;0,E2174*(1-'Trading Model'!E2184),IF(E2174&lt;I2173,I2173*(1-'Trading Model'!$E$14),I2173))</f>
        <v>36.555999999999997</v>
      </c>
      <c r="J2174" s="198">
        <f t="shared" si="271"/>
        <v>0</v>
      </c>
      <c r="K2174" s="198">
        <f t="shared" si="266"/>
        <v>0</v>
      </c>
      <c r="L2174" s="198">
        <f>COUNTIF(J2174:K2174,"&lt;&gt;0")*-'Trading Model'!$E$15</f>
        <v>0</v>
      </c>
      <c r="M2174" s="198">
        <f t="shared" si="264"/>
        <v>0</v>
      </c>
      <c r="N2174" s="75">
        <f t="shared" si="267"/>
        <v>54</v>
      </c>
      <c r="O2174" s="202">
        <f t="shared" si="268"/>
        <v>0</v>
      </c>
      <c r="P2174" s="199">
        <f t="shared" si="265"/>
        <v>0</v>
      </c>
      <c r="Q2174" s="203">
        <f t="shared" si="269"/>
        <v>-6.9999999999985878</v>
      </c>
      <c r="R2174" s="203" t="s">
        <v>55</v>
      </c>
      <c r="S2174" s="201">
        <f t="shared" si="270"/>
        <v>-5.3178776744554623E-3</v>
      </c>
    </row>
    <row r="2175" spans="1:19">
      <c r="A2175" s="196">
        <v>43124</v>
      </c>
      <c r="B2175" s="122">
        <v>39.409999999999997</v>
      </c>
      <c r="C2175" s="122">
        <v>39.759998000000003</v>
      </c>
      <c r="D2175" s="122">
        <v>39.270000000000003</v>
      </c>
      <c r="E2175" s="122">
        <v>39.549999</v>
      </c>
      <c r="F2175" s="122">
        <v>35.996113000000001</v>
      </c>
      <c r="G2175" s="197">
        <v>157000</v>
      </c>
      <c r="H2175" s="198">
        <f>IF(AND(E2174&gt;=H2174,E2175&gt;=E2174),E2174*(1+'Trading Model'!$E$13),IF(AND(E2175&lt;E2174,E2174&gt;=H2174),E2175*(1+'Trading Model'!$E$13),H2174))</f>
        <v>39.921000000000006</v>
      </c>
      <c r="I2175" s="198">
        <f>IF(K2175&gt;0,E2175*(1-'Trading Model'!E2185),IF(E2175&lt;I2174,I2174*(1-'Trading Model'!$E$14),I2174))</f>
        <v>36.555999999999997</v>
      </c>
      <c r="J2175" s="198">
        <f t="shared" si="271"/>
        <v>0</v>
      </c>
      <c r="K2175" s="198">
        <f t="shared" si="266"/>
        <v>0</v>
      </c>
      <c r="L2175" s="198">
        <f>COUNTIF(J2175:K2175,"&lt;&gt;0")*-'Trading Model'!$E$15</f>
        <v>0</v>
      </c>
      <c r="M2175" s="198">
        <f t="shared" si="264"/>
        <v>0</v>
      </c>
      <c r="N2175" s="75">
        <f t="shared" si="267"/>
        <v>54</v>
      </c>
      <c r="O2175" s="202">
        <f t="shared" si="268"/>
        <v>0</v>
      </c>
      <c r="P2175" s="199">
        <f t="shared" si="265"/>
        <v>0</v>
      </c>
      <c r="Q2175" s="203">
        <f t="shared" si="269"/>
        <v>-6.9999999999985878</v>
      </c>
      <c r="R2175" s="203" t="s">
        <v>55</v>
      </c>
      <c r="S2175" s="201">
        <f t="shared" si="270"/>
        <v>6.8737272625694068E-3</v>
      </c>
    </row>
    <row r="2176" spans="1:19">
      <c r="A2176" s="196">
        <v>43125</v>
      </c>
      <c r="B2176" s="122">
        <v>39.810001</v>
      </c>
      <c r="C2176" s="122">
        <v>39.919998</v>
      </c>
      <c r="D2176" s="122">
        <v>38.209999000000003</v>
      </c>
      <c r="E2176" s="122">
        <v>38.5</v>
      </c>
      <c r="F2176" s="122">
        <v>35.040466000000002</v>
      </c>
      <c r="G2176" s="197">
        <v>248400</v>
      </c>
      <c r="H2176" s="198">
        <f>IF(AND(E2175&gt;=H2175,E2176&gt;=E2175),E2175*(1+'Trading Model'!$E$13),IF(AND(E2176&lt;E2175,E2175&gt;=H2175),E2176*(1+'Trading Model'!$E$13),H2175))</f>
        <v>39.921000000000006</v>
      </c>
      <c r="I2176" s="198">
        <f>IF(K2176&gt;0,E2176*(1-'Trading Model'!E2186),IF(E2176&lt;I2175,I2175*(1-'Trading Model'!$E$14),I2175))</f>
        <v>36.555999999999997</v>
      </c>
      <c r="J2176" s="198">
        <f t="shared" si="271"/>
        <v>0</v>
      </c>
      <c r="K2176" s="198">
        <f t="shared" si="266"/>
        <v>0</v>
      </c>
      <c r="L2176" s="198">
        <f>COUNTIF(J2176:K2176,"&lt;&gt;0")*-'Trading Model'!$E$15</f>
        <v>0</v>
      </c>
      <c r="M2176" s="198">
        <f t="shared" si="264"/>
        <v>0</v>
      </c>
      <c r="N2176" s="75">
        <f t="shared" si="267"/>
        <v>54</v>
      </c>
      <c r="O2176" s="202">
        <f t="shared" si="268"/>
        <v>0</v>
      </c>
      <c r="P2176" s="199">
        <f t="shared" si="265"/>
        <v>0</v>
      </c>
      <c r="Q2176" s="203">
        <f t="shared" si="269"/>
        <v>-7.0999999999985874</v>
      </c>
      <c r="R2176" s="203" t="s">
        <v>55</v>
      </c>
      <c r="S2176" s="201">
        <f t="shared" si="270"/>
        <v>-2.6548647953189564E-2</v>
      </c>
    </row>
    <row r="2177" spans="1:19">
      <c r="A2177" s="196">
        <v>43126</v>
      </c>
      <c r="B2177" s="122">
        <v>38.540000999999997</v>
      </c>
      <c r="C2177" s="122">
        <v>38.860000999999997</v>
      </c>
      <c r="D2177" s="122">
        <v>38.119999</v>
      </c>
      <c r="E2177" s="122">
        <v>38.310001</v>
      </c>
      <c r="F2177" s="122">
        <v>34.867534999999997</v>
      </c>
      <c r="G2177" s="197">
        <v>151500</v>
      </c>
      <c r="H2177" s="198">
        <f>IF(AND(E2176&gt;=H2176,E2177&gt;=E2176),E2176*(1+'Trading Model'!$E$13),IF(AND(E2177&lt;E2176,E2176&gt;=H2176),E2177*(1+'Trading Model'!$E$13),H2176))</f>
        <v>39.921000000000006</v>
      </c>
      <c r="I2177" s="198">
        <f>IF(K2177&gt;0,E2177*(1-'Trading Model'!E2187),IF(E2177&lt;I2176,I2176*(1-'Trading Model'!$E$14),I2176))</f>
        <v>36.555999999999997</v>
      </c>
      <c r="J2177" s="198">
        <f t="shared" si="271"/>
        <v>0</v>
      </c>
      <c r="K2177" s="198">
        <f t="shared" si="266"/>
        <v>0</v>
      </c>
      <c r="L2177" s="198">
        <f>COUNTIF(J2177:K2177,"&lt;&gt;0")*-'Trading Model'!$E$15</f>
        <v>0</v>
      </c>
      <c r="M2177" s="198">
        <f t="shared" si="264"/>
        <v>0</v>
      </c>
      <c r="N2177" s="75">
        <f t="shared" si="267"/>
        <v>54</v>
      </c>
      <c r="O2177" s="202">
        <f t="shared" si="268"/>
        <v>0</v>
      </c>
      <c r="P2177" s="199">
        <f t="shared" si="265"/>
        <v>0</v>
      </c>
      <c r="Q2177" s="203">
        <f t="shared" si="269"/>
        <v>-7.1999999999985871</v>
      </c>
      <c r="R2177" s="201">
        <f>E2177/B2173-1</f>
        <v>-9.8216079044096682E-3</v>
      </c>
      <c r="S2177" s="201">
        <f t="shared" si="270"/>
        <v>-4.9350389610389733E-3</v>
      </c>
    </row>
    <row r="2178" spans="1:19">
      <c r="A2178" s="196">
        <v>43129</v>
      </c>
      <c r="B2178" s="122">
        <v>38.380001</v>
      </c>
      <c r="C2178" s="122">
        <v>38.380001</v>
      </c>
      <c r="D2178" s="122">
        <v>36.849997999999999</v>
      </c>
      <c r="E2178" s="122">
        <v>37.049999</v>
      </c>
      <c r="F2178" s="122">
        <v>33.720756999999999</v>
      </c>
      <c r="G2178" s="197">
        <v>243600</v>
      </c>
      <c r="H2178" s="198">
        <f>IF(AND(E2177&gt;=H2177,E2178&gt;=E2177),E2177*(1+'Trading Model'!$E$13),IF(AND(E2178&lt;E2177,E2177&gt;=H2177),E2178*(1+'Trading Model'!$E$13),H2177))</f>
        <v>39.921000000000006</v>
      </c>
      <c r="I2178" s="198">
        <f>IF(K2178&gt;0,E2178*(1-'Trading Model'!E2188),IF(E2178&lt;I2177,I2177*(1-'Trading Model'!$E$14),I2177))</f>
        <v>36.555999999999997</v>
      </c>
      <c r="J2178" s="198">
        <f t="shared" si="271"/>
        <v>0</v>
      </c>
      <c r="K2178" s="198">
        <f t="shared" si="266"/>
        <v>0</v>
      </c>
      <c r="L2178" s="198">
        <f>COUNTIF(J2178:K2178,"&lt;&gt;0")*-'Trading Model'!$E$15</f>
        <v>0</v>
      </c>
      <c r="M2178" s="198">
        <f t="shared" si="264"/>
        <v>0</v>
      </c>
      <c r="N2178" s="75">
        <f t="shared" si="267"/>
        <v>54</v>
      </c>
      <c r="O2178" s="202">
        <f t="shared" si="268"/>
        <v>0</v>
      </c>
      <c r="P2178" s="199">
        <f t="shared" si="265"/>
        <v>0</v>
      </c>
      <c r="Q2178" s="203">
        <f t="shared" si="269"/>
        <v>-7.2999999999985867</v>
      </c>
      <c r="R2178" s="160" t="s">
        <v>55</v>
      </c>
      <c r="S2178" s="201">
        <f t="shared" si="270"/>
        <v>-3.288963631193853E-2</v>
      </c>
    </row>
    <row r="2179" spans="1:19">
      <c r="A2179" s="196">
        <v>43130</v>
      </c>
      <c r="B2179" s="122">
        <v>37.049999</v>
      </c>
      <c r="C2179" s="122">
        <v>37.049999</v>
      </c>
      <c r="D2179" s="122">
        <v>36.020000000000003</v>
      </c>
      <c r="E2179" s="122">
        <v>36.740001999999997</v>
      </c>
      <c r="F2179" s="122">
        <v>33.438614000000001</v>
      </c>
      <c r="G2179" s="197">
        <v>304500</v>
      </c>
      <c r="H2179" s="198">
        <f>IF(AND(E2178&gt;=H2178,E2179&gt;=E2178),E2178*(1+'Trading Model'!$E$13),IF(AND(E2179&lt;E2178,E2178&gt;=H2178),E2179*(1+'Trading Model'!$E$13),H2178))</f>
        <v>39.921000000000006</v>
      </c>
      <c r="I2179" s="198">
        <f>IF(K2179&gt;0,E2179*(1-'Trading Model'!E2189),IF(E2179&lt;I2178,I2178*(1-'Trading Model'!$E$14),I2178))</f>
        <v>36.555999999999997</v>
      </c>
      <c r="J2179" s="198">
        <f t="shared" si="271"/>
        <v>0</v>
      </c>
      <c r="K2179" s="198">
        <f t="shared" si="266"/>
        <v>0</v>
      </c>
      <c r="L2179" s="198">
        <f>COUNTIF(J2179:K2179,"&lt;&gt;0")*-'Trading Model'!$E$15</f>
        <v>0</v>
      </c>
      <c r="M2179" s="198">
        <f t="shared" ref="M2179:M2242" si="272">SUM(J2179:L2179)</f>
        <v>0</v>
      </c>
      <c r="N2179" s="75">
        <f t="shared" si="267"/>
        <v>54</v>
      </c>
      <c r="O2179" s="202">
        <f t="shared" si="268"/>
        <v>0</v>
      </c>
      <c r="P2179" s="199">
        <f t="shared" ref="P2179:P2242" si="273">IFERROR(VLOOKUP(A2179,Dividends,2,FALSE),$U$1)</f>
        <v>0</v>
      </c>
      <c r="Q2179" s="203">
        <f t="shared" si="269"/>
        <v>-7.3999999999985864</v>
      </c>
      <c r="R2179" s="203" t="s">
        <v>55</v>
      </c>
      <c r="S2179" s="201">
        <f t="shared" si="270"/>
        <v>-8.3669907791361631E-3</v>
      </c>
    </row>
    <row r="2180" spans="1:19">
      <c r="A2180" s="196">
        <v>43131</v>
      </c>
      <c r="B2180" s="122">
        <v>37.049999</v>
      </c>
      <c r="C2180" s="122">
        <v>37.799999</v>
      </c>
      <c r="D2180" s="122">
        <v>36.700001</v>
      </c>
      <c r="E2180" s="122">
        <v>37.360000999999997</v>
      </c>
      <c r="F2180" s="122">
        <v>34.002903000000003</v>
      </c>
      <c r="G2180" s="197">
        <v>113100</v>
      </c>
      <c r="H2180" s="198">
        <f>IF(AND(E2179&gt;=H2179,E2180&gt;=E2179),E2179*(1+'Trading Model'!$E$13),IF(AND(E2180&lt;E2179,E2179&gt;=H2179),E2180*(1+'Trading Model'!$E$13),H2179))</f>
        <v>39.921000000000006</v>
      </c>
      <c r="I2180" s="198">
        <f>IF(K2180&gt;0,E2180*(1-'Trading Model'!E2190),IF(E2180&lt;I2179,I2179*(1-'Trading Model'!$E$14),I2179))</f>
        <v>36.555999999999997</v>
      </c>
      <c r="J2180" s="198">
        <f t="shared" si="271"/>
        <v>0</v>
      </c>
      <c r="K2180" s="198">
        <f t="shared" ref="K2180:K2243" si="274">IF(E2180&gt;=H2180,E2180,0)</f>
        <v>0</v>
      </c>
      <c r="L2180" s="198">
        <f>COUNTIF(J2180:K2180,"&lt;&gt;0")*-'Trading Model'!$E$15</f>
        <v>0</v>
      </c>
      <c r="M2180" s="198">
        <f t="shared" si="272"/>
        <v>0</v>
      </c>
      <c r="N2180" s="75">
        <f t="shared" ref="N2180:N2243" si="275">IF(AND(J2180&lt;0,K2180&gt;0),N2179,(IF(J2180&lt;0,N2179+1,IF(K2180&gt;0,N2179+1,N2179))))</f>
        <v>54</v>
      </c>
      <c r="O2180" s="202">
        <f t="shared" ref="O2180:O2243" si="276">P2180</f>
        <v>0</v>
      </c>
      <c r="P2180" s="199">
        <f t="shared" si="273"/>
        <v>0</v>
      </c>
      <c r="Q2180" s="203">
        <f t="shared" ref="Q2180:Q2243" si="277">IF(E2180&lt;E2179,Q2179-0.1,Q2179)</f>
        <v>-7.3999999999985864</v>
      </c>
      <c r="R2180" s="203" t="s">
        <v>55</v>
      </c>
      <c r="S2180" s="201">
        <f t="shared" ref="S2180:S2243" si="278">E2180/E2179-1</f>
        <v>1.6875312091708672E-2</v>
      </c>
    </row>
    <row r="2181" spans="1:19">
      <c r="A2181" s="196">
        <v>43132</v>
      </c>
      <c r="B2181" s="122">
        <v>37.340000000000003</v>
      </c>
      <c r="C2181" s="122">
        <v>38.68</v>
      </c>
      <c r="D2181" s="122">
        <v>37.340000000000003</v>
      </c>
      <c r="E2181" s="122">
        <v>38.07</v>
      </c>
      <c r="F2181" s="122">
        <v>34.649104999999999</v>
      </c>
      <c r="G2181" s="197">
        <v>161900</v>
      </c>
      <c r="H2181" s="198">
        <f>IF(AND(E2180&gt;=H2180,E2181&gt;=E2180),E2180*(1+'Trading Model'!$E$13),IF(AND(E2181&lt;E2180,E2180&gt;=H2180),E2181*(1+'Trading Model'!$E$13),H2180))</f>
        <v>39.921000000000006</v>
      </c>
      <c r="I2181" s="198">
        <f>IF(K2181&gt;0,E2181*(1-'Trading Model'!E2191),IF(E2181&lt;I2180,I2180*(1-'Trading Model'!$E$14),I2180))</f>
        <v>36.555999999999997</v>
      </c>
      <c r="J2181" s="198">
        <f t="shared" ref="J2181:J2244" si="279">IF(E2181&gt;=H2181,-E2181,IF(E2181&lt;=I2180,-E2181,0))</f>
        <v>0</v>
      </c>
      <c r="K2181" s="198">
        <f t="shared" si="274"/>
        <v>0</v>
      </c>
      <c r="L2181" s="198">
        <f>COUNTIF(J2181:K2181,"&lt;&gt;0")*-'Trading Model'!$E$15</f>
        <v>0</v>
      </c>
      <c r="M2181" s="198">
        <f t="shared" si="272"/>
        <v>0</v>
      </c>
      <c r="N2181" s="75">
        <f t="shared" si="275"/>
        <v>54</v>
      </c>
      <c r="O2181" s="202">
        <f t="shared" si="276"/>
        <v>0</v>
      </c>
      <c r="P2181" s="199">
        <f t="shared" si="273"/>
        <v>0</v>
      </c>
      <c r="Q2181" s="203">
        <f t="shared" si="277"/>
        <v>-7.3999999999985864</v>
      </c>
      <c r="R2181" s="203" t="s">
        <v>55</v>
      </c>
      <c r="S2181" s="201">
        <f t="shared" si="278"/>
        <v>1.9004255379971857E-2</v>
      </c>
    </row>
    <row r="2182" spans="1:19">
      <c r="A2182" s="196">
        <v>43133</v>
      </c>
      <c r="B2182" s="122">
        <v>37.549999</v>
      </c>
      <c r="C2182" s="122">
        <v>38.029998999999997</v>
      </c>
      <c r="D2182" s="122">
        <v>36.060001</v>
      </c>
      <c r="E2182" s="122">
        <v>36.830002</v>
      </c>
      <c r="F2182" s="122">
        <v>33.520527000000001</v>
      </c>
      <c r="G2182" s="197">
        <v>170500</v>
      </c>
      <c r="H2182" s="198">
        <f>IF(AND(E2181&gt;=H2181,E2182&gt;=E2181),E2181*(1+'Trading Model'!$E$13),IF(AND(E2182&lt;E2181,E2181&gt;=H2181),E2182*(1+'Trading Model'!$E$13),H2181))</f>
        <v>39.921000000000006</v>
      </c>
      <c r="I2182" s="198">
        <f>IF(K2182&gt;0,E2182*(1-'Trading Model'!E2192),IF(E2182&lt;I2181,I2181*(1-'Trading Model'!$E$14),I2181))</f>
        <v>36.555999999999997</v>
      </c>
      <c r="J2182" s="198">
        <f t="shared" si="279"/>
        <v>0</v>
      </c>
      <c r="K2182" s="198">
        <f t="shared" si="274"/>
        <v>0</v>
      </c>
      <c r="L2182" s="198">
        <f>COUNTIF(J2182:K2182,"&lt;&gt;0")*-'Trading Model'!$E$15</f>
        <v>0</v>
      </c>
      <c r="M2182" s="198">
        <f t="shared" si="272"/>
        <v>0</v>
      </c>
      <c r="N2182" s="75">
        <f t="shared" si="275"/>
        <v>54</v>
      </c>
      <c r="O2182" s="202">
        <f t="shared" si="276"/>
        <v>0</v>
      </c>
      <c r="P2182" s="199">
        <f t="shared" si="273"/>
        <v>0</v>
      </c>
      <c r="Q2182" s="203">
        <f t="shared" si="277"/>
        <v>-7.499999999998586</v>
      </c>
      <c r="R2182" s="201">
        <f>E2182/B2178-1</f>
        <v>-4.0385590401626037E-2</v>
      </c>
      <c r="S2182" s="201">
        <f t="shared" si="278"/>
        <v>-3.2571526136065176E-2</v>
      </c>
    </row>
    <row r="2183" spans="1:19">
      <c r="A2183" s="196">
        <v>43136</v>
      </c>
      <c r="B2183" s="122">
        <v>36.599997999999999</v>
      </c>
      <c r="C2183" s="122">
        <v>36.599997999999999</v>
      </c>
      <c r="D2183" s="122">
        <v>34.700001</v>
      </c>
      <c r="E2183" s="122">
        <v>34.990001999999997</v>
      </c>
      <c r="F2183" s="122">
        <v>31.845866999999998</v>
      </c>
      <c r="G2183" s="197">
        <v>211500</v>
      </c>
      <c r="H2183" s="198">
        <f>IF(AND(E2182&gt;=H2182,E2183&gt;=E2182),E2182*(1+'Trading Model'!$E$13),IF(AND(E2183&lt;E2182,E2182&gt;=H2182),E2183*(1+'Trading Model'!$E$13),H2182))</f>
        <v>39.921000000000006</v>
      </c>
      <c r="I2183" s="198">
        <f>IF(K2183&gt;0,E2183*(1-'Trading Model'!E2193),IF(E2183&lt;I2182,I2182*(1-'Trading Model'!$E$14),I2182))</f>
        <v>34.728199999999994</v>
      </c>
      <c r="J2183" s="198">
        <f t="shared" si="279"/>
        <v>-34.990001999999997</v>
      </c>
      <c r="K2183" s="198">
        <f t="shared" si="274"/>
        <v>0</v>
      </c>
      <c r="L2183" s="198">
        <f>COUNTIF(J2183:K2183,"&lt;&gt;0")*-'Trading Model'!$E$15</f>
        <v>-0.1</v>
      </c>
      <c r="M2183" s="198">
        <f t="shared" si="272"/>
        <v>-35.090001999999998</v>
      </c>
      <c r="N2183" s="75">
        <f t="shared" si="275"/>
        <v>55</v>
      </c>
      <c r="O2183" s="202">
        <f t="shared" si="276"/>
        <v>0</v>
      </c>
      <c r="P2183" s="199">
        <f t="shared" si="273"/>
        <v>0</v>
      </c>
      <c r="Q2183" s="203">
        <f t="shared" si="277"/>
        <v>-7.5999999999985857</v>
      </c>
      <c r="R2183" s="160" t="s">
        <v>55</v>
      </c>
      <c r="S2183" s="201">
        <f t="shared" si="278"/>
        <v>-4.9959269619371804E-2</v>
      </c>
    </row>
    <row r="2184" spans="1:19">
      <c r="A2184" s="196">
        <v>43137</v>
      </c>
      <c r="B2184" s="122">
        <v>34.470001000000003</v>
      </c>
      <c r="C2184" s="122">
        <v>36.529998999999997</v>
      </c>
      <c r="D2184" s="122">
        <v>33.830002</v>
      </c>
      <c r="E2184" s="122">
        <v>36.220001000000003</v>
      </c>
      <c r="F2184" s="122">
        <v>32.965342999999997</v>
      </c>
      <c r="G2184" s="197">
        <v>81500</v>
      </c>
      <c r="H2184" s="198">
        <f>IF(AND(E2183&gt;=H2183,E2184&gt;=E2183),E2183*(1+'Trading Model'!$E$13),IF(AND(E2184&lt;E2183,E2183&gt;=H2183),E2184*(1+'Trading Model'!$E$13),H2183))</f>
        <v>39.921000000000006</v>
      </c>
      <c r="I2184" s="198">
        <f>IF(K2184&gt;0,E2184*(1-'Trading Model'!E2194),IF(E2184&lt;I2183,I2183*(1-'Trading Model'!$E$14),I2183))</f>
        <v>34.728199999999994</v>
      </c>
      <c r="J2184" s="198">
        <f t="shared" si="279"/>
        <v>0</v>
      </c>
      <c r="K2184" s="198">
        <f t="shared" si="274"/>
        <v>0</v>
      </c>
      <c r="L2184" s="198">
        <f>COUNTIF(J2184:K2184,"&lt;&gt;0")*-'Trading Model'!$E$15</f>
        <v>0</v>
      </c>
      <c r="M2184" s="198">
        <f t="shared" si="272"/>
        <v>0</v>
      </c>
      <c r="N2184" s="75">
        <f t="shared" si="275"/>
        <v>55</v>
      </c>
      <c r="O2184" s="202">
        <f t="shared" si="276"/>
        <v>0</v>
      </c>
      <c r="P2184" s="199">
        <f t="shared" si="273"/>
        <v>0</v>
      </c>
      <c r="Q2184" s="203">
        <f t="shared" si="277"/>
        <v>-7.5999999999985857</v>
      </c>
      <c r="R2184" s="203" t="s">
        <v>55</v>
      </c>
      <c r="S2184" s="201">
        <f t="shared" si="278"/>
        <v>3.5152870239904654E-2</v>
      </c>
    </row>
    <row r="2185" spans="1:19">
      <c r="A2185" s="196">
        <v>43138</v>
      </c>
      <c r="B2185" s="122">
        <v>36.200001</v>
      </c>
      <c r="C2185" s="122">
        <v>36.790000999999997</v>
      </c>
      <c r="D2185" s="122">
        <v>34.93</v>
      </c>
      <c r="E2185" s="122">
        <v>34.93</v>
      </c>
      <c r="F2185" s="122">
        <v>31.791257999999999</v>
      </c>
      <c r="G2185" s="197">
        <v>104000</v>
      </c>
      <c r="H2185" s="198">
        <f>IF(AND(E2184&gt;=H2184,E2185&gt;=E2184),E2184*(1+'Trading Model'!$E$13),IF(AND(E2185&lt;E2184,E2184&gt;=H2184),E2185*(1+'Trading Model'!$E$13),H2184))</f>
        <v>39.921000000000006</v>
      </c>
      <c r="I2185" s="198">
        <f>IF(K2185&gt;0,E2185*(1-'Trading Model'!E2195),IF(E2185&lt;I2184,I2184*(1-'Trading Model'!$E$14),I2184))</f>
        <v>34.728199999999994</v>
      </c>
      <c r="J2185" s="198">
        <f t="shared" si="279"/>
        <v>0</v>
      </c>
      <c r="K2185" s="198">
        <f t="shared" si="274"/>
        <v>0</v>
      </c>
      <c r="L2185" s="198">
        <f>COUNTIF(J2185:K2185,"&lt;&gt;0")*-'Trading Model'!$E$15</f>
        <v>0</v>
      </c>
      <c r="M2185" s="198">
        <f t="shared" si="272"/>
        <v>0</v>
      </c>
      <c r="N2185" s="75">
        <f t="shared" si="275"/>
        <v>55</v>
      </c>
      <c r="O2185" s="202">
        <f t="shared" si="276"/>
        <v>0</v>
      </c>
      <c r="P2185" s="199">
        <f t="shared" si="273"/>
        <v>0</v>
      </c>
      <c r="Q2185" s="203">
        <f t="shared" si="277"/>
        <v>-7.6999999999985853</v>
      </c>
      <c r="R2185" s="203" t="s">
        <v>55</v>
      </c>
      <c r="S2185" s="201">
        <f t="shared" si="278"/>
        <v>-3.5615708569417315E-2</v>
      </c>
    </row>
    <row r="2186" spans="1:19">
      <c r="A2186" s="196">
        <v>43139</v>
      </c>
      <c r="B2186" s="122">
        <v>35.189999</v>
      </c>
      <c r="C2186" s="122">
        <v>35.509998000000003</v>
      </c>
      <c r="D2186" s="122">
        <v>33.5</v>
      </c>
      <c r="E2186" s="122">
        <v>33.5</v>
      </c>
      <c r="F2186" s="122">
        <v>30.489754000000001</v>
      </c>
      <c r="G2186" s="197">
        <v>131200</v>
      </c>
      <c r="H2186" s="198">
        <f>IF(AND(E2185&gt;=H2185,E2186&gt;=E2185),E2185*(1+'Trading Model'!$E$13),IF(AND(E2186&lt;E2185,E2185&gt;=H2185),E2186*(1+'Trading Model'!$E$13),H2185))</f>
        <v>39.921000000000006</v>
      </c>
      <c r="I2186" s="198">
        <f>IF(K2186&gt;0,E2186*(1-'Trading Model'!E2196),IF(E2186&lt;I2185,I2185*(1-'Trading Model'!$E$14),I2185))</f>
        <v>32.991789999999995</v>
      </c>
      <c r="J2186" s="198">
        <f t="shared" si="279"/>
        <v>-33.5</v>
      </c>
      <c r="K2186" s="198">
        <f t="shared" si="274"/>
        <v>0</v>
      </c>
      <c r="L2186" s="198">
        <f>COUNTIF(J2186:K2186,"&lt;&gt;0")*-'Trading Model'!$E$15</f>
        <v>-0.1</v>
      </c>
      <c r="M2186" s="198">
        <f t="shared" si="272"/>
        <v>-33.6</v>
      </c>
      <c r="N2186" s="75">
        <f t="shared" si="275"/>
        <v>56</v>
      </c>
      <c r="O2186" s="202">
        <f t="shared" si="276"/>
        <v>0</v>
      </c>
      <c r="P2186" s="199">
        <f t="shared" si="273"/>
        <v>0</v>
      </c>
      <c r="Q2186" s="203">
        <f t="shared" si="277"/>
        <v>-7.799999999998585</v>
      </c>
      <c r="R2186" s="203" t="s">
        <v>55</v>
      </c>
      <c r="S2186" s="201">
        <f t="shared" si="278"/>
        <v>-4.0939020898940748E-2</v>
      </c>
    </row>
    <row r="2187" spans="1:19">
      <c r="A2187" s="196">
        <v>43140</v>
      </c>
      <c r="B2187" s="122">
        <v>33.599997999999999</v>
      </c>
      <c r="C2187" s="122">
        <v>34.130001</v>
      </c>
      <c r="D2187" s="122">
        <v>32.330002</v>
      </c>
      <c r="E2187" s="122">
        <v>33.200001</v>
      </c>
      <c r="F2187" s="122">
        <v>30.216712999999999</v>
      </c>
      <c r="G2187" s="197">
        <v>270200</v>
      </c>
      <c r="H2187" s="198">
        <f>IF(AND(E2186&gt;=H2186,E2187&gt;=E2186),E2186*(1+'Trading Model'!$E$13),IF(AND(E2187&lt;E2186,E2186&gt;=H2186),E2187*(1+'Trading Model'!$E$13),H2186))</f>
        <v>39.921000000000006</v>
      </c>
      <c r="I2187" s="198">
        <f>IF(K2187&gt;0,E2187*(1-'Trading Model'!E2197),IF(E2187&lt;I2186,I2186*(1-'Trading Model'!$E$14),I2186))</f>
        <v>32.991789999999995</v>
      </c>
      <c r="J2187" s="198">
        <f t="shared" si="279"/>
        <v>0</v>
      </c>
      <c r="K2187" s="198">
        <f t="shared" si="274"/>
        <v>0</v>
      </c>
      <c r="L2187" s="198">
        <f>COUNTIF(J2187:K2187,"&lt;&gt;0")*-'Trading Model'!$E$15</f>
        <v>0</v>
      </c>
      <c r="M2187" s="198">
        <f t="shared" si="272"/>
        <v>0</v>
      </c>
      <c r="N2187" s="75">
        <f t="shared" si="275"/>
        <v>56</v>
      </c>
      <c r="O2187" s="202">
        <f t="shared" si="276"/>
        <v>0</v>
      </c>
      <c r="P2187" s="199">
        <f t="shared" si="273"/>
        <v>0</v>
      </c>
      <c r="Q2187" s="203">
        <f t="shared" si="277"/>
        <v>-7.8999999999985846</v>
      </c>
      <c r="R2187" s="201">
        <f>E2187/B2183-1</f>
        <v>-9.2896097972464342E-2</v>
      </c>
      <c r="S2187" s="201">
        <f t="shared" si="278"/>
        <v>-8.9551940298507882E-3</v>
      </c>
    </row>
    <row r="2188" spans="1:19">
      <c r="A2188" s="196">
        <v>43143</v>
      </c>
      <c r="B2188" s="122">
        <v>33.450001</v>
      </c>
      <c r="C2188" s="122">
        <v>35.580002</v>
      </c>
      <c r="D2188" s="122">
        <v>33.450001</v>
      </c>
      <c r="E2188" s="122">
        <v>34.590000000000003</v>
      </c>
      <c r="F2188" s="122">
        <v>31.481812000000001</v>
      </c>
      <c r="G2188" s="197">
        <v>221500</v>
      </c>
      <c r="H2188" s="198">
        <f>IF(AND(E2187&gt;=H2187,E2188&gt;=E2187),E2187*(1+'Trading Model'!$E$13),IF(AND(E2188&lt;E2187,E2187&gt;=H2187),E2188*(1+'Trading Model'!$E$13),H2187))</f>
        <v>39.921000000000006</v>
      </c>
      <c r="I2188" s="198">
        <f>IF(K2188&gt;0,E2188*(1-'Trading Model'!E2198),IF(E2188&lt;I2187,I2187*(1-'Trading Model'!$E$14),I2187))</f>
        <v>32.991789999999995</v>
      </c>
      <c r="J2188" s="198">
        <f t="shared" si="279"/>
        <v>0</v>
      </c>
      <c r="K2188" s="198">
        <f t="shared" si="274"/>
        <v>0</v>
      </c>
      <c r="L2188" s="198">
        <f>COUNTIF(J2188:K2188,"&lt;&gt;0")*-'Trading Model'!$E$15</f>
        <v>0</v>
      </c>
      <c r="M2188" s="198">
        <f t="shared" si="272"/>
        <v>0</v>
      </c>
      <c r="N2188" s="75">
        <f t="shared" si="275"/>
        <v>56</v>
      </c>
      <c r="O2188" s="202">
        <f t="shared" si="276"/>
        <v>0</v>
      </c>
      <c r="P2188" s="199">
        <f t="shared" si="273"/>
        <v>0</v>
      </c>
      <c r="Q2188" s="203">
        <f t="shared" si="277"/>
        <v>-7.8999999999985846</v>
      </c>
      <c r="R2188" s="160" t="s">
        <v>55</v>
      </c>
      <c r="S2188" s="201">
        <f t="shared" si="278"/>
        <v>4.1867438497968923E-2</v>
      </c>
    </row>
    <row r="2189" spans="1:19">
      <c r="A2189" s="196">
        <v>43144</v>
      </c>
      <c r="B2189" s="122">
        <v>33.07</v>
      </c>
      <c r="C2189" s="122">
        <v>33.470001000000003</v>
      </c>
      <c r="D2189" s="122">
        <v>31.9</v>
      </c>
      <c r="E2189" s="122">
        <v>32.509998000000003</v>
      </c>
      <c r="F2189" s="122">
        <v>30.937391000000002</v>
      </c>
      <c r="G2189" s="197">
        <v>212900</v>
      </c>
      <c r="H2189" s="198">
        <f>IF(AND(E2188&gt;=H2188,E2189&gt;=E2188),E2188*(1+'Trading Model'!$E$13),IF(AND(E2189&lt;E2188,E2188&gt;=H2188),E2189*(1+'Trading Model'!$E$13),H2188))</f>
        <v>39.921000000000006</v>
      </c>
      <c r="I2189" s="198">
        <f>IF(K2189&gt;0,E2189*(1-'Trading Model'!E2199),IF(E2189&lt;I2188,I2188*(1-'Trading Model'!$E$14),I2188))</f>
        <v>31.342200499999993</v>
      </c>
      <c r="J2189" s="198">
        <f t="shared" si="279"/>
        <v>-32.509998000000003</v>
      </c>
      <c r="K2189" s="198">
        <f t="shared" si="274"/>
        <v>0</v>
      </c>
      <c r="L2189" s="198">
        <f>COUNTIF(J2189:K2189,"&lt;&gt;0")*-'Trading Model'!$E$15</f>
        <v>-0.1</v>
      </c>
      <c r="M2189" s="198">
        <f t="shared" si="272"/>
        <v>-32.609998000000004</v>
      </c>
      <c r="N2189" s="75">
        <f t="shared" si="275"/>
        <v>57</v>
      </c>
      <c r="O2189" s="202">
        <f t="shared" si="276"/>
        <v>1.5079100000000001</v>
      </c>
      <c r="P2189" s="199">
        <f t="shared" si="273"/>
        <v>1.5079100000000001</v>
      </c>
      <c r="Q2189" s="203">
        <f t="shared" si="277"/>
        <v>-7.9999999999985842</v>
      </c>
      <c r="R2189" s="203" t="s">
        <v>55</v>
      </c>
      <c r="S2189" s="201">
        <f t="shared" si="278"/>
        <v>-6.0133044232437149E-2</v>
      </c>
    </row>
    <row r="2190" spans="1:19">
      <c r="A2190" s="196">
        <v>43145</v>
      </c>
      <c r="B2190" s="122">
        <v>32.340000000000003</v>
      </c>
      <c r="C2190" s="122">
        <v>34.130001</v>
      </c>
      <c r="D2190" s="122">
        <v>31.870000999999998</v>
      </c>
      <c r="E2190" s="122">
        <v>33.919998</v>
      </c>
      <c r="F2190" s="122">
        <v>32.279181999999999</v>
      </c>
      <c r="G2190" s="197">
        <v>266100</v>
      </c>
      <c r="H2190" s="198">
        <f>IF(AND(E2189&gt;=H2189,E2190&gt;=E2189),E2189*(1+'Trading Model'!$E$13),IF(AND(E2190&lt;E2189,E2189&gt;=H2189),E2190*(1+'Trading Model'!$E$13),H2189))</f>
        <v>39.921000000000006</v>
      </c>
      <c r="I2190" s="198">
        <f>IF(K2190&gt;0,E2190*(1-'Trading Model'!E2200),IF(E2190&lt;I2189,I2189*(1-'Trading Model'!$E$14),I2189))</f>
        <v>31.342200499999993</v>
      </c>
      <c r="J2190" s="198">
        <f t="shared" si="279"/>
        <v>0</v>
      </c>
      <c r="K2190" s="198">
        <f t="shared" si="274"/>
        <v>0</v>
      </c>
      <c r="L2190" s="198">
        <f>COUNTIF(J2190:K2190,"&lt;&gt;0")*-'Trading Model'!$E$15</f>
        <v>0</v>
      </c>
      <c r="M2190" s="198">
        <f t="shared" si="272"/>
        <v>0</v>
      </c>
      <c r="N2190" s="75">
        <f t="shared" si="275"/>
        <v>57</v>
      </c>
      <c r="O2190" s="202">
        <f t="shared" si="276"/>
        <v>0</v>
      </c>
      <c r="P2190" s="199">
        <f t="shared" si="273"/>
        <v>0</v>
      </c>
      <c r="Q2190" s="203">
        <f t="shared" si="277"/>
        <v>-7.9999999999985842</v>
      </c>
      <c r="R2190" s="203" t="s">
        <v>55</v>
      </c>
      <c r="S2190" s="201">
        <f t="shared" si="278"/>
        <v>4.3371273046525438E-2</v>
      </c>
    </row>
    <row r="2191" spans="1:19">
      <c r="A2191" s="196">
        <v>43146</v>
      </c>
      <c r="B2191" s="122">
        <v>34.43</v>
      </c>
      <c r="C2191" s="122">
        <v>34.450001</v>
      </c>
      <c r="D2191" s="122">
        <v>33.130001</v>
      </c>
      <c r="E2191" s="122">
        <v>33.799999</v>
      </c>
      <c r="F2191" s="122">
        <v>32.164993000000003</v>
      </c>
      <c r="G2191" s="197">
        <v>229800</v>
      </c>
      <c r="H2191" s="198">
        <f>IF(AND(E2190&gt;=H2190,E2191&gt;=E2190),E2190*(1+'Trading Model'!$E$13),IF(AND(E2191&lt;E2190,E2190&gt;=H2190),E2191*(1+'Trading Model'!$E$13),H2190))</f>
        <v>39.921000000000006</v>
      </c>
      <c r="I2191" s="198">
        <f>IF(K2191&gt;0,E2191*(1-'Trading Model'!E2201),IF(E2191&lt;I2190,I2190*(1-'Trading Model'!$E$14),I2190))</f>
        <v>31.342200499999993</v>
      </c>
      <c r="J2191" s="198">
        <f t="shared" si="279"/>
        <v>0</v>
      </c>
      <c r="K2191" s="198">
        <f t="shared" si="274"/>
        <v>0</v>
      </c>
      <c r="L2191" s="198">
        <f>COUNTIF(J2191:K2191,"&lt;&gt;0")*-'Trading Model'!$E$15</f>
        <v>0</v>
      </c>
      <c r="M2191" s="198">
        <f t="shared" si="272"/>
        <v>0</v>
      </c>
      <c r="N2191" s="75">
        <f t="shared" si="275"/>
        <v>57</v>
      </c>
      <c r="O2191" s="202">
        <f t="shared" si="276"/>
        <v>0</v>
      </c>
      <c r="P2191" s="199">
        <f t="shared" si="273"/>
        <v>0</v>
      </c>
      <c r="Q2191" s="203">
        <f t="shared" si="277"/>
        <v>-8.0999999999985839</v>
      </c>
      <c r="R2191" s="203" t="s">
        <v>55</v>
      </c>
      <c r="S2191" s="201">
        <f t="shared" si="278"/>
        <v>-3.5377065765157534E-3</v>
      </c>
    </row>
    <row r="2192" spans="1:19">
      <c r="A2192" s="196">
        <v>43147</v>
      </c>
      <c r="B2192" s="122">
        <v>33.799999</v>
      </c>
      <c r="C2192" s="122">
        <v>34.400002000000001</v>
      </c>
      <c r="D2192" s="122">
        <v>33.380001</v>
      </c>
      <c r="E2192" s="122">
        <v>34.299999</v>
      </c>
      <c r="F2192" s="122">
        <v>32.640804000000003</v>
      </c>
      <c r="G2192" s="197">
        <v>152600</v>
      </c>
      <c r="H2192" s="198">
        <f>IF(AND(E2191&gt;=H2191,E2192&gt;=E2191),E2191*(1+'Trading Model'!$E$13),IF(AND(E2192&lt;E2191,E2191&gt;=H2191),E2192*(1+'Trading Model'!$E$13),H2191))</f>
        <v>39.921000000000006</v>
      </c>
      <c r="I2192" s="198">
        <f>IF(K2192&gt;0,E2192*(1-'Trading Model'!E2202),IF(E2192&lt;I2191,I2191*(1-'Trading Model'!$E$14),I2191))</f>
        <v>31.342200499999993</v>
      </c>
      <c r="J2192" s="198">
        <f t="shared" si="279"/>
        <v>0</v>
      </c>
      <c r="K2192" s="198">
        <f t="shared" si="274"/>
        <v>0</v>
      </c>
      <c r="L2192" s="198">
        <f>COUNTIF(J2192:K2192,"&lt;&gt;0")*-'Trading Model'!$E$15</f>
        <v>0</v>
      </c>
      <c r="M2192" s="198">
        <f t="shared" si="272"/>
        <v>0</v>
      </c>
      <c r="N2192" s="75">
        <f t="shared" si="275"/>
        <v>57</v>
      </c>
      <c r="O2192" s="202">
        <f t="shared" si="276"/>
        <v>0</v>
      </c>
      <c r="P2192" s="199">
        <f t="shared" si="273"/>
        <v>0</v>
      </c>
      <c r="Q2192" s="203">
        <f t="shared" si="277"/>
        <v>-8.0999999999985839</v>
      </c>
      <c r="R2192" s="201">
        <f>E2192/B2188-1</f>
        <v>2.5411000735097167E-2</v>
      </c>
      <c r="S2192" s="201">
        <f t="shared" si="278"/>
        <v>1.4792899845943674E-2</v>
      </c>
    </row>
    <row r="2193" spans="1:19">
      <c r="A2193" s="196">
        <v>43151</v>
      </c>
      <c r="B2193" s="122">
        <v>34.299999</v>
      </c>
      <c r="C2193" s="122">
        <v>35.220001000000003</v>
      </c>
      <c r="D2193" s="122">
        <v>33.939999</v>
      </c>
      <c r="E2193" s="122">
        <v>34.279998999999997</v>
      </c>
      <c r="F2193" s="122">
        <v>32.621772999999997</v>
      </c>
      <c r="G2193" s="197">
        <v>195500</v>
      </c>
      <c r="H2193" s="198">
        <f>IF(AND(E2192&gt;=H2192,E2193&gt;=E2192),E2192*(1+'Trading Model'!$E$13),IF(AND(E2193&lt;E2192,E2192&gt;=H2192),E2193*(1+'Trading Model'!$E$13),H2192))</f>
        <v>39.921000000000006</v>
      </c>
      <c r="I2193" s="198">
        <f>IF(K2193&gt;0,E2193*(1-'Trading Model'!E2203),IF(E2193&lt;I2192,I2192*(1-'Trading Model'!$E$14),I2192))</f>
        <v>31.342200499999993</v>
      </c>
      <c r="J2193" s="198">
        <f t="shared" si="279"/>
        <v>0</v>
      </c>
      <c r="K2193" s="198">
        <f t="shared" si="274"/>
        <v>0</v>
      </c>
      <c r="L2193" s="198">
        <f>COUNTIF(J2193:K2193,"&lt;&gt;0")*-'Trading Model'!$E$15</f>
        <v>0</v>
      </c>
      <c r="M2193" s="198">
        <f t="shared" si="272"/>
        <v>0</v>
      </c>
      <c r="N2193" s="75">
        <f t="shared" si="275"/>
        <v>57</v>
      </c>
      <c r="O2193" s="202">
        <f t="shared" si="276"/>
        <v>0</v>
      </c>
      <c r="P2193" s="199">
        <f t="shared" si="273"/>
        <v>0</v>
      </c>
      <c r="Q2193" s="203">
        <f t="shared" si="277"/>
        <v>-8.1999999999985835</v>
      </c>
      <c r="R2193" s="160" t="s">
        <v>55</v>
      </c>
      <c r="S2193" s="201">
        <f t="shared" si="278"/>
        <v>-5.830903960085676E-4</v>
      </c>
    </row>
    <row r="2194" spans="1:19">
      <c r="A2194" s="196">
        <v>43152</v>
      </c>
      <c r="B2194" s="122">
        <v>34.310001</v>
      </c>
      <c r="C2194" s="122">
        <v>34.5</v>
      </c>
      <c r="D2194" s="122">
        <v>33.709999000000003</v>
      </c>
      <c r="E2194" s="122">
        <v>34.090000000000003</v>
      </c>
      <c r="F2194" s="122">
        <v>32.440964000000001</v>
      </c>
      <c r="G2194" s="197">
        <v>234100</v>
      </c>
      <c r="H2194" s="198">
        <f>IF(AND(E2193&gt;=H2193,E2194&gt;=E2193),E2193*(1+'Trading Model'!$E$13),IF(AND(E2194&lt;E2193,E2193&gt;=H2193),E2194*(1+'Trading Model'!$E$13),H2193))</f>
        <v>39.921000000000006</v>
      </c>
      <c r="I2194" s="198">
        <f>IF(K2194&gt;0,E2194*(1-'Trading Model'!E2204),IF(E2194&lt;I2193,I2193*(1-'Trading Model'!$E$14),I2193))</f>
        <v>31.342200499999993</v>
      </c>
      <c r="J2194" s="198">
        <f t="shared" si="279"/>
        <v>0</v>
      </c>
      <c r="K2194" s="198">
        <f t="shared" si="274"/>
        <v>0</v>
      </c>
      <c r="L2194" s="198">
        <f>COUNTIF(J2194:K2194,"&lt;&gt;0")*-'Trading Model'!$E$15</f>
        <v>0</v>
      </c>
      <c r="M2194" s="198">
        <f t="shared" si="272"/>
        <v>0</v>
      </c>
      <c r="N2194" s="75">
        <f t="shared" si="275"/>
        <v>57</v>
      </c>
      <c r="O2194" s="202">
        <f t="shared" si="276"/>
        <v>0</v>
      </c>
      <c r="P2194" s="199">
        <f t="shared" si="273"/>
        <v>0</v>
      </c>
      <c r="Q2194" s="203">
        <f t="shared" si="277"/>
        <v>-8.2999999999985832</v>
      </c>
      <c r="R2194" s="203" t="s">
        <v>55</v>
      </c>
      <c r="S2194" s="201">
        <f t="shared" si="278"/>
        <v>-5.5425614218947983E-3</v>
      </c>
    </row>
    <row r="2195" spans="1:19">
      <c r="A2195" s="196">
        <v>43153</v>
      </c>
      <c r="B2195" s="122">
        <v>33.659999999999997</v>
      </c>
      <c r="C2195" s="122">
        <v>33.900002000000001</v>
      </c>
      <c r="D2195" s="122">
        <v>32.650002000000001</v>
      </c>
      <c r="E2195" s="122">
        <v>33.25</v>
      </c>
      <c r="F2195" s="122">
        <v>31.641596</v>
      </c>
      <c r="G2195" s="197">
        <v>196700</v>
      </c>
      <c r="H2195" s="198">
        <f>IF(AND(E2194&gt;=H2194,E2195&gt;=E2194),E2194*(1+'Trading Model'!$E$13),IF(AND(E2195&lt;E2194,E2194&gt;=H2194),E2195*(1+'Trading Model'!$E$13),H2194))</f>
        <v>39.921000000000006</v>
      </c>
      <c r="I2195" s="198">
        <f>IF(K2195&gt;0,E2195*(1-'Trading Model'!E2205),IF(E2195&lt;I2194,I2194*(1-'Trading Model'!$E$14),I2194))</f>
        <v>31.342200499999993</v>
      </c>
      <c r="J2195" s="198">
        <f t="shared" si="279"/>
        <v>0</v>
      </c>
      <c r="K2195" s="198">
        <f t="shared" si="274"/>
        <v>0</v>
      </c>
      <c r="L2195" s="198">
        <f>COUNTIF(J2195:K2195,"&lt;&gt;0")*-'Trading Model'!$E$15</f>
        <v>0</v>
      </c>
      <c r="M2195" s="198">
        <f t="shared" si="272"/>
        <v>0</v>
      </c>
      <c r="N2195" s="75">
        <f t="shared" si="275"/>
        <v>57</v>
      </c>
      <c r="O2195" s="202">
        <f t="shared" si="276"/>
        <v>0</v>
      </c>
      <c r="P2195" s="199">
        <f t="shared" si="273"/>
        <v>0</v>
      </c>
      <c r="Q2195" s="203">
        <f t="shared" si="277"/>
        <v>-8.3999999999985828</v>
      </c>
      <c r="R2195" s="203" t="s">
        <v>55</v>
      </c>
      <c r="S2195" s="201">
        <f t="shared" si="278"/>
        <v>-2.4640657084189055E-2</v>
      </c>
    </row>
    <row r="2196" spans="1:19">
      <c r="A2196" s="196">
        <v>43154</v>
      </c>
      <c r="B2196" s="122">
        <v>33.520000000000003</v>
      </c>
      <c r="C2196" s="122">
        <v>33.599997999999999</v>
      </c>
      <c r="D2196" s="122">
        <v>33</v>
      </c>
      <c r="E2196" s="122">
        <v>33.450001</v>
      </c>
      <c r="F2196" s="122">
        <v>31.831921000000001</v>
      </c>
      <c r="G2196" s="197">
        <v>242300</v>
      </c>
      <c r="H2196" s="198">
        <f>IF(AND(E2195&gt;=H2195,E2196&gt;=E2195),E2195*(1+'Trading Model'!$E$13),IF(AND(E2196&lt;E2195,E2195&gt;=H2195),E2196*(1+'Trading Model'!$E$13),H2195))</f>
        <v>39.921000000000006</v>
      </c>
      <c r="I2196" s="198">
        <f>IF(K2196&gt;0,E2196*(1-'Trading Model'!E2206),IF(E2196&lt;I2195,I2195*(1-'Trading Model'!$E$14),I2195))</f>
        <v>31.342200499999993</v>
      </c>
      <c r="J2196" s="198">
        <f t="shared" si="279"/>
        <v>0</v>
      </c>
      <c r="K2196" s="198">
        <f t="shared" si="274"/>
        <v>0</v>
      </c>
      <c r="L2196" s="198">
        <f>COUNTIF(J2196:K2196,"&lt;&gt;0")*-'Trading Model'!$E$15</f>
        <v>0</v>
      </c>
      <c r="M2196" s="198">
        <f t="shared" si="272"/>
        <v>0</v>
      </c>
      <c r="N2196" s="75">
        <f t="shared" si="275"/>
        <v>57</v>
      </c>
      <c r="O2196" s="202">
        <f t="shared" si="276"/>
        <v>0</v>
      </c>
      <c r="P2196" s="199">
        <f t="shared" si="273"/>
        <v>0</v>
      </c>
      <c r="Q2196" s="203">
        <f t="shared" si="277"/>
        <v>-8.3999999999985828</v>
      </c>
      <c r="R2196" s="203" t="s">
        <v>55</v>
      </c>
      <c r="S2196" s="201">
        <f t="shared" si="278"/>
        <v>6.0150676691730354E-3</v>
      </c>
    </row>
    <row r="2197" spans="1:19">
      <c r="A2197" s="196">
        <v>43157</v>
      </c>
      <c r="B2197" s="122">
        <v>33.619999</v>
      </c>
      <c r="C2197" s="122">
        <v>33.909999999999997</v>
      </c>
      <c r="D2197" s="122">
        <v>33.25</v>
      </c>
      <c r="E2197" s="122">
        <v>33.880001</v>
      </c>
      <c r="F2197" s="122">
        <v>32.241123000000002</v>
      </c>
      <c r="G2197" s="197">
        <v>195200</v>
      </c>
      <c r="H2197" s="198">
        <f>IF(AND(E2196&gt;=H2196,E2197&gt;=E2196),E2196*(1+'Trading Model'!$E$13),IF(AND(E2197&lt;E2196,E2196&gt;=H2196),E2197*(1+'Trading Model'!$E$13),H2196))</f>
        <v>39.921000000000006</v>
      </c>
      <c r="I2197" s="198">
        <f>IF(K2197&gt;0,E2197*(1-'Trading Model'!E2207),IF(E2197&lt;I2196,I2196*(1-'Trading Model'!$E$14),I2196))</f>
        <v>31.342200499999993</v>
      </c>
      <c r="J2197" s="198">
        <f t="shared" si="279"/>
        <v>0</v>
      </c>
      <c r="K2197" s="198">
        <f t="shared" si="274"/>
        <v>0</v>
      </c>
      <c r="L2197" s="198">
        <f>COUNTIF(J2197:K2197,"&lt;&gt;0")*-'Trading Model'!$E$15</f>
        <v>0</v>
      </c>
      <c r="M2197" s="198">
        <f t="shared" si="272"/>
        <v>0</v>
      </c>
      <c r="N2197" s="75">
        <f t="shared" si="275"/>
        <v>57</v>
      </c>
      <c r="O2197" s="202">
        <f t="shared" si="276"/>
        <v>0</v>
      </c>
      <c r="P2197" s="199">
        <f t="shared" si="273"/>
        <v>0</v>
      </c>
      <c r="Q2197" s="203">
        <f t="shared" si="277"/>
        <v>-8.3999999999985828</v>
      </c>
      <c r="R2197" s="201">
        <f>E2197/B2193-1</f>
        <v>-1.2244840007138214E-2</v>
      </c>
      <c r="S2197" s="201">
        <f t="shared" si="278"/>
        <v>1.2855007089536352E-2</v>
      </c>
    </row>
    <row r="2198" spans="1:19">
      <c r="A2198" s="196">
        <v>43158</v>
      </c>
      <c r="B2198" s="122">
        <v>33.93</v>
      </c>
      <c r="C2198" s="122">
        <v>34.279998999999997</v>
      </c>
      <c r="D2198" s="122">
        <v>33.380001</v>
      </c>
      <c r="E2198" s="122">
        <v>33.619999</v>
      </c>
      <c r="F2198" s="122">
        <v>31.9937</v>
      </c>
      <c r="G2198" s="197">
        <v>207800</v>
      </c>
      <c r="H2198" s="198">
        <f>IF(AND(E2197&gt;=H2197,E2198&gt;=E2197),E2197*(1+'Trading Model'!$E$13),IF(AND(E2198&lt;E2197,E2197&gt;=H2197),E2198*(1+'Trading Model'!$E$13),H2197))</f>
        <v>39.921000000000006</v>
      </c>
      <c r="I2198" s="198">
        <f>IF(K2198&gt;0,E2198*(1-'Trading Model'!E2208),IF(E2198&lt;I2197,I2197*(1-'Trading Model'!$E$14),I2197))</f>
        <v>31.342200499999993</v>
      </c>
      <c r="J2198" s="198">
        <f t="shared" si="279"/>
        <v>0</v>
      </c>
      <c r="K2198" s="198">
        <f t="shared" si="274"/>
        <v>0</v>
      </c>
      <c r="L2198" s="198">
        <f>COUNTIF(J2198:K2198,"&lt;&gt;0")*-'Trading Model'!$E$15</f>
        <v>0</v>
      </c>
      <c r="M2198" s="198">
        <f t="shared" si="272"/>
        <v>0</v>
      </c>
      <c r="N2198" s="75">
        <f t="shared" si="275"/>
        <v>57</v>
      </c>
      <c r="O2198" s="202">
        <f t="shared" si="276"/>
        <v>0</v>
      </c>
      <c r="P2198" s="199">
        <f t="shared" si="273"/>
        <v>0</v>
      </c>
      <c r="Q2198" s="203">
        <f t="shared" si="277"/>
        <v>-8.4999999999985825</v>
      </c>
      <c r="R2198" s="160" t="s">
        <v>55</v>
      </c>
      <c r="S2198" s="201">
        <f t="shared" si="278"/>
        <v>-7.6742028431463494E-3</v>
      </c>
    </row>
    <row r="2199" spans="1:19">
      <c r="A2199" s="196">
        <v>43159</v>
      </c>
      <c r="B2199" s="122">
        <v>33.740001999999997</v>
      </c>
      <c r="C2199" s="122">
        <v>33.990001999999997</v>
      </c>
      <c r="D2199" s="122">
        <v>32.880001</v>
      </c>
      <c r="E2199" s="122">
        <v>33.310001</v>
      </c>
      <c r="F2199" s="122">
        <v>31.698694</v>
      </c>
      <c r="G2199" s="197">
        <v>465200</v>
      </c>
      <c r="H2199" s="198">
        <f>IF(AND(E2198&gt;=H2198,E2199&gt;=E2198),E2198*(1+'Trading Model'!$E$13),IF(AND(E2199&lt;E2198,E2198&gt;=H2198),E2199*(1+'Trading Model'!$E$13),H2198))</f>
        <v>39.921000000000006</v>
      </c>
      <c r="I2199" s="198">
        <f>IF(K2199&gt;0,E2199*(1-'Trading Model'!E2209),IF(E2199&lt;I2198,I2198*(1-'Trading Model'!$E$14),I2198))</f>
        <v>31.342200499999993</v>
      </c>
      <c r="J2199" s="198">
        <f t="shared" si="279"/>
        <v>0</v>
      </c>
      <c r="K2199" s="198">
        <f t="shared" si="274"/>
        <v>0</v>
      </c>
      <c r="L2199" s="198">
        <f>COUNTIF(J2199:K2199,"&lt;&gt;0")*-'Trading Model'!$E$15</f>
        <v>0</v>
      </c>
      <c r="M2199" s="198">
        <f t="shared" si="272"/>
        <v>0</v>
      </c>
      <c r="N2199" s="75">
        <f t="shared" si="275"/>
        <v>57</v>
      </c>
      <c r="O2199" s="202">
        <f t="shared" si="276"/>
        <v>0</v>
      </c>
      <c r="P2199" s="199">
        <f t="shared" si="273"/>
        <v>0</v>
      </c>
      <c r="Q2199" s="203">
        <f t="shared" si="277"/>
        <v>-8.5999999999985821</v>
      </c>
      <c r="R2199" s="203" t="s">
        <v>55</v>
      </c>
      <c r="S2199" s="201">
        <f t="shared" si="278"/>
        <v>-9.2206427489780474E-3</v>
      </c>
    </row>
    <row r="2200" spans="1:19">
      <c r="A2200" s="196">
        <v>43160</v>
      </c>
      <c r="B2200" s="122">
        <v>33.330002</v>
      </c>
      <c r="C2200" s="122">
        <v>33.520000000000003</v>
      </c>
      <c r="D2200" s="122">
        <v>32.200001</v>
      </c>
      <c r="E2200" s="122">
        <v>32.57</v>
      </c>
      <c r="F2200" s="122">
        <v>30.994489999999999</v>
      </c>
      <c r="G2200" s="197">
        <v>179500</v>
      </c>
      <c r="H2200" s="198">
        <f>IF(AND(E2199&gt;=H2199,E2200&gt;=E2199),E2199*(1+'Trading Model'!$E$13),IF(AND(E2200&lt;E2199,E2199&gt;=H2199),E2200*(1+'Trading Model'!$E$13),H2199))</f>
        <v>39.921000000000006</v>
      </c>
      <c r="I2200" s="198">
        <f>IF(K2200&gt;0,E2200*(1-'Trading Model'!E2210),IF(E2200&lt;I2199,I2199*(1-'Trading Model'!$E$14),I2199))</f>
        <v>31.342200499999993</v>
      </c>
      <c r="J2200" s="198">
        <f t="shared" si="279"/>
        <v>0</v>
      </c>
      <c r="K2200" s="198">
        <f t="shared" si="274"/>
        <v>0</v>
      </c>
      <c r="L2200" s="198">
        <f>COUNTIF(J2200:K2200,"&lt;&gt;0")*-'Trading Model'!$E$15</f>
        <v>0</v>
      </c>
      <c r="M2200" s="198">
        <f t="shared" si="272"/>
        <v>0</v>
      </c>
      <c r="N2200" s="75">
        <f t="shared" si="275"/>
        <v>57</v>
      </c>
      <c r="O2200" s="202">
        <f t="shared" si="276"/>
        <v>0</v>
      </c>
      <c r="P2200" s="199">
        <f t="shared" si="273"/>
        <v>0</v>
      </c>
      <c r="Q2200" s="203">
        <f t="shared" si="277"/>
        <v>-8.6999999999985818</v>
      </c>
      <c r="R2200" s="203" t="s">
        <v>55</v>
      </c>
      <c r="S2200" s="201">
        <f t="shared" si="278"/>
        <v>-2.2215580239700383E-2</v>
      </c>
    </row>
    <row r="2201" spans="1:19">
      <c r="A2201" s="196">
        <v>43161</v>
      </c>
      <c r="B2201" s="122">
        <v>32.189999</v>
      </c>
      <c r="C2201" s="122">
        <v>32.380001</v>
      </c>
      <c r="D2201" s="122">
        <v>31.1</v>
      </c>
      <c r="E2201" s="122">
        <v>31.43</v>
      </c>
      <c r="F2201" s="122">
        <v>29.909635999999999</v>
      </c>
      <c r="G2201" s="197">
        <v>423100</v>
      </c>
      <c r="H2201" s="198">
        <f>IF(AND(E2200&gt;=H2200,E2201&gt;=E2200),E2200*(1+'Trading Model'!$E$13),IF(AND(E2201&lt;E2200,E2200&gt;=H2200),E2201*(1+'Trading Model'!$E$13),H2200))</f>
        <v>39.921000000000006</v>
      </c>
      <c r="I2201" s="198">
        <f>IF(K2201&gt;0,E2201*(1-'Trading Model'!E2211),IF(E2201&lt;I2200,I2200*(1-'Trading Model'!$E$14),I2200))</f>
        <v>31.342200499999993</v>
      </c>
      <c r="J2201" s="198">
        <f t="shared" si="279"/>
        <v>0</v>
      </c>
      <c r="K2201" s="198">
        <f t="shared" si="274"/>
        <v>0</v>
      </c>
      <c r="L2201" s="198">
        <f>COUNTIF(J2201:K2201,"&lt;&gt;0")*-'Trading Model'!$E$15</f>
        <v>0</v>
      </c>
      <c r="M2201" s="198">
        <f t="shared" si="272"/>
        <v>0</v>
      </c>
      <c r="N2201" s="75">
        <f t="shared" si="275"/>
        <v>57</v>
      </c>
      <c r="O2201" s="202">
        <f t="shared" si="276"/>
        <v>0</v>
      </c>
      <c r="P2201" s="199">
        <f t="shared" si="273"/>
        <v>0</v>
      </c>
      <c r="Q2201" s="203">
        <f t="shared" si="277"/>
        <v>-8.7999999999985814</v>
      </c>
      <c r="R2201" s="203" t="s">
        <v>55</v>
      </c>
      <c r="S2201" s="201">
        <f t="shared" si="278"/>
        <v>-3.5001535155050667E-2</v>
      </c>
    </row>
    <row r="2202" spans="1:19">
      <c r="A2202" s="196">
        <v>43164</v>
      </c>
      <c r="B2202" s="122">
        <v>30.940000999999999</v>
      </c>
      <c r="C2202" s="122">
        <v>31.620000999999998</v>
      </c>
      <c r="D2202" s="122">
        <v>30.76</v>
      </c>
      <c r="E2202" s="122">
        <v>31.190000999999999</v>
      </c>
      <c r="F2202" s="122">
        <v>29.681246000000002</v>
      </c>
      <c r="G2202" s="197">
        <v>396100</v>
      </c>
      <c r="H2202" s="198">
        <f>IF(AND(E2201&gt;=H2201,E2202&gt;=E2201),E2201*(1+'Trading Model'!$E$13),IF(AND(E2202&lt;E2201,E2201&gt;=H2201),E2202*(1+'Trading Model'!$E$13),H2201))</f>
        <v>39.921000000000006</v>
      </c>
      <c r="I2202" s="198">
        <f>IF(K2202&gt;0,E2202*(1-'Trading Model'!E2212),IF(E2202&lt;I2201,I2201*(1-'Trading Model'!$E$14),I2201))</f>
        <v>29.775090474999992</v>
      </c>
      <c r="J2202" s="198">
        <f t="shared" si="279"/>
        <v>-31.190000999999999</v>
      </c>
      <c r="K2202" s="198">
        <f t="shared" si="274"/>
        <v>0</v>
      </c>
      <c r="L2202" s="198">
        <f>COUNTIF(J2202:K2202,"&lt;&gt;0")*-'Trading Model'!$E$15</f>
        <v>-0.1</v>
      </c>
      <c r="M2202" s="198">
        <f t="shared" si="272"/>
        <v>-31.290001</v>
      </c>
      <c r="N2202" s="75">
        <f t="shared" si="275"/>
        <v>58</v>
      </c>
      <c r="O2202" s="202">
        <f t="shared" si="276"/>
        <v>0</v>
      </c>
      <c r="P2202" s="199">
        <f t="shared" si="273"/>
        <v>0</v>
      </c>
      <c r="Q2202" s="203">
        <f t="shared" si="277"/>
        <v>-8.899999999998581</v>
      </c>
      <c r="R2202" s="201">
        <f>E2202/B2198-1</f>
        <v>-8.0754465075154713E-2</v>
      </c>
      <c r="S2202" s="201">
        <f t="shared" si="278"/>
        <v>-7.6359847279668935E-3</v>
      </c>
    </row>
    <row r="2203" spans="1:19">
      <c r="A2203" s="196">
        <v>43165</v>
      </c>
      <c r="B2203" s="122">
        <v>31.059999000000001</v>
      </c>
      <c r="C2203" s="122">
        <v>32.080002</v>
      </c>
      <c r="D2203" s="122">
        <v>31.059999000000001</v>
      </c>
      <c r="E2203" s="122">
        <v>31.68</v>
      </c>
      <c r="F2203" s="122">
        <v>30.147542999999999</v>
      </c>
      <c r="G2203" s="197">
        <v>234800</v>
      </c>
      <c r="H2203" s="198">
        <f>IF(AND(E2202&gt;=H2202,E2203&gt;=E2202),E2202*(1+'Trading Model'!$E$13),IF(AND(E2203&lt;E2202,E2202&gt;=H2202),E2203*(1+'Trading Model'!$E$13),H2202))</f>
        <v>39.921000000000006</v>
      </c>
      <c r="I2203" s="198">
        <f>IF(K2203&gt;0,E2203*(1-'Trading Model'!E2213),IF(E2203&lt;I2202,I2202*(1-'Trading Model'!$E$14),I2202))</f>
        <v>29.775090474999992</v>
      </c>
      <c r="J2203" s="198">
        <f t="shared" si="279"/>
        <v>0</v>
      </c>
      <c r="K2203" s="198">
        <f t="shared" si="274"/>
        <v>0</v>
      </c>
      <c r="L2203" s="198">
        <f>COUNTIF(J2203:K2203,"&lt;&gt;0")*-'Trading Model'!$E$15</f>
        <v>0</v>
      </c>
      <c r="M2203" s="198">
        <f t="shared" si="272"/>
        <v>0</v>
      </c>
      <c r="N2203" s="75">
        <f t="shared" si="275"/>
        <v>58</v>
      </c>
      <c r="O2203" s="202">
        <f t="shared" si="276"/>
        <v>0</v>
      </c>
      <c r="P2203" s="199">
        <f t="shared" si="273"/>
        <v>0</v>
      </c>
      <c r="Q2203" s="203">
        <f t="shared" si="277"/>
        <v>-8.899999999998581</v>
      </c>
      <c r="R2203" s="160" t="s">
        <v>55</v>
      </c>
      <c r="S2203" s="201">
        <f t="shared" si="278"/>
        <v>1.5710130948697332E-2</v>
      </c>
    </row>
    <row r="2204" spans="1:19">
      <c r="A2204" s="196">
        <v>43166</v>
      </c>
      <c r="B2204" s="122">
        <v>31.5</v>
      </c>
      <c r="C2204" s="122">
        <v>33.509998000000003</v>
      </c>
      <c r="D2204" s="122">
        <v>31.5</v>
      </c>
      <c r="E2204" s="122">
        <v>33.330002</v>
      </c>
      <c r="F2204" s="122">
        <v>31.717731000000001</v>
      </c>
      <c r="G2204" s="197">
        <v>216500</v>
      </c>
      <c r="H2204" s="198">
        <f>IF(AND(E2203&gt;=H2203,E2204&gt;=E2203),E2203*(1+'Trading Model'!$E$13),IF(AND(E2204&lt;E2203,E2203&gt;=H2203),E2204*(1+'Trading Model'!$E$13),H2203))</f>
        <v>39.921000000000006</v>
      </c>
      <c r="I2204" s="198">
        <f>IF(K2204&gt;0,E2204*(1-'Trading Model'!E2214),IF(E2204&lt;I2203,I2203*(1-'Trading Model'!$E$14),I2203))</f>
        <v>29.775090474999992</v>
      </c>
      <c r="J2204" s="198">
        <f t="shared" si="279"/>
        <v>0</v>
      </c>
      <c r="K2204" s="198">
        <f t="shared" si="274"/>
        <v>0</v>
      </c>
      <c r="L2204" s="198">
        <f>COUNTIF(J2204:K2204,"&lt;&gt;0")*-'Trading Model'!$E$15</f>
        <v>0</v>
      </c>
      <c r="M2204" s="198">
        <f t="shared" si="272"/>
        <v>0</v>
      </c>
      <c r="N2204" s="75">
        <f t="shared" si="275"/>
        <v>58</v>
      </c>
      <c r="O2204" s="202">
        <f t="shared" si="276"/>
        <v>0</v>
      </c>
      <c r="P2204" s="199">
        <f t="shared" si="273"/>
        <v>0</v>
      </c>
      <c r="Q2204" s="203">
        <f t="shared" si="277"/>
        <v>-8.899999999998581</v>
      </c>
      <c r="R2204" s="203" t="s">
        <v>55</v>
      </c>
      <c r="S2204" s="201">
        <f t="shared" si="278"/>
        <v>5.2083396464646547E-2</v>
      </c>
    </row>
    <row r="2205" spans="1:19">
      <c r="A2205" s="196">
        <v>43167</v>
      </c>
      <c r="B2205" s="122">
        <v>33.889999000000003</v>
      </c>
      <c r="C2205" s="122">
        <v>34.409999999999997</v>
      </c>
      <c r="D2205" s="122">
        <v>33.889999000000003</v>
      </c>
      <c r="E2205" s="122">
        <v>34.259998000000003</v>
      </c>
      <c r="F2205" s="122">
        <v>32.602741000000002</v>
      </c>
      <c r="G2205" s="197">
        <v>327000</v>
      </c>
      <c r="H2205" s="198">
        <f>IF(AND(E2204&gt;=H2204,E2205&gt;=E2204),E2204*(1+'Trading Model'!$E$13),IF(AND(E2205&lt;E2204,E2204&gt;=H2204),E2205*(1+'Trading Model'!$E$13),H2204))</f>
        <v>39.921000000000006</v>
      </c>
      <c r="I2205" s="198">
        <f>IF(K2205&gt;0,E2205*(1-'Trading Model'!E2215),IF(E2205&lt;I2204,I2204*(1-'Trading Model'!$E$14),I2204))</f>
        <v>29.775090474999992</v>
      </c>
      <c r="J2205" s="198">
        <f t="shared" si="279"/>
        <v>0</v>
      </c>
      <c r="K2205" s="198">
        <f t="shared" si="274"/>
        <v>0</v>
      </c>
      <c r="L2205" s="198">
        <f>COUNTIF(J2205:K2205,"&lt;&gt;0")*-'Trading Model'!$E$15</f>
        <v>0</v>
      </c>
      <c r="M2205" s="198">
        <f t="shared" si="272"/>
        <v>0</v>
      </c>
      <c r="N2205" s="75">
        <f t="shared" si="275"/>
        <v>58</v>
      </c>
      <c r="O2205" s="202">
        <f t="shared" si="276"/>
        <v>0</v>
      </c>
      <c r="P2205" s="199">
        <f t="shared" si="273"/>
        <v>0</v>
      </c>
      <c r="Q2205" s="203">
        <f t="shared" si="277"/>
        <v>-8.899999999998581</v>
      </c>
      <c r="R2205" s="203" t="s">
        <v>55</v>
      </c>
      <c r="S2205" s="201">
        <f t="shared" si="278"/>
        <v>2.7902668592699298E-2</v>
      </c>
    </row>
    <row r="2206" spans="1:19">
      <c r="A2206" s="196">
        <v>43168</v>
      </c>
      <c r="B2206" s="122">
        <v>34.590000000000003</v>
      </c>
      <c r="C2206" s="122">
        <v>35.189999</v>
      </c>
      <c r="D2206" s="122">
        <v>34.020000000000003</v>
      </c>
      <c r="E2206" s="122">
        <v>35.130001</v>
      </c>
      <c r="F2206" s="122">
        <v>33.430655999999999</v>
      </c>
      <c r="G2206" s="197">
        <v>178700</v>
      </c>
      <c r="H2206" s="198">
        <f>IF(AND(E2205&gt;=H2205,E2206&gt;=E2205),E2205*(1+'Trading Model'!$E$13),IF(AND(E2206&lt;E2205,E2205&gt;=H2205),E2206*(1+'Trading Model'!$E$13),H2205))</f>
        <v>39.921000000000006</v>
      </c>
      <c r="I2206" s="198">
        <f>IF(K2206&gt;0,E2206*(1-'Trading Model'!E2216),IF(E2206&lt;I2205,I2205*(1-'Trading Model'!$E$14),I2205))</f>
        <v>29.775090474999992</v>
      </c>
      <c r="J2206" s="198">
        <f t="shared" si="279"/>
        <v>0</v>
      </c>
      <c r="K2206" s="198">
        <f t="shared" si="274"/>
        <v>0</v>
      </c>
      <c r="L2206" s="198">
        <f>COUNTIF(J2206:K2206,"&lt;&gt;0")*-'Trading Model'!$E$15</f>
        <v>0</v>
      </c>
      <c r="M2206" s="198">
        <f t="shared" si="272"/>
        <v>0</v>
      </c>
      <c r="N2206" s="75">
        <f t="shared" si="275"/>
        <v>58</v>
      </c>
      <c r="O2206" s="202">
        <f t="shared" si="276"/>
        <v>0</v>
      </c>
      <c r="P2206" s="199">
        <f t="shared" si="273"/>
        <v>0</v>
      </c>
      <c r="Q2206" s="203">
        <f t="shared" si="277"/>
        <v>-8.899999999998581</v>
      </c>
      <c r="R2206" s="203" t="s">
        <v>55</v>
      </c>
      <c r="S2206" s="201">
        <f t="shared" si="278"/>
        <v>2.539413458226103E-2</v>
      </c>
    </row>
    <row r="2207" spans="1:19">
      <c r="A2207" s="196">
        <v>43171</v>
      </c>
      <c r="B2207" s="122">
        <v>35</v>
      </c>
      <c r="C2207" s="122">
        <v>35.479999999999997</v>
      </c>
      <c r="D2207" s="122">
        <v>34.25</v>
      </c>
      <c r="E2207" s="122">
        <v>34.580002</v>
      </c>
      <c r="F2207" s="122">
        <v>32.907265000000002</v>
      </c>
      <c r="G2207" s="197">
        <v>206300</v>
      </c>
      <c r="H2207" s="198">
        <f>IF(AND(E2206&gt;=H2206,E2207&gt;=E2206),E2206*(1+'Trading Model'!$E$13),IF(AND(E2207&lt;E2206,E2206&gt;=H2206),E2207*(1+'Trading Model'!$E$13),H2206))</f>
        <v>39.921000000000006</v>
      </c>
      <c r="I2207" s="198">
        <f>IF(K2207&gt;0,E2207*(1-'Trading Model'!E2217),IF(E2207&lt;I2206,I2206*(1-'Trading Model'!$E$14),I2206))</f>
        <v>29.775090474999992</v>
      </c>
      <c r="J2207" s="198">
        <f t="shared" si="279"/>
        <v>0</v>
      </c>
      <c r="K2207" s="198">
        <f t="shared" si="274"/>
        <v>0</v>
      </c>
      <c r="L2207" s="198">
        <f>COUNTIF(J2207:K2207,"&lt;&gt;0")*-'Trading Model'!$E$15</f>
        <v>0</v>
      </c>
      <c r="M2207" s="198">
        <f t="shared" si="272"/>
        <v>0</v>
      </c>
      <c r="N2207" s="75">
        <f t="shared" si="275"/>
        <v>58</v>
      </c>
      <c r="O2207" s="202">
        <f t="shared" si="276"/>
        <v>0</v>
      </c>
      <c r="P2207" s="199">
        <f t="shared" si="273"/>
        <v>0</v>
      </c>
      <c r="Q2207" s="203">
        <f t="shared" si="277"/>
        <v>-8.9999999999985807</v>
      </c>
      <c r="R2207" s="201">
        <f>E2207/B2203-1</f>
        <v>0.11332914080261225</v>
      </c>
      <c r="S2207" s="201">
        <f t="shared" si="278"/>
        <v>-1.5656105446737678E-2</v>
      </c>
    </row>
    <row r="2208" spans="1:19">
      <c r="A2208" s="196">
        <v>43172</v>
      </c>
      <c r="B2208" s="122">
        <v>34.580002</v>
      </c>
      <c r="C2208" s="122">
        <v>34.900002000000001</v>
      </c>
      <c r="D2208" s="122">
        <v>33.299999</v>
      </c>
      <c r="E2208" s="122">
        <v>33.590000000000003</v>
      </c>
      <c r="F2208" s="122">
        <v>31.965150999999999</v>
      </c>
      <c r="G2208" s="197">
        <v>256600</v>
      </c>
      <c r="H2208" s="198">
        <f>IF(AND(E2207&gt;=H2207,E2208&gt;=E2207),E2207*(1+'Trading Model'!$E$13),IF(AND(E2208&lt;E2207,E2207&gt;=H2207),E2208*(1+'Trading Model'!$E$13),H2207))</f>
        <v>39.921000000000006</v>
      </c>
      <c r="I2208" s="198">
        <f>IF(K2208&gt;0,E2208*(1-'Trading Model'!E2218),IF(E2208&lt;I2207,I2207*(1-'Trading Model'!$E$14),I2207))</f>
        <v>29.775090474999992</v>
      </c>
      <c r="J2208" s="198">
        <f t="shared" si="279"/>
        <v>0</v>
      </c>
      <c r="K2208" s="198">
        <f t="shared" si="274"/>
        <v>0</v>
      </c>
      <c r="L2208" s="198">
        <f>COUNTIF(J2208:K2208,"&lt;&gt;0")*-'Trading Model'!$E$15</f>
        <v>0</v>
      </c>
      <c r="M2208" s="198">
        <f t="shared" si="272"/>
        <v>0</v>
      </c>
      <c r="N2208" s="75">
        <f t="shared" si="275"/>
        <v>58</v>
      </c>
      <c r="O2208" s="202">
        <f t="shared" si="276"/>
        <v>0</v>
      </c>
      <c r="P2208" s="199">
        <f t="shared" si="273"/>
        <v>0</v>
      </c>
      <c r="Q2208" s="203">
        <f t="shared" si="277"/>
        <v>-9.0999999999985803</v>
      </c>
      <c r="R2208" s="160" t="s">
        <v>55</v>
      </c>
      <c r="S2208" s="201">
        <f t="shared" si="278"/>
        <v>-2.8629321652439366E-2</v>
      </c>
    </row>
    <row r="2209" spans="1:19">
      <c r="A2209" s="196">
        <v>43173</v>
      </c>
      <c r="B2209" s="122">
        <v>33.900002000000001</v>
      </c>
      <c r="C2209" s="122">
        <v>34.020000000000003</v>
      </c>
      <c r="D2209" s="122">
        <v>33.150002000000001</v>
      </c>
      <c r="E2209" s="122">
        <v>33.659999999999997</v>
      </c>
      <c r="F2209" s="122">
        <v>32.031761000000003</v>
      </c>
      <c r="G2209" s="197">
        <v>171400</v>
      </c>
      <c r="H2209" s="198">
        <f>IF(AND(E2208&gt;=H2208,E2209&gt;=E2208),E2208*(1+'Trading Model'!$E$13),IF(AND(E2209&lt;E2208,E2208&gt;=H2208),E2209*(1+'Trading Model'!$E$13),H2208))</f>
        <v>39.921000000000006</v>
      </c>
      <c r="I2209" s="198">
        <f>IF(K2209&gt;0,E2209*(1-'Trading Model'!E2219),IF(E2209&lt;I2208,I2208*(1-'Trading Model'!$E$14),I2208))</f>
        <v>29.775090474999992</v>
      </c>
      <c r="J2209" s="198">
        <f t="shared" si="279"/>
        <v>0</v>
      </c>
      <c r="K2209" s="198">
        <f t="shared" si="274"/>
        <v>0</v>
      </c>
      <c r="L2209" s="198">
        <f>COUNTIF(J2209:K2209,"&lt;&gt;0")*-'Trading Model'!$E$15</f>
        <v>0</v>
      </c>
      <c r="M2209" s="198">
        <f t="shared" si="272"/>
        <v>0</v>
      </c>
      <c r="N2209" s="75">
        <f t="shared" si="275"/>
        <v>58</v>
      </c>
      <c r="O2209" s="202">
        <f t="shared" si="276"/>
        <v>0</v>
      </c>
      <c r="P2209" s="199">
        <f t="shared" si="273"/>
        <v>0</v>
      </c>
      <c r="Q2209" s="203">
        <f t="shared" si="277"/>
        <v>-9.0999999999985803</v>
      </c>
      <c r="R2209" s="203" t="s">
        <v>55</v>
      </c>
      <c r="S2209" s="201">
        <f t="shared" si="278"/>
        <v>2.0839535576062662E-3</v>
      </c>
    </row>
    <row r="2210" spans="1:19">
      <c r="A2210" s="196">
        <v>43174</v>
      </c>
      <c r="B2210" s="122">
        <v>33.700001</v>
      </c>
      <c r="C2210" s="122">
        <v>33.93</v>
      </c>
      <c r="D2210" s="122">
        <v>33.159999999999997</v>
      </c>
      <c r="E2210" s="122">
        <v>33.75</v>
      </c>
      <c r="F2210" s="122">
        <v>32.117409000000002</v>
      </c>
      <c r="G2210" s="197">
        <v>108500</v>
      </c>
      <c r="H2210" s="198">
        <f>IF(AND(E2209&gt;=H2209,E2210&gt;=E2209),E2209*(1+'Trading Model'!$E$13),IF(AND(E2210&lt;E2209,E2209&gt;=H2209),E2210*(1+'Trading Model'!$E$13),H2209))</f>
        <v>39.921000000000006</v>
      </c>
      <c r="I2210" s="198">
        <f>IF(K2210&gt;0,E2210*(1-'Trading Model'!E2220),IF(E2210&lt;I2209,I2209*(1-'Trading Model'!$E$14),I2209))</f>
        <v>29.775090474999992</v>
      </c>
      <c r="J2210" s="198">
        <f t="shared" si="279"/>
        <v>0</v>
      </c>
      <c r="K2210" s="198">
        <f t="shared" si="274"/>
        <v>0</v>
      </c>
      <c r="L2210" s="198">
        <f>COUNTIF(J2210:K2210,"&lt;&gt;0")*-'Trading Model'!$E$15</f>
        <v>0</v>
      </c>
      <c r="M2210" s="198">
        <f t="shared" si="272"/>
        <v>0</v>
      </c>
      <c r="N2210" s="75">
        <f t="shared" si="275"/>
        <v>58</v>
      </c>
      <c r="O2210" s="202">
        <f t="shared" si="276"/>
        <v>0</v>
      </c>
      <c r="P2210" s="199">
        <f t="shared" si="273"/>
        <v>0</v>
      </c>
      <c r="Q2210" s="203">
        <f t="shared" si="277"/>
        <v>-9.0999999999985803</v>
      </c>
      <c r="R2210" s="203" t="s">
        <v>55</v>
      </c>
      <c r="S2210" s="201">
        <f t="shared" si="278"/>
        <v>2.673796791443861E-3</v>
      </c>
    </row>
    <row r="2211" spans="1:19">
      <c r="A2211" s="196">
        <v>43175</v>
      </c>
      <c r="B2211" s="122">
        <v>33.919998</v>
      </c>
      <c r="C2211" s="122">
        <v>34.330002</v>
      </c>
      <c r="D2211" s="122">
        <v>33.380001</v>
      </c>
      <c r="E2211" s="122">
        <v>33.830002</v>
      </c>
      <c r="F2211" s="122">
        <v>32.193542000000001</v>
      </c>
      <c r="G2211" s="197">
        <v>323500</v>
      </c>
      <c r="H2211" s="198">
        <f>IF(AND(E2210&gt;=H2210,E2211&gt;=E2210),E2210*(1+'Trading Model'!$E$13),IF(AND(E2211&lt;E2210,E2210&gt;=H2210),E2211*(1+'Trading Model'!$E$13),H2210))</f>
        <v>39.921000000000006</v>
      </c>
      <c r="I2211" s="198">
        <f>IF(K2211&gt;0,E2211*(1-'Trading Model'!E2221),IF(E2211&lt;I2210,I2210*(1-'Trading Model'!$E$14),I2210))</f>
        <v>29.775090474999992</v>
      </c>
      <c r="J2211" s="198">
        <f t="shared" si="279"/>
        <v>0</v>
      </c>
      <c r="K2211" s="198">
        <f t="shared" si="274"/>
        <v>0</v>
      </c>
      <c r="L2211" s="198">
        <f>COUNTIF(J2211:K2211,"&lt;&gt;0")*-'Trading Model'!$E$15</f>
        <v>0</v>
      </c>
      <c r="M2211" s="198">
        <f t="shared" si="272"/>
        <v>0</v>
      </c>
      <c r="N2211" s="75">
        <f t="shared" si="275"/>
        <v>58</v>
      </c>
      <c r="O2211" s="202">
        <f t="shared" si="276"/>
        <v>0</v>
      </c>
      <c r="P2211" s="199">
        <f t="shared" si="273"/>
        <v>0</v>
      </c>
      <c r="Q2211" s="203">
        <f t="shared" si="277"/>
        <v>-9.0999999999985803</v>
      </c>
      <c r="R2211" s="203" t="s">
        <v>55</v>
      </c>
      <c r="S2211" s="201">
        <f t="shared" si="278"/>
        <v>2.3704296296296334E-3</v>
      </c>
    </row>
    <row r="2212" spans="1:19">
      <c r="A2212" s="196">
        <v>43178</v>
      </c>
      <c r="B2212" s="122">
        <v>33.189999</v>
      </c>
      <c r="C2212" s="122">
        <v>33.189999</v>
      </c>
      <c r="D2212" s="122">
        <v>32.229999999999997</v>
      </c>
      <c r="E2212" s="122">
        <v>32.75</v>
      </c>
      <c r="F2212" s="122">
        <v>31.908693</v>
      </c>
      <c r="G2212" s="197">
        <v>163500</v>
      </c>
      <c r="H2212" s="198">
        <f>IF(AND(E2211&gt;=H2211,E2212&gt;=E2211),E2211*(1+'Trading Model'!$E$13),IF(AND(E2212&lt;E2211,E2211&gt;=H2211),E2212*(1+'Trading Model'!$E$13),H2211))</f>
        <v>39.921000000000006</v>
      </c>
      <c r="I2212" s="198">
        <f>IF(K2212&gt;0,E2212*(1-'Trading Model'!E2222),IF(E2212&lt;I2211,I2211*(1-'Trading Model'!$E$14),I2211))</f>
        <v>29.775090474999992</v>
      </c>
      <c r="J2212" s="198">
        <f t="shared" si="279"/>
        <v>0</v>
      </c>
      <c r="K2212" s="198">
        <f t="shared" si="274"/>
        <v>0</v>
      </c>
      <c r="L2212" s="198">
        <f>COUNTIF(J2212:K2212,"&lt;&gt;0")*-'Trading Model'!$E$15</f>
        <v>0</v>
      </c>
      <c r="M2212" s="198">
        <f t="shared" si="272"/>
        <v>0</v>
      </c>
      <c r="N2212" s="75">
        <f t="shared" si="275"/>
        <v>58</v>
      </c>
      <c r="O2212" s="202">
        <f t="shared" si="276"/>
        <v>0.78764100000000004</v>
      </c>
      <c r="P2212" s="199">
        <f t="shared" si="273"/>
        <v>0.78764100000000004</v>
      </c>
      <c r="Q2212" s="203">
        <f t="shared" si="277"/>
        <v>-9.19999999999858</v>
      </c>
      <c r="R2212" s="201">
        <f>E2212/B2208-1</f>
        <v>-5.2920818223203159E-2</v>
      </c>
      <c r="S2212" s="201">
        <f t="shared" si="278"/>
        <v>-3.192438475173609E-2</v>
      </c>
    </row>
    <row r="2213" spans="1:19">
      <c r="A2213" s="196">
        <v>43179</v>
      </c>
      <c r="B2213" s="122">
        <v>32.849997999999999</v>
      </c>
      <c r="C2213" s="122">
        <v>33.159999999999997</v>
      </c>
      <c r="D2213" s="122">
        <v>31.66</v>
      </c>
      <c r="E2213" s="122">
        <v>32.110000999999997</v>
      </c>
      <c r="F2213" s="122">
        <v>31.285132999999998</v>
      </c>
      <c r="G2213" s="197">
        <v>130800</v>
      </c>
      <c r="H2213" s="198">
        <f>IF(AND(E2212&gt;=H2212,E2213&gt;=E2212),E2212*(1+'Trading Model'!$E$13),IF(AND(E2213&lt;E2212,E2212&gt;=H2212),E2213*(1+'Trading Model'!$E$13),H2212))</f>
        <v>39.921000000000006</v>
      </c>
      <c r="I2213" s="198">
        <f>IF(K2213&gt;0,E2213*(1-'Trading Model'!E2223),IF(E2213&lt;I2212,I2212*(1-'Trading Model'!$E$14),I2212))</f>
        <v>29.775090474999992</v>
      </c>
      <c r="J2213" s="198">
        <f t="shared" si="279"/>
        <v>0</v>
      </c>
      <c r="K2213" s="198">
        <f t="shared" si="274"/>
        <v>0</v>
      </c>
      <c r="L2213" s="198">
        <f>COUNTIF(J2213:K2213,"&lt;&gt;0")*-'Trading Model'!$E$15</f>
        <v>0</v>
      </c>
      <c r="M2213" s="198">
        <f t="shared" si="272"/>
        <v>0</v>
      </c>
      <c r="N2213" s="75">
        <f t="shared" si="275"/>
        <v>58</v>
      </c>
      <c r="O2213" s="202">
        <f t="shared" si="276"/>
        <v>0</v>
      </c>
      <c r="P2213" s="199">
        <f t="shared" si="273"/>
        <v>0</v>
      </c>
      <c r="Q2213" s="203">
        <f t="shared" si="277"/>
        <v>-9.2999999999985796</v>
      </c>
      <c r="R2213" s="160" t="s">
        <v>55</v>
      </c>
      <c r="S2213" s="201">
        <f t="shared" si="278"/>
        <v>-1.9541954198473377E-2</v>
      </c>
    </row>
    <row r="2214" spans="1:19">
      <c r="A2214" s="196">
        <v>43180</v>
      </c>
      <c r="B2214" s="122">
        <v>32.110000999999997</v>
      </c>
      <c r="C2214" s="122">
        <v>32.43</v>
      </c>
      <c r="D2214" s="122">
        <v>31.559999000000001</v>
      </c>
      <c r="E2214" s="122">
        <v>31.889999</v>
      </c>
      <c r="F2214" s="122">
        <v>31.070785999999998</v>
      </c>
      <c r="G2214" s="197">
        <v>337000</v>
      </c>
      <c r="H2214" s="198">
        <f>IF(AND(E2213&gt;=H2213,E2214&gt;=E2213),E2213*(1+'Trading Model'!$E$13),IF(AND(E2214&lt;E2213,E2213&gt;=H2213),E2214*(1+'Trading Model'!$E$13),H2213))</f>
        <v>39.921000000000006</v>
      </c>
      <c r="I2214" s="198">
        <f>IF(K2214&gt;0,E2214*(1-'Trading Model'!E2224),IF(E2214&lt;I2213,I2213*(1-'Trading Model'!$E$14),I2213))</f>
        <v>29.775090474999992</v>
      </c>
      <c r="J2214" s="198">
        <f t="shared" si="279"/>
        <v>0</v>
      </c>
      <c r="K2214" s="198">
        <f t="shared" si="274"/>
        <v>0</v>
      </c>
      <c r="L2214" s="198">
        <f>COUNTIF(J2214:K2214,"&lt;&gt;0")*-'Trading Model'!$E$15</f>
        <v>0</v>
      </c>
      <c r="M2214" s="198">
        <f t="shared" si="272"/>
        <v>0</v>
      </c>
      <c r="N2214" s="75">
        <f t="shared" si="275"/>
        <v>58</v>
      </c>
      <c r="O2214" s="202">
        <f t="shared" si="276"/>
        <v>0</v>
      </c>
      <c r="P2214" s="199">
        <f t="shared" si="273"/>
        <v>0</v>
      </c>
      <c r="Q2214" s="203">
        <f t="shared" si="277"/>
        <v>-9.3999999999985793</v>
      </c>
      <c r="R2214" s="203" t="s">
        <v>55</v>
      </c>
      <c r="S2214" s="201">
        <f t="shared" si="278"/>
        <v>-6.8515102195106925E-3</v>
      </c>
    </row>
    <row r="2215" spans="1:19">
      <c r="A2215" s="196">
        <v>43181</v>
      </c>
      <c r="B2215" s="122">
        <v>31.48</v>
      </c>
      <c r="C2215" s="122">
        <v>32.529998999999997</v>
      </c>
      <c r="D2215" s="122">
        <v>31.379999000000002</v>
      </c>
      <c r="E2215" s="122">
        <v>32</v>
      </c>
      <c r="F2215" s="122">
        <v>31.177959000000001</v>
      </c>
      <c r="G2215" s="197">
        <v>200500</v>
      </c>
      <c r="H2215" s="198">
        <f>IF(AND(E2214&gt;=H2214,E2215&gt;=E2214),E2214*(1+'Trading Model'!$E$13),IF(AND(E2215&lt;E2214,E2214&gt;=H2214),E2215*(1+'Trading Model'!$E$13),H2214))</f>
        <v>39.921000000000006</v>
      </c>
      <c r="I2215" s="198">
        <f>IF(K2215&gt;0,E2215*(1-'Trading Model'!E2225),IF(E2215&lt;I2214,I2214*(1-'Trading Model'!$E$14),I2214))</f>
        <v>29.775090474999992</v>
      </c>
      <c r="J2215" s="198">
        <f t="shared" si="279"/>
        <v>0</v>
      </c>
      <c r="K2215" s="198">
        <f t="shared" si="274"/>
        <v>0</v>
      </c>
      <c r="L2215" s="198">
        <f>COUNTIF(J2215:K2215,"&lt;&gt;0")*-'Trading Model'!$E$15</f>
        <v>0</v>
      </c>
      <c r="M2215" s="198">
        <f t="shared" si="272"/>
        <v>0</v>
      </c>
      <c r="N2215" s="75">
        <f t="shared" si="275"/>
        <v>58</v>
      </c>
      <c r="O2215" s="202">
        <f t="shared" si="276"/>
        <v>0</v>
      </c>
      <c r="P2215" s="199">
        <f t="shared" si="273"/>
        <v>0</v>
      </c>
      <c r="Q2215" s="203">
        <f t="shared" si="277"/>
        <v>-9.3999999999985793</v>
      </c>
      <c r="R2215" s="203" t="s">
        <v>55</v>
      </c>
      <c r="S2215" s="201">
        <f t="shared" si="278"/>
        <v>3.449388631213246E-3</v>
      </c>
    </row>
    <row r="2216" spans="1:19">
      <c r="A2216" s="196">
        <v>43182</v>
      </c>
      <c r="B2216" s="122">
        <v>32.139999000000003</v>
      </c>
      <c r="C2216" s="122">
        <v>32.139999000000003</v>
      </c>
      <c r="D2216" s="122">
        <v>31.6</v>
      </c>
      <c r="E2216" s="122">
        <v>31.84</v>
      </c>
      <c r="F2216" s="122">
        <v>31.022069999999999</v>
      </c>
      <c r="G2216" s="197">
        <v>81100</v>
      </c>
      <c r="H2216" s="198">
        <f>IF(AND(E2215&gt;=H2215,E2216&gt;=E2215),E2215*(1+'Trading Model'!$E$13),IF(AND(E2216&lt;E2215,E2215&gt;=H2215),E2216*(1+'Trading Model'!$E$13),H2215))</f>
        <v>39.921000000000006</v>
      </c>
      <c r="I2216" s="198">
        <f>IF(K2216&gt;0,E2216*(1-'Trading Model'!E2226),IF(E2216&lt;I2215,I2215*(1-'Trading Model'!$E$14),I2215))</f>
        <v>29.775090474999992</v>
      </c>
      <c r="J2216" s="198">
        <f t="shared" si="279"/>
        <v>0</v>
      </c>
      <c r="K2216" s="198">
        <f t="shared" si="274"/>
        <v>0</v>
      </c>
      <c r="L2216" s="198">
        <f>COUNTIF(J2216:K2216,"&lt;&gt;0")*-'Trading Model'!$E$15</f>
        <v>0</v>
      </c>
      <c r="M2216" s="198">
        <f t="shared" si="272"/>
        <v>0</v>
      </c>
      <c r="N2216" s="75">
        <f t="shared" si="275"/>
        <v>58</v>
      </c>
      <c r="O2216" s="202">
        <f t="shared" si="276"/>
        <v>0</v>
      </c>
      <c r="P2216" s="199">
        <f t="shared" si="273"/>
        <v>0</v>
      </c>
      <c r="Q2216" s="203">
        <f t="shared" si="277"/>
        <v>-9.4999999999985789</v>
      </c>
      <c r="R2216" s="203" t="s">
        <v>55</v>
      </c>
      <c r="S2216" s="201">
        <f t="shared" si="278"/>
        <v>-5.0000000000000044E-3</v>
      </c>
    </row>
    <row r="2217" spans="1:19">
      <c r="A2217" s="196">
        <v>43185</v>
      </c>
      <c r="B2217" s="122">
        <v>31.92</v>
      </c>
      <c r="C2217" s="122">
        <v>32.560001</v>
      </c>
      <c r="D2217" s="122">
        <v>31.27</v>
      </c>
      <c r="E2217" s="122">
        <v>32.099997999999999</v>
      </c>
      <c r="F2217" s="122">
        <v>31.275389000000001</v>
      </c>
      <c r="G2217" s="197">
        <v>133400</v>
      </c>
      <c r="H2217" s="198">
        <f>IF(AND(E2216&gt;=H2216,E2217&gt;=E2216),E2216*(1+'Trading Model'!$E$13),IF(AND(E2217&lt;E2216,E2216&gt;=H2216),E2217*(1+'Trading Model'!$E$13),H2216))</f>
        <v>39.921000000000006</v>
      </c>
      <c r="I2217" s="198">
        <f>IF(K2217&gt;0,E2217*(1-'Trading Model'!E2227),IF(E2217&lt;I2216,I2216*(1-'Trading Model'!$E$14),I2216))</f>
        <v>29.775090474999992</v>
      </c>
      <c r="J2217" s="198">
        <f t="shared" si="279"/>
        <v>0</v>
      </c>
      <c r="K2217" s="198">
        <f t="shared" si="274"/>
        <v>0</v>
      </c>
      <c r="L2217" s="198">
        <f>COUNTIF(J2217:K2217,"&lt;&gt;0")*-'Trading Model'!$E$15</f>
        <v>0</v>
      </c>
      <c r="M2217" s="198">
        <f t="shared" si="272"/>
        <v>0</v>
      </c>
      <c r="N2217" s="75">
        <f t="shared" si="275"/>
        <v>58</v>
      </c>
      <c r="O2217" s="202">
        <f t="shared" si="276"/>
        <v>0</v>
      </c>
      <c r="P2217" s="199">
        <f t="shared" si="273"/>
        <v>0</v>
      </c>
      <c r="Q2217" s="203">
        <f t="shared" si="277"/>
        <v>-9.4999999999985789</v>
      </c>
      <c r="R2217" s="201">
        <f>E2217/B2213-1</f>
        <v>-2.2831051618328879E-2</v>
      </c>
      <c r="S2217" s="201">
        <f t="shared" si="278"/>
        <v>8.1657663316583307E-3</v>
      </c>
    </row>
    <row r="2218" spans="1:19">
      <c r="A2218" s="196">
        <v>43186</v>
      </c>
      <c r="B2218" s="122">
        <v>32</v>
      </c>
      <c r="C2218" s="122">
        <v>32.590000000000003</v>
      </c>
      <c r="D2218" s="122">
        <v>30.92</v>
      </c>
      <c r="E2218" s="122">
        <v>31.1</v>
      </c>
      <c r="F2218" s="122">
        <v>30.301079000000001</v>
      </c>
      <c r="G2218" s="197">
        <v>178300</v>
      </c>
      <c r="H2218" s="198">
        <f>IF(AND(E2217&gt;=H2217,E2218&gt;=E2217),E2217*(1+'Trading Model'!$E$13),IF(AND(E2218&lt;E2217,E2217&gt;=H2217),E2218*(1+'Trading Model'!$E$13),H2217))</f>
        <v>39.921000000000006</v>
      </c>
      <c r="I2218" s="198">
        <f>IF(K2218&gt;0,E2218*(1-'Trading Model'!E2228),IF(E2218&lt;I2217,I2217*(1-'Trading Model'!$E$14),I2217))</f>
        <v>29.775090474999992</v>
      </c>
      <c r="J2218" s="198">
        <f t="shared" si="279"/>
        <v>0</v>
      </c>
      <c r="K2218" s="198">
        <f t="shared" si="274"/>
        <v>0</v>
      </c>
      <c r="L2218" s="198">
        <f>COUNTIF(J2218:K2218,"&lt;&gt;0")*-'Trading Model'!$E$15</f>
        <v>0</v>
      </c>
      <c r="M2218" s="198">
        <f t="shared" si="272"/>
        <v>0</v>
      </c>
      <c r="N2218" s="75">
        <f t="shared" si="275"/>
        <v>58</v>
      </c>
      <c r="O2218" s="202">
        <f t="shared" si="276"/>
        <v>0</v>
      </c>
      <c r="P2218" s="199">
        <f t="shared" si="273"/>
        <v>0</v>
      </c>
      <c r="Q2218" s="203">
        <f t="shared" si="277"/>
        <v>-9.5999999999985786</v>
      </c>
      <c r="R2218" s="160" t="s">
        <v>55</v>
      </c>
      <c r="S2218" s="201">
        <f t="shared" si="278"/>
        <v>-3.1152587610753013E-2</v>
      </c>
    </row>
    <row r="2219" spans="1:19">
      <c r="A2219" s="196">
        <v>43187</v>
      </c>
      <c r="B2219" s="122">
        <v>31.27</v>
      </c>
      <c r="C2219" s="122">
        <v>31.43</v>
      </c>
      <c r="D2219" s="122">
        <v>30.629999000000002</v>
      </c>
      <c r="E2219" s="122">
        <v>31.09</v>
      </c>
      <c r="F2219" s="122">
        <v>30.291336000000001</v>
      </c>
      <c r="G2219" s="197">
        <v>122100</v>
      </c>
      <c r="H2219" s="198">
        <f>IF(AND(E2218&gt;=H2218,E2219&gt;=E2218),E2218*(1+'Trading Model'!$E$13),IF(AND(E2219&lt;E2218,E2218&gt;=H2218),E2219*(1+'Trading Model'!$E$13),H2218))</f>
        <v>39.921000000000006</v>
      </c>
      <c r="I2219" s="198">
        <f>IF(K2219&gt;0,E2219*(1-'Trading Model'!E2229),IF(E2219&lt;I2218,I2218*(1-'Trading Model'!$E$14),I2218))</f>
        <v>29.775090474999992</v>
      </c>
      <c r="J2219" s="198">
        <f t="shared" si="279"/>
        <v>0</v>
      </c>
      <c r="K2219" s="198">
        <f t="shared" si="274"/>
        <v>0</v>
      </c>
      <c r="L2219" s="198">
        <f>COUNTIF(J2219:K2219,"&lt;&gt;0")*-'Trading Model'!$E$15</f>
        <v>0</v>
      </c>
      <c r="M2219" s="198">
        <f t="shared" si="272"/>
        <v>0</v>
      </c>
      <c r="N2219" s="75">
        <f t="shared" si="275"/>
        <v>58</v>
      </c>
      <c r="O2219" s="202">
        <f t="shared" si="276"/>
        <v>0</v>
      </c>
      <c r="P2219" s="199">
        <f t="shared" si="273"/>
        <v>0</v>
      </c>
      <c r="Q2219" s="203">
        <f t="shared" si="277"/>
        <v>-9.6999999999985782</v>
      </c>
      <c r="R2219" s="203" t="s">
        <v>55</v>
      </c>
      <c r="S2219" s="201">
        <f t="shared" si="278"/>
        <v>-3.2154340836021422E-4</v>
      </c>
    </row>
    <row r="2220" spans="1:19">
      <c r="A2220" s="196">
        <v>43188</v>
      </c>
      <c r="B2220" s="122">
        <v>31.35</v>
      </c>
      <c r="C2220" s="122">
        <v>31.73</v>
      </c>
      <c r="D2220" s="122">
        <v>31.120000999999998</v>
      </c>
      <c r="E2220" s="122">
        <v>31.33</v>
      </c>
      <c r="F2220" s="122">
        <v>30.525171</v>
      </c>
      <c r="G2220" s="197">
        <v>114000</v>
      </c>
      <c r="H2220" s="198">
        <f>IF(AND(E2219&gt;=H2219,E2220&gt;=E2219),E2219*(1+'Trading Model'!$E$13),IF(AND(E2220&lt;E2219,E2219&gt;=H2219),E2220*(1+'Trading Model'!$E$13),H2219))</f>
        <v>39.921000000000006</v>
      </c>
      <c r="I2220" s="198">
        <f>IF(K2220&gt;0,E2220*(1-'Trading Model'!E2230),IF(E2220&lt;I2219,I2219*(1-'Trading Model'!$E$14),I2219))</f>
        <v>29.775090474999992</v>
      </c>
      <c r="J2220" s="198">
        <f t="shared" si="279"/>
        <v>0</v>
      </c>
      <c r="K2220" s="198">
        <f t="shared" si="274"/>
        <v>0</v>
      </c>
      <c r="L2220" s="198">
        <f>COUNTIF(J2220:K2220,"&lt;&gt;0")*-'Trading Model'!$E$15</f>
        <v>0</v>
      </c>
      <c r="M2220" s="198">
        <f t="shared" si="272"/>
        <v>0</v>
      </c>
      <c r="N2220" s="75">
        <f t="shared" si="275"/>
        <v>58</v>
      </c>
      <c r="O2220" s="202">
        <f t="shared" si="276"/>
        <v>0</v>
      </c>
      <c r="P2220" s="199">
        <f t="shared" si="273"/>
        <v>0</v>
      </c>
      <c r="Q2220" s="203">
        <f t="shared" si="277"/>
        <v>-9.6999999999985782</v>
      </c>
      <c r="R2220" s="203" t="s">
        <v>55</v>
      </c>
      <c r="S2220" s="201">
        <f t="shared" si="278"/>
        <v>7.7195239626888235E-3</v>
      </c>
    </row>
    <row r="2221" spans="1:19">
      <c r="A2221" s="196">
        <v>43192</v>
      </c>
      <c r="B2221" s="122">
        <v>31.26</v>
      </c>
      <c r="C2221" s="122">
        <v>31.41</v>
      </c>
      <c r="D2221" s="122">
        <v>30.809999000000001</v>
      </c>
      <c r="E2221" s="122">
        <v>30.9</v>
      </c>
      <c r="F2221" s="122">
        <v>30.106216</v>
      </c>
      <c r="G2221" s="197">
        <v>111500</v>
      </c>
      <c r="H2221" s="198">
        <f>IF(AND(E2220&gt;=H2220,E2221&gt;=E2220),E2220*(1+'Trading Model'!$E$13),IF(AND(E2221&lt;E2220,E2220&gt;=H2220),E2221*(1+'Trading Model'!$E$13),H2220))</f>
        <v>39.921000000000006</v>
      </c>
      <c r="I2221" s="198">
        <f>IF(K2221&gt;0,E2221*(1-'Trading Model'!E2231),IF(E2221&lt;I2220,I2220*(1-'Trading Model'!$E$14),I2220))</f>
        <v>29.775090474999992</v>
      </c>
      <c r="J2221" s="198">
        <f t="shared" si="279"/>
        <v>0</v>
      </c>
      <c r="K2221" s="198">
        <f t="shared" si="274"/>
        <v>0</v>
      </c>
      <c r="L2221" s="198">
        <f>COUNTIF(J2221:K2221,"&lt;&gt;0")*-'Trading Model'!$E$15</f>
        <v>0</v>
      </c>
      <c r="M2221" s="198">
        <f t="shared" si="272"/>
        <v>0</v>
      </c>
      <c r="N2221" s="75">
        <f t="shared" si="275"/>
        <v>58</v>
      </c>
      <c r="O2221" s="202">
        <f t="shared" si="276"/>
        <v>0</v>
      </c>
      <c r="P2221" s="199">
        <f t="shared" si="273"/>
        <v>0</v>
      </c>
      <c r="Q2221" s="203">
        <f t="shared" si="277"/>
        <v>-9.7999999999985778</v>
      </c>
      <c r="R2221" s="203" t="s">
        <v>55</v>
      </c>
      <c r="S2221" s="201">
        <f t="shared" si="278"/>
        <v>-1.3724864347270938E-2</v>
      </c>
    </row>
    <row r="2222" spans="1:19">
      <c r="A2222" s="196">
        <v>43193</v>
      </c>
      <c r="B2222" s="122">
        <v>29.57</v>
      </c>
      <c r="C2222" s="122">
        <v>30.379999000000002</v>
      </c>
      <c r="D2222" s="122">
        <v>28.9</v>
      </c>
      <c r="E2222" s="122">
        <v>30.27</v>
      </c>
      <c r="F2222" s="122">
        <v>29.492401000000001</v>
      </c>
      <c r="G2222" s="197">
        <v>309600</v>
      </c>
      <c r="H2222" s="198">
        <f>IF(AND(E2221&gt;=H2221,E2222&gt;=E2221),E2221*(1+'Trading Model'!$E$13),IF(AND(E2222&lt;E2221,E2221&gt;=H2221),E2222*(1+'Trading Model'!$E$13),H2221))</f>
        <v>39.921000000000006</v>
      </c>
      <c r="I2222" s="198">
        <f>IF(K2222&gt;0,E2222*(1-'Trading Model'!E2232),IF(E2222&lt;I2221,I2221*(1-'Trading Model'!$E$14),I2221))</f>
        <v>29.775090474999992</v>
      </c>
      <c r="J2222" s="198">
        <f t="shared" si="279"/>
        <v>0</v>
      </c>
      <c r="K2222" s="198">
        <f t="shared" si="274"/>
        <v>0</v>
      </c>
      <c r="L2222" s="198">
        <f>COUNTIF(J2222:K2222,"&lt;&gt;0")*-'Trading Model'!$E$15</f>
        <v>0</v>
      </c>
      <c r="M2222" s="198">
        <f t="shared" si="272"/>
        <v>0</v>
      </c>
      <c r="N2222" s="75">
        <f t="shared" si="275"/>
        <v>58</v>
      </c>
      <c r="O2222" s="202">
        <f t="shared" si="276"/>
        <v>0</v>
      </c>
      <c r="P2222" s="199">
        <f t="shared" si="273"/>
        <v>0</v>
      </c>
      <c r="Q2222" s="203">
        <f t="shared" si="277"/>
        <v>-9.8999999999985775</v>
      </c>
      <c r="R2222" s="201">
        <f>E2222/B2218-1</f>
        <v>-5.4062500000000013E-2</v>
      </c>
      <c r="S2222" s="201">
        <f t="shared" si="278"/>
        <v>-2.0388349514563031E-2</v>
      </c>
    </row>
    <row r="2223" spans="1:19">
      <c r="A2223" s="196">
        <v>43194</v>
      </c>
      <c r="B2223" s="122">
        <v>29.77</v>
      </c>
      <c r="C2223" s="122">
        <v>30.450001</v>
      </c>
      <c r="D2223" s="122">
        <v>29.48</v>
      </c>
      <c r="E2223" s="122">
        <v>30.209999</v>
      </c>
      <c r="F2223" s="122">
        <v>29.433941000000001</v>
      </c>
      <c r="G2223" s="197">
        <v>130600</v>
      </c>
      <c r="H2223" s="198">
        <f>IF(AND(E2222&gt;=H2222,E2223&gt;=E2222),E2222*(1+'Trading Model'!$E$13),IF(AND(E2223&lt;E2222,E2222&gt;=H2222),E2223*(1+'Trading Model'!$E$13),H2222))</f>
        <v>39.921000000000006</v>
      </c>
      <c r="I2223" s="198">
        <f>IF(K2223&gt;0,E2223*(1-'Trading Model'!E2233),IF(E2223&lt;I2222,I2222*(1-'Trading Model'!$E$14),I2222))</f>
        <v>29.775090474999992</v>
      </c>
      <c r="J2223" s="198">
        <f t="shared" si="279"/>
        <v>0</v>
      </c>
      <c r="K2223" s="198">
        <f t="shared" si="274"/>
        <v>0</v>
      </c>
      <c r="L2223" s="198">
        <f>COUNTIF(J2223:K2223,"&lt;&gt;0")*-'Trading Model'!$E$15</f>
        <v>0</v>
      </c>
      <c r="M2223" s="198">
        <f t="shared" si="272"/>
        <v>0</v>
      </c>
      <c r="N2223" s="75">
        <f t="shared" si="275"/>
        <v>58</v>
      </c>
      <c r="O2223" s="202">
        <f t="shared" si="276"/>
        <v>0</v>
      </c>
      <c r="P2223" s="199">
        <f t="shared" si="273"/>
        <v>0</v>
      </c>
      <c r="Q2223" s="203">
        <f t="shared" si="277"/>
        <v>-9.9999999999985771</v>
      </c>
      <c r="R2223" s="160" t="s">
        <v>55</v>
      </c>
      <c r="S2223" s="201">
        <f t="shared" si="278"/>
        <v>-1.9821935910141475E-3</v>
      </c>
    </row>
    <row r="2224" spans="1:19">
      <c r="A2224" s="196">
        <v>43195</v>
      </c>
      <c r="B2224" s="122">
        <v>30.700001</v>
      </c>
      <c r="C2224" s="122">
        <v>30.700001</v>
      </c>
      <c r="D2224" s="122">
        <v>30.299999</v>
      </c>
      <c r="E2224" s="122">
        <v>30.52</v>
      </c>
      <c r="F2224" s="122">
        <v>29.735979</v>
      </c>
      <c r="G2224" s="197">
        <v>63000</v>
      </c>
      <c r="H2224" s="198">
        <f>IF(AND(E2223&gt;=H2223,E2224&gt;=E2223),E2223*(1+'Trading Model'!$E$13),IF(AND(E2224&lt;E2223,E2223&gt;=H2223),E2224*(1+'Trading Model'!$E$13),H2223))</f>
        <v>39.921000000000006</v>
      </c>
      <c r="I2224" s="198">
        <f>IF(K2224&gt;0,E2224*(1-'Trading Model'!E2234),IF(E2224&lt;I2223,I2223*(1-'Trading Model'!$E$14),I2223))</f>
        <v>29.775090474999992</v>
      </c>
      <c r="J2224" s="198">
        <f t="shared" si="279"/>
        <v>0</v>
      </c>
      <c r="K2224" s="198">
        <f t="shared" si="274"/>
        <v>0</v>
      </c>
      <c r="L2224" s="198">
        <f>COUNTIF(J2224:K2224,"&lt;&gt;0")*-'Trading Model'!$E$15</f>
        <v>0</v>
      </c>
      <c r="M2224" s="198">
        <f t="shared" si="272"/>
        <v>0</v>
      </c>
      <c r="N2224" s="75">
        <f t="shared" si="275"/>
        <v>58</v>
      </c>
      <c r="O2224" s="202">
        <f t="shared" si="276"/>
        <v>0</v>
      </c>
      <c r="P2224" s="199">
        <f t="shared" si="273"/>
        <v>0</v>
      </c>
      <c r="Q2224" s="203">
        <f t="shared" si="277"/>
        <v>-9.9999999999985771</v>
      </c>
      <c r="R2224" s="203" t="s">
        <v>55</v>
      </c>
      <c r="S2224" s="201">
        <f t="shared" si="278"/>
        <v>1.0261536254933423E-2</v>
      </c>
    </row>
    <row r="2225" spans="1:19">
      <c r="A2225" s="196">
        <v>43196</v>
      </c>
      <c r="B2225" s="122">
        <v>30.49</v>
      </c>
      <c r="C2225" s="122">
        <v>31.32</v>
      </c>
      <c r="D2225" s="122">
        <v>30.49</v>
      </c>
      <c r="E2225" s="122">
        <v>30.959999</v>
      </c>
      <c r="F2225" s="122">
        <v>30.164674999999999</v>
      </c>
      <c r="G2225" s="197">
        <v>151500</v>
      </c>
      <c r="H2225" s="198">
        <f>IF(AND(E2224&gt;=H2224,E2225&gt;=E2224),E2224*(1+'Trading Model'!$E$13),IF(AND(E2225&lt;E2224,E2224&gt;=H2224),E2225*(1+'Trading Model'!$E$13),H2224))</f>
        <v>39.921000000000006</v>
      </c>
      <c r="I2225" s="198">
        <f>IF(K2225&gt;0,E2225*(1-'Trading Model'!E2235),IF(E2225&lt;I2224,I2224*(1-'Trading Model'!$E$14),I2224))</f>
        <v>29.775090474999992</v>
      </c>
      <c r="J2225" s="198">
        <f t="shared" si="279"/>
        <v>0</v>
      </c>
      <c r="K2225" s="198">
        <f t="shared" si="274"/>
        <v>0</v>
      </c>
      <c r="L2225" s="198">
        <f>COUNTIF(J2225:K2225,"&lt;&gt;0")*-'Trading Model'!$E$15</f>
        <v>0</v>
      </c>
      <c r="M2225" s="198">
        <f t="shared" si="272"/>
        <v>0</v>
      </c>
      <c r="N2225" s="75">
        <f t="shared" si="275"/>
        <v>58</v>
      </c>
      <c r="O2225" s="202">
        <f t="shared" si="276"/>
        <v>0</v>
      </c>
      <c r="P2225" s="199">
        <f t="shared" si="273"/>
        <v>0</v>
      </c>
      <c r="Q2225" s="203">
        <f t="shared" si="277"/>
        <v>-9.9999999999985771</v>
      </c>
      <c r="R2225" s="203" t="s">
        <v>55</v>
      </c>
      <c r="S2225" s="201">
        <f t="shared" si="278"/>
        <v>1.4416743119266107E-2</v>
      </c>
    </row>
    <row r="2226" spans="1:19">
      <c r="A2226" s="196">
        <v>43199</v>
      </c>
      <c r="B2226" s="122">
        <v>31.34</v>
      </c>
      <c r="C2226" s="122">
        <v>32</v>
      </c>
      <c r="D2226" s="122">
        <v>30.68</v>
      </c>
      <c r="E2226" s="122">
        <v>30.92</v>
      </c>
      <c r="F2226" s="122">
        <v>30.125703999999999</v>
      </c>
      <c r="G2226" s="197">
        <v>82300</v>
      </c>
      <c r="H2226" s="198">
        <f>IF(AND(E2225&gt;=H2225,E2226&gt;=E2225),E2225*(1+'Trading Model'!$E$13),IF(AND(E2226&lt;E2225,E2225&gt;=H2225),E2226*(1+'Trading Model'!$E$13),H2225))</f>
        <v>39.921000000000006</v>
      </c>
      <c r="I2226" s="198">
        <f>IF(K2226&gt;0,E2226*(1-'Trading Model'!E2236),IF(E2226&lt;I2225,I2225*(1-'Trading Model'!$E$14),I2225))</f>
        <v>29.775090474999992</v>
      </c>
      <c r="J2226" s="198">
        <f t="shared" si="279"/>
        <v>0</v>
      </c>
      <c r="K2226" s="198">
        <f t="shared" si="274"/>
        <v>0</v>
      </c>
      <c r="L2226" s="198">
        <f>COUNTIF(J2226:K2226,"&lt;&gt;0")*-'Trading Model'!$E$15</f>
        <v>0</v>
      </c>
      <c r="M2226" s="198">
        <f t="shared" si="272"/>
        <v>0</v>
      </c>
      <c r="N2226" s="75">
        <f t="shared" si="275"/>
        <v>58</v>
      </c>
      <c r="O2226" s="202">
        <f t="shared" si="276"/>
        <v>0</v>
      </c>
      <c r="P2226" s="199">
        <f t="shared" si="273"/>
        <v>0</v>
      </c>
      <c r="Q2226" s="203">
        <f t="shared" si="277"/>
        <v>-10.099999999998577</v>
      </c>
      <c r="R2226" s="203" t="s">
        <v>55</v>
      </c>
      <c r="S2226" s="201">
        <f t="shared" si="278"/>
        <v>-1.2919574060709094E-3</v>
      </c>
    </row>
    <row r="2227" spans="1:19">
      <c r="A2227" s="196">
        <v>43200</v>
      </c>
      <c r="B2227" s="122">
        <v>31.34</v>
      </c>
      <c r="C2227" s="122">
        <v>31.4</v>
      </c>
      <c r="D2227" s="122">
        <v>30.709999</v>
      </c>
      <c r="E2227" s="122">
        <v>30.98</v>
      </c>
      <c r="F2227" s="122">
        <v>30.184162000000001</v>
      </c>
      <c r="G2227" s="197">
        <v>71200</v>
      </c>
      <c r="H2227" s="198">
        <f>IF(AND(E2226&gt;=H2226,E2227&gt;=E2226),E2226*(1+'Trading Model'!$E$13),IF(AND(E2227&lt;E2226,E2226&gt;=H2226),E2227*(1+'Trading Model'!$E$13),H2226))</f>
        <v>39.921000000000006</v>
      </c>
      <c r="I2227" s="198">
        <f>IF(K2227&gt;0,E2227*(1-'Trading Model'!E2237),IF(E2227&lt;I2226,I2226*(1-'Trading Model'!$E$14),I2226))</f>
        <v>29.775090474999992</v>
      </c>
      <c r="J2227" s="198">
        <f t="shared" si="279"/>
        <v>0</v>
      </c>
      <c r="K2227" s="198">
        <f t="shared" si="274"/>
        <v>0</v>
      </c>
      <c r="L2227" s="198">
        <f>COUNTIF(J2227:K2227,"&lt;&gt;0")*-'Trading Model'!$E$15</f>
        <v>0</v>
      </c>
      <c r="M2227" s="198">
        <f t="shared" si="272"/>
        <v>0</v>
      </c>
      <c r="N2227" s="75">
        <f t="shared" si="275"/>
        <v>58</v>
      </c>
      <c r="O2227" s="202">
        <f t="shared" si="276"/>
        <v>0</v>
      </c>
      <c r="P2227" s="199">
        <f t="shared" si="273"/>
        <v>0</v>
      </c>
      <c r="Q2227" s="203">
        <f t="shared" si="277"/>
        <v>-10.099999999998577</v>
      </c>
      <c r="R2227" s="201">
        <f>E2227/B2223-1</f>
        <v>4.0644944575075614E-2</v>
      </c>
      <c r="S2227" s="201">
        <f t="shared" si="278"/>
        <v>1.9404915912031306E-3</v>
      </c>
    </row>
    <row r="2228" spans="1:19">
      <c r="A2228" s="196">
        <v>43201</v>
      </c>
      <c r="B2228" s="122">
        <v>31.110001</v>
      </c>
      <c r="C2228" s="122">
        <v>31.440000999999999</v>
      </c>
      <c r="D2228" s="122">
        <v>30.73</v>
      </c>
      <c r="E2228" s="122">
        <v>31.139999</v>
      </c>
      <c r="F2228" s="122">
        <v>30.340052</v>
      </c>
      <c r="G2228" s="197">
        <v>164600</v>
      </c>
      <c r="H2228" s="198">
        <f>IF(AND(E2227&gt;=H2227,E2228&gt;=E2227),E2227*(1+'Trading Model'!$E$13),IF(AND(E2228&lt;E2227,E2227&gt;=H2227),E2228*(1+'Trading Model'!$E$13),H2227))</f>
        <v>39.921000000000006</v>
      </c>
      <c r="I2228" s="198">
        <f>IF(K2228&gt;0,E2228*(1-'Trading Model'!E2238),IF(E2228&lt;I2227,I2227*(1-'Trading Model'!$E$14),I2227))</f>
        <v>29.775090474999992</v>
      </c>
      <c r="J2228" s="198">
        <f t="shared" si="279"/>
        <v>0</v>
      </c>
      <c r="K2228" s="198">
        <f t="shared" si="274"/>
        <v>0</v>
      </c>
      <c r="L2228" s="198">
        <f>COUNTIF(J2228:K2228,"&lt;&gt;0")*-'Trading Model'!$E$15</f>
        <v>0</v>
      </c>
      <c r="M2228" s="198">
        <f t="shared" si="272"/>
        <v>0</v>
      </c>
      <c r="N2228" s="75">
        <f t="shared" si="275"/>
        <v>58</v>
      </c>
      <c r="O2228" s="202">
        <f t="shared" si="276"/>
        <v>0</v>
      </c>
      <c r="P2228" s="199">
        <f t="shared" si="273"/>
        <v>0</v>
      </c>
      <c r="Q2228" s="203">
        <f t="shared" si="277"/>
        <v>-10.099999999998577</v>
      </c>
      <c r="R2228" s="160" t="s">
        <v>55</v>
      </c>
      <c r="S2228" s="201">
        <f t="shared" si="278"/>
        <v>5.1645900581018811E-3</v>
      </c>
    </row>
    <row r="2229" spans="1:19">
      <c r="A2229" s="196">
        <v>43202</v>
      </c>
      <c r="B2229" s="122">
        <v>31.200001</v>
      </c>
      <c r="C2229" s="122">
        <v>31.34</v>
      </c>
      <c r="D2229" s="122">
        <v>30.82</v>
      </c>
      <c r="E2229" s="122">
        <v>31.049999</v>
      </c>
      <c r="F2229" s="122">
        <v>30.252362999999999</v>
      </c>
      <c r="G2229" s="197">
        <v>92800</v>
      </c>
      <c r="H2229" s="198">
        <f>IF(AND(E2228&gt;=H2228,E2229&gt;=E2228),E2228*(1+'Trading Model'!$E$13),IF(AND(E2229&lt;E2228,E2228&gt;=H2228),E2229*(1+'Trading Model'!$E$13),H2228))</f>
        <v>39.921000000000006</v>
      </c>
      <c r="I2229" s="198">
        <f>IF(K2229&gt;0,E2229*(1-'Trading Model'!E2239),IF(E2229&lt;I2228,I2228*(1-'Trading Model'!$E$14),I2228))</f>
        <v>29.775090474999992</v>
      </c>
      <c r="J2229" s="198">
        <f t="shared" si="279"/>
        <v>0</v>
      </c>
      <c r="K2229" s="198">
        <f t="shared" si="274"/>
        <v>0</v>
      </c>
      <c r="L2229" s="198">
        <f>COUNTIF(J2229:K2229,"&lt;&gt;0")*-'Trading Model'!$E$15</f>
        <v>0</v>
      </c>
      <c r="M2229" s="198">
        <f t="shared" si="272"/>
        <v>0</v>
      </c>
      <c r="N2229" s="75">
        <f t="shared" si="275"/>
        <v>58</v>
      </c>
      <c r="O2229" s="202">
        <f t="shared" si="276"/>
        <v>0</v>
      </c>
      <c r="P2229" s="199">
        <f t="shared" si="273"/>
        <v>0</v>
      </c>
      <c r="Q2229" s="203">
        <f t="shared" si="277"/>
        <v>-10.199999999998576</v>
      </c>
      <c r="R2229" s="203" t="s">
        <v>55</v>
      </c>
      <c r="S2229" s="201">
        <f t="shared" si="278"/>
        <v>-2.890173503216853E-3</v>
      </c>
    </row>
    <row r="2230" spans="1:19">
      <c r="A2230" s="196">
        <v>43203</v>
      </c>
      <c r="B2230" s="122">
        <v>31.15</v>
      </c>
      <c r="C2230" s="122">
        <v>31.15</v>
      </c>
      <c r="D2230" s="122">
        <v>30.309999000000001</v>
      </c>
      <c r="E2230" s="122">
        <v>30.700001</v>
      </c>
      <c r="F2230" s="122">
        <v>29.911356000000001</v>
      </c>
      <c r="G2230" s="197">
        <v>101900</v>
      </c>
      <c r="H2230" s="198">
        <f>IF(AND(E2229&gt;=H2229,E2230&gt;=E2229),E2229*(1+'Trading Model'!$E$13),IF(AND(E2230&lt;E2229,E2229&gt;=H2229),E2230*(1+'Trading Model'!$E$13),H2229))</f>
        <v>39.921000000000006</v>
      </c>
      <c r="I2230" s="198">
        <f>IF(K2230&gt;0,E2230*(1-'Trading Model'!E2240),IF(E2230&lt;I2229,I2229*(1-'Trading Model'!$E$14),I2229))</f>
        <v>29.775090474999992</v>
      </c>
      <c r="J2230" s="198">
        <f t="shared" si="279"/>
        <v>0</v>
      </c>
      <c r="K2230" s="198">
        <f t="shared" si="274"/>
        <v>0</v>
      </c>
      <c r="L2230" s="198">
        <f>COUNTIF(J2230:K2230,"&lt;&gt;0")*-'Trading Model'!$E$15</f>
        <v>0</v>
      </c>
      <c r="M2230" s="198">
        <f t="shared" si="272"/>
        <v>0</v>
      </c>
      <c r="N2230" s="75">
        <f t="shared" si="275"/>
        <v>58</v>
      </c>
      <c r="O2230" s="202">
        <f t="shared" si="276"/>
        <v>0</v>
      </c>
      <c r="P2230" s="199">
        <f t="shared" si="273"/>
        <v>0</v>
      </c>
      <c r="Q2230" s="203">
        <f t="shared" si="277"/>
        <v>-10.299999999998576</v>
      </c>
      <c r="R2230" s="203" t="s">
        <v>55</v>
      </c>
      <c r="S2230" s="201">
        <f t="shared" si="278"/>
        <v>-1.1272077657715873E-2</v>
      </c>
    </row>
    <row r="2231" spans="1:19">
      <c r="A2231" s="196">
        <v>43206</v>
      </c>
      <c r="B2231" s="122">
        <v>30.790001</v>
      </c>
      <c r="C2231" s="122">
        <v>31.139999</v>
      </c>
      <c r="D2231" s="122">
        <v>30.459999</v>
      </c>
      <c r="E2231" s="122">
        <v>30.65</v>
      </c>
      <c r="F2231" s="122">
        <v>29.862638</v>
      </c>
      <c r="G2231" s="197">
        <v>52600</v>
      </c>
      <c r="H2231" s="198">
        <f>IF(AND(E2230&gt;=H2230,E2231&gt;=E2230),E2230*(1+'Trading Model'!$E$13),IF(AND(E2231&lt;E2230,E2230&gt;=H2230),E2231*(1+'Trading Model'!$E$13),H2230))</f>
        <v>39.921000000000006</v>
      </c>
      <c r="I2231" s="198">
        <f>IF(K2231&gt;0,E2231*(1-'Trading Model'!E2241),IF(E2231&lt;I2230,I2230*(1-'Trading Model'!$E$14),I2230))</f>
        <v>29.775090474999992</v>
      </c>
      <c r="J2231" s="198">
        <f t="shared" si="279"/>
        <v>0</v>
      </c>
      <c r="K2231" s="198">
        <f t="shared" si="274"/>
        <v>0</v>
      </c>
      <c r="L2231" s="198">
        <f>COUNTIF(J2231:K2231,"&lt;&gt;0")*-'Trading Model'!$E$15</f>
        <v>0</v>
      </c>
      <c r="M2231" s="198">
        <f t="shared" si="272"/>
        <v>0</v>
      </c>
      <c r="N2231" s="75">
        <f t="shared" si="275"/>
        <v>58</v>
      </c>
      <c r="O2231" s="202">
        <f t="shared" si="276"/>
        <v>0</v>
      </c>
      <c r="P2231" s="199">
        <f t="shared" si="273"/>
        <v>0</v>
      </c>
      <c r="Q2231" s="203">
        <f t="shared" si="277"/>
        <v>-10.399999999998576</v>
      </c>
      <c r="R2231" s="203" t="s">
        <v>55</v>
      </c>
      <c r="S2231" s="201">
        <f t="shared" si="278"/>
        <v>-1.6286970153519542E-3</v>
      </c>
    </row>
    <row r="2232" spans="1:19">
      <c r="A2232" s="196">
        <v>43207</v>
      </c>
      <c r="B2232" s="122">
        <v>30.639999</v>
      </c>
      <c r="C2232" s="122">
        <v>30.92</v>
      </c>
      <c r="D2232" s="122">
        <v>30.299999</v>
      </c>
      <c r="E2232" s="122">
        <v>30.67</v>
      </c>
      <c r="F2232" s="122">
        <v>29.882126</v>
      </c>
      <c r="G2232" s="197">
        <v>107600</v>
      </c>
      <c r="H2232" s="198">
        <f>IF(AND(E2231&gt;=H2231,E2232&gt;=E2231),E2231*(1+'Trading Model'!$E$13),IF(AND(E2232&lt;E2231,E2231&gt;=H2231),E2232*(1+'Trading Model'!$E$13),H2231))</f>
        <v>39.921000000000006</v>
      </c>
      <c r="I2232" s="198">
        <f>IF(K2232&gt;0,E2232*(1-'Trading Model'!E2242),IF(E2232&lt;I2231,I2231*(1-'Trading Model'!$E$14),I2231))</f>
        <v>29.775090474999992</v>
      </c>
      <c r="J2232" s="198">
        <f t="shared" si="279"/>
        <v>0</v>
      </c>
      <c r="K2232" s="198">
        <f t="shared" si="274"/>
        <v>0</v>
      </c>
      <c r="L2232" s="198">
        <f>COUNTIF(J2232:K2232,"&lt;&gt;0")*-'Trading Model'!$E$15</f>
        <v>0</v>
      </c>
      <c r="M2232" s="198">
        <f t="shared" si="272"/>
        <v>0</v>
      </c>
      <c r="N2232" s="75">
        <f t="shared" si="275"/>
        <v>58</v>
      </c>
      <c r="O2232" s="202">
        <f t="shared" si="276"/>
        <v>0</v>
      </c>
      <c r="P2232" s="199">
        <f t="shared" si="273"/>
        <v>0</v>
      </c>
      <c r="Q2232" s="203">
        <f t="shared" si="277"/>
        <v>-10.399999999998576</v>
      </c>
      <c r="R2232" s="201">
        <f>E2232/B2228-1</f>
        <v>-1.4143393952317784E-2</v>
      </c>
      <c r="S2232" s="201">
        <f t="shared" si="278"/>
        <v>6.5252854812403172E-4</v>
      </c>
    </row>
    <row r="2233" spans="1:19">
      <c r="A2233" s="196">
        <v>43208</v>
      </c>
      <c r="B2233" s="122">
        <v>30.84</v>
      </c>
      <c r="C2233" s="122">
        <v>31.1</v>
      </c>
      <c r="D2233" s="122">
        <v>30.280000999999999</v>
      </c>
      <c r="E2233" s="122">
        <v>30.540001</v>
      </c>
      <c r="F2233" s="122">
        <v>29.755465999999998</v>
      </c>
      <c r="G2233" s="197">
        <v>151800</v>
      </c>
      <c r="H2233" s="198">
        <f>IF(AND(E2232&gt;=H2232,E2233&gt;=E2232),E2232*(1+'Trading Model'!$E$13),IF(AND(E2233&lt;E2232,E2232&gt;=H2232),E2233*(1+'Trading Model'!$E$13),H2232))</f>
        <v>39.921000000000006</v>
      </c>
      <c r="I2233" s="198">
        <f>IF(K2233&gt;0,E2233*(1-'Trading Model'!E2243),IF(E2233&lt;I2232,I2232*(1-'Trading Model'!$E$14),I2232))</f>
        <v>29.775090474999992</v>
      </c>
      <c r="J2233" s="198">
        <f t="shared" si="279"/>
        <v>0</v>
      </c>
      <c r="K2233" s="198">
        <f t="shared" si="274"/>
        <v>0</v>
      </c>
      <c r="L2233" s="198">
        <f>COUNTIF(J2233:K2233,"&lt;&gt;0")*-'Trading Model'!$E$15</f>
        <v>0</v>
      </c>
      <c r="M2233" s="198">
        <f t="shared" si="272"/>
        <v>0</v>
      </c>
      <c r="N2233" s="75">
        <f t="shared" si="275"/>
        <v>58</v>
      </c>
      <c r="O2233" s="202">
        <f t="shared" si="276"/>
        <v>0</v>
      </c>
      <c r="P2233" s="199">
        <f t="shared" si="273"/>
        <v>0</v>
      </c>
      <c r="Q2233" s="203">
        <f t="shared" si="277"/>
        <v>-10.499999999998575</v>
      </c>
      <c r="R2233" s="160" t="s">
        <v>55</v>
      </c>
      <c r="S2233" s="201">
        <f t="shared" si="278"/>
        <v>-4.238637104662546E-3</v>
      </c>
    </row>
    <row r="2234" spans="1:19">
      <c r="A2234" s="196">
        <v>43209</v>
      </c>
      <c r="B2234" s="122">
        <v>30.559999000000001</v>
      </c>
      <c r="C2234" s="122">
        <v>30.719999000000001</v>
      </c>
      <c r="D2234" s="122">
        <v>30.110001</v>
      </c>
      <c r="E2234" s="122">
        <v>30.52</v>
      </c>
      <c r="F2234" s="122">
        <v>29.735979</v>
      </c>
      <c r="G2234" s="197">
        <v>90500</v>
      </c>
      <c r="H2234" s="198">
        <f>IF(AND(E2233&gt;=H2233,E2234&gt;=E2233),E2233*(1+'Trading Model'!$E$13),IF(AND(E2234&lt;E2233,E2233&gt;=H2233),E2234*(1+'Trading Model'!$E$13),H2233))</f>
        <v>39.921000000000006</v>
      </c>
      <c r="I2234" s="198">
        <f>IF(K2234&gt;0,E2234*(1-'Trading Model'!E2244),IF(E2234&lt;I2233,I2233*(1-'Trading Model'!$E$14),I2233))</f>
        <v>29.775090474999992</v>
      </c>
      <c r="J2234" s="198">
        <f t="shared" si="279"/>
        <v>0</v>
      </c>
      <c r="K2234" s="198">
        <f t="shared" si="274"/>
        <v>0</v>
      </c>
      <c r="L2234" s="198">
        <f>COUNTIF(J2234:K2234,"&lt;&gt;0")*-'Trading Model'!$E$15</f>
        <v>0</v>
      </c>
      <c r="M2234" s="198">
        <f t="shared" si="272"/>
        <v>0</v>
      </c>
      <c r="N2234" s="75">
        <f t="shared" si="275"/>
        <v>58</v>
      </c>
      <c r="O2234" s="202">
        <f t="shared" si="276"/>
        <v>0</v>
      </c>
      <c r="P2234" s="199">
        <f t="shared" si="273"/>
        <v>0</v>
      </c>
      <c r="Q2234" s="203">
        <f t="shared" si="277"/>
        <v>-10.599999999998575</v>
      </c>
      <c r="R2234" s="203" t="s">
        <v>55</v>
      </c>
      <c r="S2234" s="201">
        <f t="shared" si="278"/>
        <v>-6.5491156991126509E-4</v>
      </c>
    </row>
    <row r="2235" spans="1:19">
      <c r="A2235" s="196">
        <v>43210</v>
      </c>
      <c r="B2235" s="122">
        <v>30.66</v>
      </c>
      <c r="C2235" s="122">
        <v>31.16</v>
      </c>
      <c r="D2235" s="122">
        <v>30.139999</v>
      </c>
      <c r="E2235" s="122">
        <v>30.469999000000001</v>
      </c>
      <c r="F2235" s="122">
        <v>29.687263000000002</v>
      </c>
      <c r="G2235" s="197">
        <v>132900</v>
      </c>
      <c r="H2235" s="198">
        <f>IF(AND(E2234&gt;=H2234,E2235&gt;=E2234),E2234*(1+'Trading Model'!$E$13),IF(AND(E2235&lt;E2234,E2234&gt;=H2234),E2235*(1+'Trading Model'!$E$13),H2234))</f>
        <v>39.921000000000006</v>
      </c>
      <c r="I2235" s="198">
        <f>IF(K2235&gt;0,E2235*(1-'Trading Model'!E2245),IF(E2235&lt;I2234,I2234*(1-'Trading Model'!$E$14),I2234))</f>
        <v>29.775090474999992</v>
      </c>
      <c r="J2235" s="198">
        <f t="shared" si="279"/>
        <v>0</v>
      </c>
      <c r="K2235" s="198">
        <f t="shared" si="274"/>
        <v>0</v>
      </c>
      <c r="L2235" s="198">
        <f>COUNTIF(J2235:K2235,"&lt;&gt;0")*-'Trading Model'!$E$15</f>
        <v>0</v>
      </c>
      <c r="M2235" s="198">
        <f t="shared" si="272"/>
        <v>0</v>
      </c>
      <c r="N2235" s="75">
        <f t="shared" si="275"/>
        <v>58</v>
      </c>
      <c r="O2235" s="202">
        <f t="shared" si="276"/>
        <v>0</v>
      </c>
      <c r="P2235" s="199">
        <f t="shared" si="273"/>
        <v>0</v>
      </c>
      <c r="Q2235" s="203">
        <f t="shared" si="277"/>
        <v>-10.699999999998575</v>
      </c>
      <c r="R2235" s="203" t="s">
        <v>55</v>
      </c>
      <c r="S2235" s="201">
        <f t="shared" si="278"/>
        <v>-1.6383027522934857E-3</v>
      </c>
    </row>
    <row r="2236" spans="1:19">
      <c r="A2236" s="196">
        <v>43213</v>
      </c>
      <c r="B2236" s="122">
        <v>30.549999</v>
      </c>
      <c r="C2236" s="122">
        <v>30.57</v>
      </c>
      <c r="D2236" s="122">
        <v>30.030000999999999</v>
      </c>
      <c r="E2236" s="122">
        <v>30.25</v>
      </c>
      <c r="F2236" s="122">
        <v>29.472916000000001</v>
      </c>
      <c r="G2236" s="197">
        <v>45600</v>
      </c>
      <c r="H2236" s="198">
        <f>IF(AND(E2235&gt;=H2235,E2236&gt;=E2235),E2235*(1+'Trading Model'!$E$13),IF(AND(E2236&lt;E2235,E2235&gt;=H2235),E2236*(1+'Trading Model'!$E$13),H2235))</f>
        <v>39.921000000000006</v>
      </c>
      <c r="I2236" s="198">
        <f>IF(K2236&gt;0,E2236*(1-'Trading Model'!E2246),IF(E2236&lt;I2235,I2235*(1-'Trading Model'!$E$14),I2235))</f>
        <v>29.775090474999992</v>
      </c>
      <c r="J2236" s="198">
        <f t="shared" si="279"/>
        <v>0</v>
      </c>
      <c r="K2236" s="198">
        <f t="shared" si="274"/>
        <v>0</v>
      </c>
      <c r="L2236" s="198">
        <f>COUNTIF(J2236:K2236,"&lt;&gt;0")*-'Trading Model'!$E$15</f>
        <v>0</v>
      </c>
      <c r="M2236" s="198">
        <f t="shared" si="272"/>
        <v>0</v>
      </c>
      <c r="N2236" s="75">
        <f t="shared" si="275"/>
        <v>58</v>
      </c>
      <c r="O2236" s="202">
        <f t="shared" si="276"/>
        <v>0</v>
      </c>
      <c r="P2236" s="199">
        <f t="shared" si="273"/>
        <v>0</v>
      </c>
      <c r="Q2236" s="203">
        <f t="shared" si="277"/>
        <v>-10.799999999998574</v>
      </c>
      <c r="R2236" s="203" t="s">
        <v>55</v>
      </c>
      <c r="S2236" s="201">
        <f t="shared" si="278"/>
        <v>-7.2201840242922533E-3</v>
      </c>
    </row>
    <row r="2237" spans="1:19">
      <c r="A2237" s="196">
        <v>43214</v>
      </c>
      <c r="B2237" s="122">
        <v>30.360001</v>
      </c>
      <c r="C2237" s="122">
        <v>30.799999</v>
      </c>
      <c r="D2237" s="122">
        <v>30.02</v>
      </c>
      <c r="E2237" s="122">
        <v>30.25</v>
      </c>
      <c r="F2237" s="122">
        <v>29.472916000000001</v>
      </c>
      <c r="G2237" s="197">
        <v>83200</v>
      </c>
      <c r="H2237" s="198">
        <f>IF(AND(E2236&gt;=H2236,E2237&gt;=E2236),E2236*(1+'Trading Model'!$E$13),IF(AND(E2237&lt;E2236,E2236&gt;=H2236),E2237*(1+'Trading Model'!$E$13),H2236))</f>
        <v>39.921000000000006</v>
      </c>
      <c r="I2237" s="198">
        <f>IF(K2237&gt;0,E2237*(1-'Trading Model'!E2247),IF(E2237&lt;I2236,I2236*(1-'Trading Model'!$E$14),I2236))</f>
        <v>29.775090474999992</v>
      </c>
      <c r="J2237" s="198">
        <f t="shared" si="279"/>
        <v>0</v>
      </c>
      <c r="K2237" s="198">
        <f t="shared" si="274"/>
        <v>0</v>
      </c>
      <c r="L2237" s="198">
        <f>COUNTIF(J2237:K2237,"&lt;&gt;0")*-'Trading Model'!$E$15</f>
        <v>0</v>
      </c>
      <c r="M2237" s="198">
        <f t="shared" si="272"/>
        <v>0</v>
      </c>
      <c r="N2237" s="75">
        <f t="shared" si="275"/>
        <v>58</v>
      </c>
      <c r="O2237" s="202">
        <f t="shared" si="276"/>
        <v>0</v>
      </c>
      <c r="P2237" s="199">
        <f t="shared" si="273"/>
        <v>0</v>
      </c>
      <c r="Q2237" s="203">
        <f t="shared" si="277"/>
        <v>-10.799999999998574</v>
      </c>
      <c r="R2237" s="201">
        <f>E2237/B2233-1</f>
        <v>-1.9130998702983182E-2</v>
      </c>
      <c r="S2237" s="201">
        <f t="shared" si="278"/>
        <v>0</v>
      </c>
    </row>
    <row r="2238" spans="1:19">
      <c r="A2238" s="196">
        <v>43215</v>
      </c>
      <c r="B2238" s="122">
        <v>30.299999</v>
      </c>
      <c r="C2238" s="122">
        <v>30.610001</v>
      </c>
      <c r="D2238" s="122">
        <v>29.110001</v>
      </c>
      <c r="E2238" s="122">
        <v>30.290001</v>
      </c>
      <c r="F2238" s="122">
        <v>29.511889</v>
      </c>
      <c r="G2238" s="197">
        <v>211300</v>
      </c>
      <c r="H2238" s="198">
        <f>IF(AND(E2237&gt;=H2237,E2238&gt;=E2237),E2237*(1+'Trading Model'!$E$13),IF(AND(E2238&lt;E2237,E2237&gt;=H2237),E2238*(1+'Trading Model'!$E$13),H2237))</f>
        <v>39.921000000000006</v>
      </c>
      <c r="I2238" s="198">
        <f>IF(K2238&gt;0,E2238*(1-'Trading Model'!E2248),IF(E2238&lt;I2237,I2237*(1-'Trading Model'!$E$14),I2237))</f>
        <v>29.775090474999992</v>
      </c>
      <c r="J2238" s="198">
        <f t="shared" si="279"/>
        <v>0</v>
      </c>
      <c r="K2238" s="198">
        <f t="shared" si="274"/>
        <v>0</v>
      </c>
      <c r="L2238" s="198">
        <f>COUNTIF(J2238:K2238,"&lt;&gt;0")*-'Trading Model'!$E$15</f>
        <v>0</v>
      </c>
      <c r="M2238" s="198">
        <f t="shared" si="272"/>
        <v>0</v>
      </c>
      <c r="N2238" s="75">
        <f t="shared" si="275"/>
        <v>58</v>
      </c>
      <c r="O2238" s="202">
        <f t="shared" si="276"/>
        <v>0</v>
      </c>
      <c r="P2238" s="199">
        <f t="shared" si="273"/>
        <v>0</v>
      </c>
      <c r="Q2238" s="203">
        <f t="shared" si="277"/>
        <v>-10.799999999998574</v>
      </c>
      <c r="R2238" s="160" t="s">
        <v>55</v>
      </c>
      <c r="S2238" s="201">
        <f t="shared" si="278"/>
        <v>1.3223471074379489E-3</v>
      </c>
    </row>
    <row r="2239" spans="1:19">
      <c r="A2239" s="196">
        <v>43216</v>
      </c>
      <c r="B2239" s="122">
        <v>30.370000999999998</v>
      </c>
      <c r="C2239" s="122">
        <v>30.549999</v>
      </c>
      <c r="D2239" s="122">
        <v>29.200001</v>
      </c>
      <c r="E2239" s="122">
        <v>29.450001</v>
      </c>
      <c r="F2239" s="122">
        <v>28.693466000000001</v>
      </c>
      <c r="G2239" s="197">
        <v>209600</v>
      </c>
      <c r="H2239" s="198">
        <f>IF(AND(E2238&gt;=H2238,E2239&gt;=E2238),E2238*(1+'Trading Model'!$E$13),IF(AND(E2239&lt;E2238,E2238&gt;=H2238),E2239*(1+'Trading Model'!$E$13),H2238))</f>
        <v>39.921000000000006</v>
      </c>
      <c r="I2239" s="198">
        <f>IF(K2239&gt;0,E2239*(1-'Trading Model'!E2249),IF(E2239&lt;I2238,I2238*(1-'Trading Model'!$E$14),I2238))</f>
        <v>28.286335951249992</v>
      </c>
      <c r="J2239" s="198">
        <f t="shared" si="279"/>
        <v>-29.450001</v>
      </c>
      <c r="K2239" s="198">
        <f t="shared" si="274"/>
        <v>0</v>
      </c>
      <c r="L2239" s="198">
        <f>COUNTIF(J2239:K2239,"&lt;&gt;0")*-'Trading Model'!$E$15</f>
        <v>-0.1</v>
      </c>
      <c r="M2239" s="198">
        <f t="shared" si="272"/>
        <v>-29.550001000000002</v>
      </c>
      <c r="N2239" s="75">
        <f t="shared" si="275"/>
        <v>59</v>
      </c>
      <c r="O2239" s="202">
        <f t="shared" si="276"/>
        <v>0</v>
      </c>
      <c r="P2239" s="199">
        <f t="shared" si="273"/>
        <v>0</v>
      </c>
      <c r="Q2239" s="203">
        <f t="shared" si="277"/>
        <v>-10.899999999998574</v>
      </c>
      <c r="R2239" s="203" t="s">
        <v>55</v>
      </c>
      <c r="S2239" s="201">
        <f t="shared" si="278"/>
        <v>-2.7731923812085668E-2</v>
      </c>
    </row>
    <row r="2240" spans="1:19">
      <c r="A2240" s="196">
        <v>43217</v>
      </c>
      <c r="B2240" s="122">
        <v>29.440000999999999</v>
      </c>
      <c r="C2240" s="122">
        <v>30.18</v>
      </c>
      <c r="D2240" s="122">
        <v>29.440000999999999</v>
      </c>
      <c r="E2240" s="122">
        <v>29.889999</v>
      </c>
      <c r="F2240" s="122">
        <v>29.122161999999999</v>
      </c>
      <c r="G2240" s="197">
        <v>126400</v>
      </c>
      <c r="H2240" s="198">
        <f>IF(AND(E2239&gt;=H2239,E2240&gt;=E2239),E2239*(1+'Trading Model'!$E$13),IF(AND(E2240&lt;E2239,E2239&gt;=H2239),E2240*(1+'Trading Model'!$E$13),H2239))</f>
        <v>39.921000000000006</v>
      </c>
      <c r="I2240" s="198">
        <f>IF(K2240&gt;0,E2240*(1-'Trading Model'!E2250),IF(E2240&lt;I2239,I2239*(1-'Trading Model'!$E$14),I2239))</f>
        <v>28.286335951249992</v>
      </c>
      <c r="J2240" s="198">
        <f t="shared" si="279"/>
        <v>0</v>
      </c>
      <c r="K2240" s="198">
        <f t="shared" si="274"/>
        <v>0</v>
      </c>
      <c r="L2240" s="198">
        <f>COUNTIF(J2240:K2240,"&lt;&gt;0")*-'Trading Model'!$E$15</f>
        <v>0</v>
      </c>
      <c r="M2240" s="198">
        <f t="shared" si="272"/>
        <v>0</v>
      </c>
      <c r="N2240" s="75">
        <f t="shared" si="275"/>
        <v>59</v>
      </c>
      <c r="O2240" s="202">
        <f t="shared" si="276"/>
        <v>0</v>
      </c>
      <c r="P2240" s="199">
        <f t="shared" si="273"/>
        <v>0</v>
      </c>
      <c r="Q2240" s="203">
        <f t="shared" si="277"/>
        <v>-10.899999999998574</v>
      </c>
      <c r="R2240" s="203" t="s">
        <v>55</v>
      </c>
      <c r="S2240" s="201">
        <f t="shared" si="278"/>
        <v>1.4940508830542987E-2</v>
      </c>
    </row>
    <row r="2241" spans="1:19">
      <c r="A2241" s="196">
        <v>43220</v>
      </c>
      <c r="B2241" s="122">
        <v>30.040001</v>
      </c>
      <c r="C2241" s="122">
        <v>30.65</v>
      </c>
      <c r="D2241" s="122">
        <v>29.959999</v>
      </c>
      <c r="E2241" s="122">
        <v>30.040001</v>
      </c>
      <c r="F2241" s="122">
        <v>29.268311000000001</v>
      </c>
      <c r="G2241" s="197">
        <v>249200</v>
      </c>
      <c r="H2241" s="198">
        <f>IF(AND(E2240&gt;=H2240,E2241&gt;=E2240),E2240*(1+'Trading Model'!$E$13),IF(AND(E2241&lt;E2240,E2240&gt;=H2240),E2241*(1+'Trading Model'!$E$13),H2240))</f>
        <v>39.921000000000006</v>
      </c>
      <c r="I2241" s="198">
        <f>IF(K2241&gt;0,E2241*(1-'Trading Model'!E2251),IF(E2241&lt;I2240,I2240*(1-'Trading Model'!$E$14),I2240))</f>
        <v>28.286335951249992</v>
      </c>
      <c r="J2241" s="198">
        <f t="shared" si="279"/>
        <v>0</v>
      </c>
      <c r="K2241" s="198">
        <f t="shared" si="274"/>
        <v>0</v>
      </c>
      <c r="L2241" s="198">
        <f>COUNTIF(J2241:K2241,"&lt;&gt;0")*-'Trading Model'!$E$15</f>
        <v>0</v>
      </c>
      <c r="M2241" s="198">
        <f t="shared" si="272"/>
        <v>0</v>
      </c>
      <c r="N2241" s="75">
        <f t="shared" si="275"/>
        <v>59</v>
      </c>
      <c r="O2241" s="202">
        <f t="shared" si="276"/>
        <v>0</v>
      </c>
      <c r="P2241" s="199">
        <f t="shared" si="273"/>
        <v>0</v>
      </c>
      <c r="Q2241" s="203">
        <f t="shared" si="277"/>
        <v>-10.899999999998574</v>
      </c>
      <c r="R2241" s="203" t="s">
        <v>55</v>
      </c>
      <c r="S2241" s="201">
        <f t="shared" si="278"/>
        <v>5.0184678828526508E-3</v>
      </c>
    </row>
    <row r="2242" spans="1:19">
      <c r="A2242" s="196">
        <v>43221</v>
      </c>
      <c r="B2242" s="122">
        <v>30.17</v>
      </c>
      <c r="C2242" s="122">
        <v>30.549999</v>
      </c>
      <c r="D2242" s="122">
        <v>29.610001</v>
      </c>
      <c r="E2242" s="122">
        <v>29.950001</v>
      </c>
      <c r="F2242" s="122">
        <v>29.180622</v>
      </c>
      <c r="G2242" s="197">
        <v>65100</v>
      </c>
      <c r="H2242" s="198">
        <f>IF(AND(E2241&gt;=H2241,E2242&gt;=E2241),E2241*(1+'Trading Model'!$E$13),IF(AND(E2242&lt;E2241,E2241&gt;=H2241),E2242*(1+'Trading Model'!$E$13),H2241))</f>
        <v>39.921000000000006</v>
      </c>
      <c r="I2242" s="198">
        <f>IF(K2242&gt;0,E2242*(1-'Trading Model'!E2252),IF(E2242&lt;I2241,I2241*(1-'Trading Model'!$E$14),I2241))</f>
        <v>28.286335951249992</v>
      </c>
      <c r="J2242" s="198">
        <f t="shared" si="279"/>
        <v>0</v>
      </c>
      <c r="K2242" s="198">
        <f t="shared" si="274"/>
        <v>0</v>
      </c>
      <c r="L2242" s="198">
        <f>COUNTIF(J2242:K2242,"&lt;&gt;0")*-'Trading Model'!$E$15</f>
        <v>0</v>
      </c>
      <c r="M2242" s="198">
        <f t="shared" si="272"/>
        <v>0</v>
      </c>
      <c r="N2242" s="75">
        <f t="shared" si="275"/>
        <v>59</v>
      </c>
      <c r="O2242" s="202">
        <f t="shared" si="276"/>
        <v>0</v>
      </c>
      <c r="P2242" s="199">
        <f t="shared" si="273"/>
        <v>0</v>
      </c>
      <c r="Q2242" s="203">
        <f t="shared" si="277"/>
        <v>-10.999999999998574</v>
      </c>
      <c r="R2242" s="201">
        <f>E2242/B2238-1</f>
        <v>-1.1551089490134947E-2</v>
      </c>
      <c r="S2242" s="201">
        <f t="shared" si="278"/>
        <v>-2.9960052264977888E-3</v>
      </c>
    </row>
    <row r="2243" spans="1:19">
      <c r="A2243" s="196">
        <v>43222</v>
      </c>
      <c r="B2243" s="122">
        <v>29.700001</v>
      </c>
      <c r="C2243" s="122">
        <v>29.700001</v>
      </c>
      <c r="D2243" s="122">
        <v>28.85</v>
      </c>
      <c r="E2243" s="122">
        <v>28.940000999999999</v>
      </c>
      <c r="F2243" s="122">
        <v>28.196567999999999</v>
      </c>
      <c r="G2243" s="197">
        <v>160900</v>
      </c>
      <c r="H2243" s="198">
        <f>IF(AND(E2242&gt;=H2242,E2243&gt;=E2242),E2242*(1+'Trading Model'!$E$13),IF(AND(E2243&lt;E2242,E2242&gt;=H2242),E2243*(1+'Trading Model'!$E$13),H2242))</f>
        <v>39.921000000000006</v>
      </c>
      <c r="I2243" s="198">
        <f>IF(K2243&gt;0,E2243*(1-'Trading Model'!E2253),IF(E2243&lt;I2242,I2242*(1-'Trading Model'!$E$14),I2242))</f>
        <v>28.286335951249992</v>
      </c>
      <c r="J2243" s="198">
        <f t="shared" si="279"/>
        <v>0</v>
      </c>
      <c r="K2243" s="198">
        <f t="shared" si="274"/>
        <v>0</v>
      </c>
      <c r="L2243" s="198">
        <f>COUNTIF(J2243:K2243,"&lt;&gt;0")*-'Trading Model'!$E$15</f>
        <v>0</v>
      </c>
      <c r="M2243" s="198">
        <f t="shared" ref="M2243:M2306" si="280">SUM(J2243:L2243)</f>
        <v>0</v>
      </c>
      <c r="N2243" s="75">
        <f t="shared" si="275"/>
        <v>59</v>
      </c>
      <c r="O2243" s="202">
        <f t="shared" si="276"/>
        <v>0</v>
      </c>
      <c r="P2243" s="199">
        <f t="shared" ref="P2243:P2306" si="281">IFERROR(VLOOKUP(A2243,Dividends,2,FALSE),$U$1)</f>
        <v>0</v>
      </c>
      <c r="Q2243" s="203">
        <f t="shared" si="277"/>
        <v>-11.099999999998573</v>
      </c>
      <c r="R2243" s="160" t="s">
        <v>55</v>
      </c>
      <c r="S2243" s="201">
        <f t="shared" si="278"/>
        <v>-3.3722870326448495E-2</v>
      </c>
    </row>
    <row r="2244" spans="1:19">
      <c r="A2244" s="196">
        <v>43223</v>
      </c>
      <c r="B2244" s="122">
        <v>28.709999</v>
      </c>
      <c r="C2244" s="122">
        <v>28.959999</v>
      </c>
      <c r="D2244" s="122">
        <v>26.969999000000001</v>
      </c>
      <c r="E2244" s="122">
        <v>27.389999</v>
      </c>
      <c r="F2244" s="122">
        <v>26.686384</v>
      </c>
      <c r="G2244" s="197">
        <v>223300</v>
      </c>
      <c r="H2244" s="198">
        <f>IF(AND(E2243&gt;=H2243,E2244&gt;=E2243),E2243*(1+'Trading Model'!$E$13),IF(AND(E2244&lt;E2243,E2243&gt;=H2243),E2244*(1+'Trading Model'!$E$13),H2243))</f>
        <v>39.921000000000006</v>
      </c>
      <c r="I2244" s="198">
        <f>IF(K2244&gt;0,E2244*(1-'Trading Model'!E2254),IF(E2244&lt;I2243,I2243*(1-'Trading Model'!$E$14),I2243))</f>
        <v>26.872019153687489</v>
      </c>
      <c r="J2244" s="198">
        <f t="shared" si="279"/>
        <v>-27.389999</v>
      </c>
      <c r="K2244" s="198">
        <f t="shared" ref="K2244:K2307" si="282">IF(E2244&gt;=H2244,E2244,0)</f>
        <v>0</v>
      </c>
      <c r="L2244" s="198">
        <f>COUNTIF(J2244:K2244,"&lt;&gt;0")*-'Trading Model'!$E$15</f>
        <v>-0.1</v>
      </c>
      <c r="M2244" s="198">
        <f t="shared" si="280"/>
        <v>-27.489999000000001</v>
      </c>
      <c r="N2244" s="75">
        <f t="shared" ref="N2244:N2307" si="283">IF(AND(J2244&lt;0,K2244&gt;0),N2243,(IF(J2244&lt;0,N2243+1,IF(K2244&gt;0,N2243+1,N2243))))</f>
        <v>60</v>
      </c>
      <c r="O2244" s="202">
        <f t="shared" ref="O2244:O2307" si="284">P2244</f>
        <v>0</v>
      </c>
      <c r="P2244" s="199">
        <f t="shared" si="281"/>
        <v>0</v>
      </c>
      <c r="Q2244" s="203">
        <f t="shared" ref="Q2244:Q2307" si="285">IF(E2244&lt;E2243,Q2243-0.1,Q2243)</f>
        <v>-11.199999999998573</v>
      </c>
      <c r="R2244" s="203" t="s">
        <v>55</v>
      </c>
      <c r="S2244" s="201">
        <f t="shared" ref="S2244:S2307" si="286">E2244/E2243-1</f>
        <v>-5.355915502559927E-2</v>
      </c>
    </row>
    <row r="2245" spans="1:19">
      <c r="A2245" s="196">
        <v>43224</v>
      </c>
      <c r="B2245" s="122">
        <v>27.24</v>
      </c>
      <c r="C2245" s="122">
        <v>29.469999000000001</v>
      </c>
      <c r="D2245" s="122">
        <v>27.190000999999999</v>
      </c>
      <c r="E2245" s="122">
        <v>28.01</v>
      </c>
      <c r="F2245" s="122">
        <v>27.290458999999998</v>
      </c>
      <c r="G2245" s="197">
        <v>301100</v>
      </c>
      <c r="H2245" s="198">
        <f>IF(AND(E2244&gt;=H2244,E2245&gt;=E2244),E2244*(1+'Trading Model'!$E$13),IF(AND(E2245&lt;E2244,E2244&gt;=H2244),E2245*(1+'Trading Model'!$E$13),H2244))</f>
        <v>39.921000000000006</v>
      </c>
      <c r="I2245" s="198">
        <f>IF(K2245&gt;0,E2245*(1-'Trading Model'!E2255),IF(E2245&lt;I2244,I2244*(1-'Trading Model'!$E$14),I2244))</f>
        <v>26.872019153687489</v>
      </c>
      <c r="J2245" s="198">
        <f t="shared" ref="J2245:J2308" si="287">IF(E2245&gt;=H2245,-E2245,IF(E2245&lt;=I2244,-E2245,0))</f>
        <v>0</v>
      </c>
      <c r="K2245" s="198">
        <f t="shared" si="282"/>
        <v>0</v>
      </c>
      <c r="L2245" s="198">
        <f>COUNTIF(J2245:K2245,"&lt;&gt;0")*-'Trading Model'!$E$15</f>
        <v>0</v>
      </c>
      <c r="M2245" s="198">
        <f t="shared" si="280"/>
        <v>0</v>
      </c>
      <c r="N2245" s="75">
        <f t="shared" si="283"/>
        <v>60</v>
      </c>
      <c r="O2245" s="202">
        <f t="shared" si="284"/>
        <v>0</v>
      </c>
      <c r="P2245" s="199">
        <f t="shared" si="281"/>
        <v>0</v>
      </c>
      <c r="Q2245" s="203">
        <f t="shared" si="285"/>
        <v>-11.199999999998573</v>
      </c>
      <c r="R2245" s="203" t="s">
        <v>55</v>
      </c>
      <c r="S2245" s="201">
        <f t="shared" si="286"/>
        <v>2.2636035875722493E-2</v>
      </c>
    </row>
    <row r="2246" spans="1:19">
      <c r="A2246" s="196">
        <v>43227</v>
      </c>
      <c r="B2246" s="122">
        <v>28.110001</v>
      </c>
      <c r="C2246" s="122">
        <v>28.559999000000001</v>
      </c>
      <c r="D2246" s="122">
        <v>26.809999000000001</v>
      </c>
      <c r="E2246" s="122">
        <v>27.120000999999998</v>
      </c>
      <c r="F2246" s="122">
        <v>26.423321000000001</v>
      </c>
      <c r="G2246" s="197">
        <v>131800</v>
      </c>
      <c r="H2246" s="198">
        <f>IF(AND(E2245&gt;=H2245,E2246&gt;=E2245),E2245*(1+'Trading Model'!$E$13),IF(AND(E2246&lt;E2245,E2245&gt;=H2245),E2246*(1+'Trading Model'!$E$13),H2245))</f>
        <v>39.921000000000006</v>
      </c>
      <c r="I2246" s="198">
        <f>IF(K2246&gt;0,E2246*(1-'Trading Model'!E2256),IF(E2246&lt;I2245,I2245*(1-'Trading Model'!$E$14),I2245))</f>
        <v>26.872019153687489</v>
      </c>
      <c r="J2246" s="198">
        <f t="shared" si="287"/>
        <v>0</v>
      </c>
      <c r="K2246" s="198">
        <f t="shared" si="282"/>
        <v>0</v>
      </c>
      <c r="L2246" s="198">
        <f>COUNTIF(J2246:K2246,"&lt;&gt;0")*-'Trading Model'!$E$15</f>
        <v>0</v>
      </c>
      <c r="M2246" s="198">
        <f t="shared" si="280"/>
        <v>0</v>
      </c>
      <c r="N2246" s="75">
        <f t="shared" si="283"/>
        <v>60</v>
      </c>
      <c r="O2246" s="202">
        <f t="shared" si="284"/>
        <v>0</v>
      </c>
      <c r="P2246" s="199">
        <f t="shared" si="281"/>
        <v>0</v>
      </c>
      <c r="Q2246" s="203">
        <f t="shared" si="285"/>
        <v>-11.299999999998573</v>
      </c>
      <c r="R2246" s="203" t="s">
        <v>55</v>
      </c>
      <c r="S2246" s="201">
        <f t="shared" si="286"/>
        <v>-3.1774330596215705E-2</v>
      </c>
    </row>
    <row r="2247" spans="1:19">
      <c r="A2247" s="196">
        <v>43228</v>
      </c>
      <c r="B2247" s="122">
        <v>27.07</v>
      </c>
      <c r="C2247" s="122">
        <v>27.290001</v>
      </c>
      <c r="D2247" s="122">
        <v>24.469999000000001</v>
      </c>
      <c r="E2247" s="122">
        <v>24.700001</v>
      </c>
      <c r="F2247" s="122">
        <v>24.065488999999999</v>
      </c>
      <c r="G2247" s="197">
        <v>679200</v>
      </c>
      <c r="H2247" s="198">
        <f>IF(AND(E2246&gt;=H2246,E2247&gt;=E2246),E2246*(1+'Trading Model'!$E$13),IF(AND(E2247&lt;E2246,E2246&gt;=H2246),E2247*(1+'Trading Model'!$E$13),H2246))</f>
        <v>39.921000000000006</v>
      </c>
      <c r="I2247" s="198">
        <f>IF(K2247&gt;0,E2247*(1-'Trading Model'!E2257),IF(E2247&lt;I2246,I2246*(1-'Trading Model'!$E$14),I2246))</f>
        <v>25.528418196003113</v>
      </c>
      <c r="J2247" s="198">
        <f t="shared" si="287"/>
        <v>-24.700001</v>
      </c>
      <c r="K2247" s="198">
        <f t="shared" si="282"/>
        <v>0</v>
      </c>
      <c r="L2247" s="198">
        <f>COUNTIF(J2247:K2247,"&lt;&gt;0")*-'Trading Model'!$E$15</f>
        <v>-0.1</v>
      </c>
      <c r="M2247" s="198">
        <f t="shared" si="280"/>
        <v>-24.800001000000002</v>
      </c>
      <c r="N2247" s="75">
        <f t="shared" si="283"/>
        <v>61</v>
      </c>
      <c r="O2247" s="202">
        <f t="shared" si="284"/>
        <v>0</v>
      </c>
      <c r="P2247" s="199">
        <f t="shared" si="281"/>
        <v>0</v>
      </c>
      <c r="Q2247" s="203">
        <f t="shared" si="285"/>
        <v>-11.399999999998572</v>
      </c>
      <c r="R2247" s="201">
        <f>E2247/B2243-1</f>
        <v>-0.16835016268181269</v>
      </c>
      <c r="S2247" s="201">
        <f t="shared" si="286"/>
        <v>-8.9233035057778909E-2</v>
      </c>
    </row>
    <row r="2248" spans="1:19">
      <c r="A2248" s="196">
        <v>43229</v>
      </c>
      <c r="B2248" s="122">
        <v>24.68</v>
      </c>
      <c r="C2248" s="122">
        <v>25.129999000000002</v>
      </c>
      <c r="D2248" s="122">
        <v>24.280000999999999</v>
      </c>
      <c r="E2248" s="122">
        <v>24.5</v>
      </c>
      <c r="F2248" s="122">
        <v>23.870625</v>
      </c>
      <c r="G2248" s="197">
        <v>586200</v>
      </c>
      <c r="H2248" s="198">
        <f>IF(AND(E2247&gt;=H2247,E2248&gt;=E2247),E2247*(1+'Trading Model'!$E$13),IF(AND(E2248&lt;E2247,E2247&gt;=H2247),E2248*(1+'Trading Model'!$E$13),H2247))</f>
        <v>39.921000000000006</v>
      </c>
      <c r="I2248" s="198">
        <f>IF(K2248&gt;0,E2248*(1-'Trading Model'!E2258),IF(E2248&lt;I2247,I2247*(1-'Trading Model'!$E$14),I2247))</f>
        <v>24.251997286202958</v>
      </c>
      <c r="J2248" s="198">
        <f t="shared" si="287"/>
        <v>-24.5</v>
      </c>
      <c r="K2248" s="198">
        <f t="shared" si="282"/>
        <v>0</v>
      </c>
      <c r="L2248" s="198">
        <f>COUNTIF(J2248:K2248,"&lt;&gt;0")*-'Trading Model'!$E$15</f>
        <v>-0.1</v>
      </c>
      <c r="M2248" s="198">
        <f t="shared" si="280"/>
        <v>-24.6</v>
      </c>
      <c r="N2248" s="75">
        <f t="shared" si="283"/>
        <v>62</v>
      </c>
      <c r="O2248" s="202">
        <f t="shared" si="284"/>
        <v>0</v>
      </c>
      <c r="P2248" s="199">
        <f t="shared" si="281"/>
        <v>0</v>
      </c>
      <c r="Q2248" s="203">
        <f t="shared" si="285"/>
        <v>-11.499999999998572</v>
      </c>
      <c r="R2248" s="160" t="s">
        <v>55</v>
      </c>
      <c r="S2248" s="201">
        <f t="shared" si="286"/>
        <v>-8.0972061499107184E-3</v>
      </c>
    </row>
    <row r="2249" spans="1:19">
      <c r="A2249" s="196">
        <v>43230</v>
      </c>
      <c r="B2249" s="122">
        <v>24.5</v>
      </c>
      <c r="C2249" s="122">
        <v>24.889999</v>
      </c>
      <c r="D2249" s="122">
        <v>24.25</v>
      </c>
      <c r="E2249" s="122">
        <v>24.32</v>
      </c>
      <c r="F2249" s="122">
        <v>23.695250000000001</v>
      </c>
      <c r="G2249" s="197">
        <v>532900</v>
      </c>
      <c r="H2249" s="198">
        <f>IF(AND(E2248&gt;=H2248,E2249&gt;=E2248),E2248*(1+'Trading Model'!$E$13),IF(AND(E2249&lt;E2248,E2248&gt;=H2248),E2249*(1+'Trading Model'!$E$13),H2248))</f>
        <v>39.921000000000006</v>
      </c>
      <c r="I2249" s="198">
        <f>IF(K2249&gt;0,E2249*(1-'Trading Model'!E2259),IF(E2249&lt;I2248,I2248*(1-'Trading Model'!$E$14),I2248))</f>
        <v>24.251997286202958</v>
      </c>
      <c r="J2249" s="198">
        <f t="shared" si="287"/>
        <v>0</v>
      </c>
      <c r="K2249" s="198">
        <f t="shared" si="282"/>
        <v>0</v>
      </c>
      <c r="L2249" s="198">
        <f>COUNTIF(J2249:K2249,"&lt;&gt;0")*-'Trading Model'!$E$15</f>
        <v>0</v>
      </c>
      <c r="M2249" s="198">
        <f t="shared" si="280"/>
        <v>0</v>
      </c>
      <c r="N2249" s="75">
        <f t="shared" si="283"/>
        <v>62</v>
      </c>
      <c r="O2249" s="202">
        <f t="shared" si="284"/>
        <v>0</v>
      </c>
      <c r="P2249" s="199">
        <f t="shared" si="281"/>
        <v>0</v>
      </c>
      <c r="Q2249" s="203">
        <f t="shared" si="285"/>
        <v>-11.599999999998571</v>
      </c>
      <c r="R2249" s="203" t="s">
        <v>55</v>
      </c>
      <c r="S2249" s="201">
        <f t="shared" si="286"/>
        <v>-7.3469387755101812E-3</v>
      </c>
    </row>
    <row r="2250" spans="1:19">
      <c r="A2250" s="196">
        <v>43231</v>
      </c>
      <c r="B2250" s="122">
        <v>24.76</v>
      </c>
      <c r="C2250" s="122">
        <v>24.889999</v>
      </c>
      <c r="D2250" s="122">
        <v>21.889999</v>
      </c>
      <c r="E2250" s="122">
        <v>22.200001</v>
      </c>
      <c r="F2250" s="122">
        <v>21.629708999999998</v>
      </c>
      <c r="G2250" s="197">
        <v>1085200</v>
      </c>
      <c r="H2250" s="198">
        <f>IF(AND(E2249&gt;=H2249,E2250&gt;=E2249),E2249*(1+'Trading Model'!$E$13),IF(AND(E2250&lt;E2249,E2249&gt;=H2249),E2250*(1+'Trading Model'!$E$13),H2249))</f>
        <v>39.921000000000006</v>
      </c>
      <c r="I2250" s="198">
        <f>IF(K2250&gt;0,E2250*(1-'Trading Model'!E2260),IF(E2250&lt;I2249,I2249*(1-'Trading Model'!$E$14),I2249))</f>
        <v>23.039397421892808</v>
      </c>
      <c r="J2250" s="198">
        <f t="shared" si="287"/>
        <v>-22.200001</v>
      </c>
      <c r="K2250" s="198">
        <f t="shared" si="282"/>
        <v>0</v>
      </c>
      <c r="L2250" s="198">
        <f>COUNTIF(J2250:K2250,"&lt;&gt;0")*-'Trading Model'!$E$15</f>
        <v>-0.1</v>
      </c>
      <c r="M2250" s="198">
        <f t="shared" si="280"/>
        <v>-22.300001000000002</v>
      </c>
      <c r="N2250" s="75">
        <f t="shared" si="283"/>
        <v>63</v>
      </c>
      <c r="O2250" s="202">
        <f t="shared" si="284"/>
        <v>0</v>
      </c>
      <c r="P2250" s="199">
        <f t="shared" si="281"/>
        <v>0</v>
      </c>
      <c r="Q2250" s="203">
        <f t="shared" si="285"/>
        <v>-11.699999999998571</v>
      </c>
      <c r="R2250" s="203" t="s">
        <v>55</v>
      </c>
      <c r="S2250" s="201">
        <f t="shared" si="286"/>
        <v>-8.717101151315787E-2</v>
      </c>
    </row>
    <row r="2251" spans="1:19">
      <c r="A2251" s="196">
        <v>43234</v>
      </c>
      <c r="B2251" s="122">
        <v>22.440000999999999</v>
      </c>
      <c r="C2251" s="122">
        <v>22.5</v>
      </c>
      <c r="D2251" s="122">
        <v>21.620000999999998</v>
      </c>
      <c r="E2251" s="122">
        <v>22.049999</v>
      </c>
      <c r="F2251" s="122">
        <v>21.483561999999999</v>
      </c>
      <c r="G2251" s="197">
        <v>999900</v>
      </c>
      <c r="H2251" s="198">
        <f>IF(AND(E2250&gt;=H2250,E2251&gt;=E2250),E2250*(1+'Trading Model'!$E$13),IF(AND(E2251&lt;E2250,E2250&gt;=H2250),E2251*(1+'Trading Model'!$E$13),H2250))</f>
        <v>39.921000000000006</v>
      </c>
      <c r="I2251" s="198">
        <f>IF(K2251&gt;0,E2251*(1-'Trading Model'!E2261),IF(E2251&lt;I2250,I2250*(1-'Trading Model'!$E$14),I2250))</f>
        <v>21.887427550798165</v>
      </c>
      <c r="J2251" s="198">
        <f t="shared" si="287"/>
        <v>-22.049999</v>
      </c>
      <c r="K2251" s="198">
        <f t="shared" si="282"/>
        <v>0</v>
      </c>
      <c r="L2251" s="198">
        <f>COUNTIF(J2251:K2251,"&lt;&gt;0")*-'Trading Model'!$E$15</f>
        <v>-0.1</v>
      </c>
      <c r="M2251" s="198">
        <f t="shared" si="280"/>
        <v>-22.149999000000001</v>
      </c>
      <c r="N2251" s="75">
        <f t="shared" si="283"/>
        <v>64</v>
      </c>
      <c r="O2251" s="202">
        <f t="shared" si="284"/>
        <v>0</v>
      </c>
      <c r="P2251" s="199">
        <f t="shared" si="281"/>
        <v>0</v>
      </c>
      <c r="Q2251" s="203">
        <f t="shared" si="285"/>
        <v>-11.799999999998571</v>
      </c>
      <c r="R2251" s="203" t="s">
        <v>55</v>
      </c>
      <c r="S2251" s="201">
        <f t="shared" si="286"/>
        <v>-6.7568465424844293E-3</v>
      </c>
    </row>
    <row r="2252" spans="1:19">
      <c r="A2252" s="196">
        <v>43235</v>
      </c>
      <c r="B2252" s="122">
        <v>21.700001</v>
      </c>
      <c r="C2252" s="122">
        <v>23.67</v>
      </c>
      <c r="D2252" s="122">
        <v>21.129999000000002</v>
      </c>
      <c r="E2252" s="122">
        <v>23.57</v>
      </c>
      <c r="F2252" s="122">
        <v>22.964516</v>
      </c>
      <c r="G2252" s="197">
        <v>1054900</v>
      </c>
      <c r="H2252" s="198">
        <f>IF(AND(E2251&gt;=H2251,E2252&gt;=E2251),E2251*(1+'Trading Model'!$E$13),IF(AND(E2252&lt;E2251,E2251&gt;=H2251),E2252*(1+'Trading Model'!$E$13),H2251))</f>
        <v>39.921000000000006</v>
      </c>
      <c r="I2252" s="198">
        <f>IF(K2252&gt;0,E2252*(1-'Trading Model'!E2262),IF(E2252&lt;I2251,I2251*(1-'Trading Model'!$E$14),I2251))</f>
        <v>21.887427550798165</v>
      </c>
      <c r="J2252" s="198">
        <f t="shared" si="287"/>
        <v>0</v>
      </c>
      <c r="K2252" s="198">
        <f t="shared" si="282"/>
        <v>0</v>
      </c>
      <c r="L2252" s="198">
        <f>COUNTIF(J2252:K2252,"&lt;&gt;0")*-'Trading Model'!$E$15</f>
        <v>0</v>
      </c>
      <c r="M2252" s="198">
        <f t="shared" si="280"/>
        <v>0</v>
      </c>
      <c r="N2252" s="75">
        <f t="shared" si="283"/>
        <v>64</v>
      </c>
      <c r="O2252" s="202">
        <f t="shared" si="284"/>
        <v>0</v>
      </c>
      <c r="P2252" s="199">
        <f t="shared" si="281"/>
        <v>0</v>
      </c>
      <c r="Q2252" s="203">
        <f t="shared" si="285"/>
        <v>-11.799999999998571</v>
      </c>
      <c r="R2252" s="201">
        <f>E2252/B2248-1</f>
        <v>-4.4975688816855763E-2</v>
      </c>
      <c r="S2252" s="201">
        <f t="shared" si="286"/>
        <v>6.8934288840557301E-2</v>
      </c>
    </row>
    <row r="2253" spans="1:19">
      <c r="A2253" s="196">
        <v>43236</v>
      </c>
      <c r="B2253" s="122">
        <v>23.6</v>
      </c>
      <c r="C2253" s="122">
        <v>23.66</v>
      </c>
      <c r="D2253" s="122">
        <v>22.35</v>
      </c>
      <c r="E2253" s="122">
        <v>22.59</v>
      </c>
      <c r="F2253" s="122">
        <v>22.009691</v>
      </c>
      <c r="G2253" s="197">
        <v>674400</v>
      </c>
      <c r="H2253" s="198">
        <f>IF(AND(E2252&gt;=H2252,E2253&gt;=E2252),E2252*(1+'Trading Model'!$E$13),IF(AND(E2253&lt;E2252,E2252&gt;=H2252),E2253*(1+'Trading Model'!$E$13),H2252))</f>
        <v>39.921000000000006</v>
      </c>
      <c r="I2253" s="198">
        <f>IF(K2253&gt;0,E2253*(1-'Trading Model'!E2263),IF(E2253&lt;I2252,I2252*(1-'Trading Model'!$E$14),I2252))</f>
        <v>21.887427550798165</v>
      </c>
      <c r="J2253" s="198">
        <f t="shared" si="287"/>
        <v>0</v>
      </c>
      <c r="K2253" s="198">
        <f t="shared" si="282"/>
        <v>0</v>
      </c>
      <c r="L2253" s="198">
        <f>COUNTIF(J2253:K2253,"&lt;&gt;0")*-'Trading Model'!$E$15</f>
        <v>0</v>
      </c>
      <c r="M2253" s="198">
        <f t="shared" si="280"/>
        <v>0</v>
      </c>
      <c r="N2253" s="75">
        <f t="shared" si="283"/>
        <v>64</v>
      </c>
      <c r="O2253" s="202">
        <f t="shared" si="284"/>
        <v>0</v>
      </c>
      <c r="P2253" s="199">
        <f t="shared" si="281"/>
        <v>0</v>
      </c>
      <c r="Q2253" s="203">
        <f t="shared" si="285"/>
        <v>-11.89999999999857</v>
      </c>
      <c r="R2253" s="160" t="s">
        <v>55</v>
      </c>
      <c r="S2253" s="201">
        <f t="shared" si="286"/>
        <v>-4.1578277471361891E-2</v>
      </c>
    </row>
    <row r="2254" spans="1:19">
      <c r="A2254" s="196">
        <v>43237</v>
      </c>
      <c r="B2254" s="122">
        <v>22.4</v>
      </c>
      <c r="C2254" s="122">
        <v>23.26</v>
      </c>
      <c r="D2254" s="122">
        <v>21.77</v>
      </c>
      <c r="E2254" s="122">
        <v>23.110001</v>
      </c>
      <c r="F2254" s="122">
        <v>22.516332999999999</v>
      </c>
      <c r="G2254" s="197">
        <v>894500</v>
      </c>
      <c r="H2254" s="198">
        <f>IF(AND(E2253&gt;=H2253,E2254&gt;=E2253),E2253*(1+'Trading Model'!$E$13),IF(AND(E2254&lt;E2253,E2253&gt;=H2253),E2254*(1+'Trading Model'!$E$13),H2253))</f>
        <v>39.921000000000006</v>
      </c>
      <c r="I2254" s="198">
        <f>IF(K2254&gt;0,E2254*(1-'Trading Model'!E2264),IF(E2254&lt;I2253,I2253*(1-'Trading Model'!$E$14),I2253))</f>
        <v>21.887427550798165</v>
      </c>
      <c r="J2254" s="198">
        <f t="shared" si="287"/>
        <v>0</v>
      </c>
      <c r="K2254" s="198">
        <f t="shared" si="282"/>
        <v>0</v>
      </c>
      <c r="L2254" s="198">
        <f>COUNTIF(J2254:K2254,"&lt;&gt;0")*-'Trading Model'!$E$15</f>
        <v>0</v>
      </c>
      <c r="M2254" s="198">
        <f t="shared" si="280"/>
        <v>0</v>
      </c>
      <c r="N2254" s="75">
        <f t="shared" si="283"/>
        <v>64</v>
      </c>
      <c r="O2254" s="202">
        <f t="shared" si="284"/>
        <v>0</v>
      </c>
      <c r="P2254" s="199">
        <f t="shared" si="281"/>
        <v>0</v>
      </c>
      <c r="Q2254" s="203">
        <f t="shared" si="285"/>
        <v>-11.89999999999857</v>
      </c>
      <c r="R2254" s="203" t="s">
        <v>55</v>
      </c>
      <c r="S2254" s="201">
        <f t="shared" si="286"/>
        <v>2.3019079238601137E-2</v>
      </c>
    </row>
    <row r="2255" spans="1:19">
      <c r="A2255" s="196">
        <v>43238</v>
      </c>
      <c r="B2255" s="122">
        <v>23</v>
      </c>
      <c r="C2255" s="122">
        <v>23.25</v>
      </c>
      <c r="D2255" s="122">
        <v>22.67</v>
      </c>
      <c r="E2255" s="122">
        <v>23.07</v>
      </c>
      <c r="F2255" s="122">
        <v>22.477360000000001</v>
      </c>
      <c r="G2255" s="197">
        <v>336600</v>
      </c>
      <c r="H2255" s="198">
        <f>IF(AND(E2254&gt;=H2254,E2255&gt;=E2254),E2254*(1+'Trading Model'!$E$13),IF(AND(E2255&lt;E2254,E2254&gt;=H2254),E2255*(1+'Trading Model'!$E$13),H2254))</f>
        <v>39.921000000000006</v>
      </c>
      <c r="I2255" s="198">
        <f>IF(K2255&gt;0,E2255*(1-'Trading Model'!E2265),IF(E2255&lt;I2254,I2254*(1-'Trading Model'!$E$14),I2254))</f>
        <v>21.887427550798165</v>
      </c>
      <c r="J2255" s="198">
        <f t="shared" si="287"/>
        <v>0</v>
      </c>
      <c r="K2255" s="198">
        <f t="shared" si="282"/>
        <v>0</v>
      </c>
      <c r="L2255" s="198">
        <f>COUNTIF(J2255:K2255,"&lt;&gt;0")*-'Trading Model'!$E$15</f>
        <v>0</v>
      </c>
      <c r="M2255" s="198">
        <f t="shared" si="280"/>
        <v>0</v>
      </c>
      <c r="N2255" s="75">
        <f t="shared" si="283"/>
        <v>64</v>
      </c>
      <c r="O2255" s="202">
        <f t="shared" si="284"/>
        <v>0</v>
      </c>
      <c r="P2255" s="199">
        <f t="shared" si="281"/>
        <v>0</v>
      </c>
      <c r="Q2255" s="203">
        <f t="shared" si="285"/>
        <v>-11.99999999999857</v>
      </c>
      <c r="R2255" s="203" t="s">
        <v>55</v>
      </c>
      <c r="S2255" s="201">
        <f t="shared" si="286"/>
        <v>-1.7308956412420695E-3</v>
      </c>
    </row>
    <row r="2256" spans="1:19">
      <c r="A2256" s="196">
        <v>43241</v>
      </c>
      <c r="B2256" s="122">
        <v>23.139999</v>
      </c>
      <c r="C2256" s="122">
        <v>23.629999000000002</v>
      </c>
      <c r="D2256" s="122">
        <v>22.940000999999999</v>
      </c>
      <c r="E2256" s="122">
        <v>23.43</v>
      </c>
      <c r="F2256" s="122">
        <v>22.828112000000001</v>
      </c>
      <c r="G2256" s="197">
        <v>317400</v>
      </c>
      <c r="H2256" s="198">
        <f>IF(AND(E2255&gt;=H2255,E2256&gt;=E2255),E2255*(1+'Trading Model'!$E$13),IF(AND(E2256&lt;E2255,E2255&gt;=H2255),E2256*(1+'Trading Model'!$E$13),H2255))</f>
        <v>39.921000000000006</v>
      </c>
      <c r="I2256" s="198">
        <f>IF(K2256&gt;0,E2256*(1-'Trading Model'!E2266),IF(E2256&lt;I2255,I2255*(1-'Trading Model'!$E$14),I2255))</f>
        <v>21.887427550798165</v>
      </c>
      <c r="J2256" s="198">
        <f t="shared" si="287"/>
        <v>0</v>
      </c>
      <c r="K2256" s="198">
        <f t="shared" si="282"/>
        <v>0</v>
      </c>
      <c r="L2256" s="198">
        <f>COUNTIF(J2256:K2256,"&lt;&gt;0")*-'Trading Model'!$E$15</f>
        <v>0</v>
      </c>
      <c r="M2256" s="198">
        <f t="shared" si="280"/>
        <v>0</v>
      </c>
      <c r="N2256" s="75">
        <f t="shared" si="283"/>
        <v>64</v>
      </c>
      <c r="O2256" s="202">
        <f t="shared" si="284"/>
        <v>0</v>
      </c>
      <c r="P2256" s="199">
        <f t="shared" si="281"/>
        <v>0</v>
      </c>
      <c r="Q2256" s="203">
        <f t="shared" si="285"/>
        <v>-11.99999999999857</v>
      </c>
      <c r="R2256" s="203" t="s">
        <v>55</v>
      </c>
      <c r="S2256" s="201">
        <f t="shared" si="286"/>
        <v>1.5604681404421283E-2</v>
      </c>
    </row>
    <row r="2257" spans="1:19">
      <c r="A2257" s="196">
        <v>43242</v>
      </c>
      <c r="B2257" s="122">
        <v>23.620000999999998</v>
      </c>
      <c r="C2257" s="122">
        <v>23.690000999999999</v>
      </c>
      <c r="D2257" s="122">
        <v>23.23</v>
      </c>
      <c r="E2257" s="122">
        <v>23.459999</v>
      </c>
      <c r="F2257" s="122">
        <v>22.857340000000001</v>
      </c>
      <c r="G2257" s="197">
        <v>520600</v>
      </c>
      <c r="H2257" s="198">
        <f>IF(AND(E2256&gt;=H2256,E2257&gt;=E2256),E2256*(1+'Trading Model'!$E$13),IF(AND(E2257&lt;E2256,E2256&gt;=H2256),E2257*(1+'Trading Model'!$E$13),H2256))</f>
        <v>39.921000000000006</v>
      </c>
      <c r="I2257" s="198">
        <f>IF(K2257&gt;0,E2257*(1-'Trading Model'!E2267),IF(E2257&lt;I2256,I2256*(1-'Trading Model'!$E$14),I2256))</f>
        <v>21.887427550798165</v>
      </c>
      <c r="J2257" s="198">
        <f t="shared" si="287"/>
        <v>0</v>
      </c>
      <c r="K2257" s="198">
        <f t="shared" si="282"/>
        <v>0</v>
      </c>
      <c r="L2257" s="198">
        <f>COUNTIF(J2257:K2257,"&lt;&gt;0")*-'Trading Model'!$E$15</f>
        <v>0</v>
      </c>
      <c r="M2257" s="198">
        <f t="shared" si="280"/>
        <v>0</v>
      </c>
      <c r="N2257" s="75">
        <f t="shared" si="283"/>
        <v>64</v>
      </c>
      <c r="O2257" s="202">
        <f t="shared" si="284"/>
        <v>0</v>
      </c>
      <c r="P2257" s="199">
        <f t="shared" si="281"/>
        <v>0</v>
      </c>
      <c r="Q2257" s="203">
        <f t="shared" si="285"/>
        <v>-11.99999999999857</v>
      </c>
      <c r="R2257" s="201">
        <f>E2257/B2253-1</f>
        <v>-5.9322457627118963E-3</v>
      </c>
      <c r="S2257" s="201">
        <f t="shared" si="286"/>
        <v>1.2803670507894882E-3</v>
      </c>
    </row>
    <row r="2258" spans="1:19">
      <c r="A2258" s="196">
        <v>43243</v>
      </c>
      <c r="B2258" s="122">
        <v>23.190000999999999</v>
      </c>
      <c r="C2258" s="122">
        <v>23.9</v>
      </c>
      <c r="D2258" s="122">
        <v>22.450001</v>
      </c>
      <c r="E2258" s="122">
        <v>22.809999000000001</v>
      </c>
      <c r="F2258" s="122">
        <v>22.224039000000001</v>
      </c>
      <c r="G2258" s="197">
        <v>772700</v>
      </c>
      <c r="H2258" s="198">
        <f>IF(AND(E2257&gt;=H2257,E2258&gt;=E2257),E2257*(1+'Trading Model'!$E$13),IF(AND(E2258&lt;E2257,E2257&gt;=H2257),E2258*(1+'Trading Model'!$E$13),H2257))</f>
        <v>39.921000000000006</v>
      </c>
      <c r="I2258" s="198">
        <f>IF(K2258&gt;0,E2258*(1-'Trading Model'!E2268),IF(E2258&lt;I2257,I2257*(1-'Trading Model'!$E$14),I2257))</f>
        <v>21.887427550798165</v>
      </c>
      <c r="J2258" s="198">
        <f t="shared" si="287"/>
        <v>0</v>
      </c>
      <c r="K2258" s="198">
        <f t="shared" si="282"/>
        <v>0</v>
      </c>
      <c r="L2258" s="198">
        <f>COUNTIF(J2258:K2258,"&lt;&gt;0")*-'Trading Model'!$E$15</f>
        <v>0</v>
      </c>
      <c r="M2258" s="198">
        <f t="shared" si="280"/>
        <v>0</v>
      </c>
      <c r="N2258" s="75">
        <f t="shared" si="283"/>
        <v>64</v>
      </c>
      <c r="O2258" s="202">
        <f t="shared" si="284"/>
        <v>0</v>
      </c>
      <c r="P2258" s="199">
        <f t="shared" si="281"/>
        <v>0</v>
      </c>
      <c r="Q2258" s="203">
        <f t="shared" si="285"/>
        <v>-12.09999999999857</v>
      </c>
      <c r="R2258" s="160" t="s">
        <v>55</v>
      </c>
      <c r="S2258" s="201">
        <f t="shared" si="286"/>
        <v>-2.7706736048880409E-2</v>
      </c>
    </row>
    <row r="2259" spans="1:19">
      <c r="A2259" s="196">
        <v>43244</v>
      </c>
      <c r="B2259" s="122">
        <v>22.75</v>
      </c>
      <c r="C2259" s="122">
        <v>22.860001</v>
      </c>
      <c r="D2259" s="122">
        <v>22.4</v>
      </c>
      <c r="E2259" s="122">
        <v>22.58</v>
      </c>
      <c r="F2259" s="122">
        <v>21.999949000000001</v>
      </c>
      <c r="G2259" s="197">
        <v>368600</v>
      </c>
      <c r="H2259" s="198">
        <f>IF(AND(E2258&gt;=H2258,E2259&gt;=E2258),E2258*(1+'Trading Model'!$E$13),IF(AND(E2259&lt;E2258,E2258&gt;=H2258),E2259*(1+'Trading Model'!$E$13),H2258))</f>
        <v>39.921000000000006</v>
      </c>
      <c r="I2259" s="198">
        <f>IF(K2259&gt;0,E2259*(1-'Trading Model'!E2269),IF(E2259&lt;I2258,I2258*(1-'Trading Model'!$E$14),I2258))</f>
        <v>21.887427550798165</v>
      </c>
      <c r="J2259" s="198">
        <f t="shared" si="287"/>
        <v>0</v>
      </c>
      <c r="K2259" s="198">
        <f t="shared" si="282"/>
        <v>0</v>
      </c>
      <c r="L2259" s="198">
        <f>COUNTIF(J2259:K2259,"&lt;&gt;0")*-'Trading Model'!$E$15</f>
        <v>0</v>
      </c>
      <c r="M2259" s="198">
        <f t="shared" si="280"/>
        <v>0</v>
      </c>
      <c r="N2259" s="75">
        <f t="shared" si="283"/>
        <v>64</v>
      </c>
      <c r="O2259" s="202">
        <f t="shared" si="284"/>
        <v>0</v>
      </c>
      <c r="P2259" s="199">
        <f t="shared" si="281"/>
        <v>0</v>
      </c>
      <c r="Q2259" s="203">
        <f t="shared" si="285"/>
        <v>-12.199999999998569</v>
      </c>
      <c r="R2259" s="203" t="s">
        <v>55</v>
      </c>
      <c r="S2259" s="201">
        <f t="shared" si="286"/>
        <v>-1.0083253401282577E-2</v>
      </c>
    </row>
    <row r="2260" spans="1:19">
      <c r="A2260" s="196">
        <v>43245</v>
      </c>
      <c r="B2260" s="122">
        <v>22.6</v>
      </c>
      <c r="C2260" s="122">
        <v>22.65</v>
      </c>
      <c r="D2260" s="122">
        <v>22.209999</v>
      </c>
      <c r="E2260" s="122">
        <v>22.559999000000001</v>
      </c>
      <c r="F2260" s="122">
        <v>21.980460999999998</v>
      </c>
      <c r="G2260" s="197">
        <v>322800</v>
      </c>
      <c r="H2260" s="198">
        <f>IF(AND(E2259&gt;=H2259,E2260&gt;=E2259),E2259*(1+'Trading Model'!$E$13),IF(AND(E2260&lt;E2259,E2259&gt;=H2259),E2260*(1+'Trading Model'!$E$13),H2259))</f>
        <v>39.921000000000006</v>
      </c>
      <c r="I2260" s="198">
        <f>IF(K2260&gt;0,E2260*(1-'Trading Model'!E2270),IF(E2260&lt;I2259,I2259*(1-'Trading Model'!$E$14),I2259))</f>
        <v>21.887427550798165</v>
      </c>
      <c r="J2260" s="198">
        <f t="shared" si="287"/>
        <v>0</v>
      </c>
      <c r="K2260" s="198">
        <f t="shared" si="282"/>
        <v>0</v>
      </c>
      <c r="L2260" s="198">
        <f>COUNTIF(J2260:K2260,"&lt;&gt;0")*-'Trading Model'!$E$15</f>
        <v>0</v>
      </c>
      <c r="M2260" s="198">
        <f t="shared" si="280"/>
        <v>0</v>
      </c>
      <c r="N2260" s="75">
        <f t="shared" si="283"/>
        <v>64</v>
      </c>
      <c r="O2260" s="202">
        <f t="shared" si="284"/>
        <v>0</v>
      </c>
      <c r="P2260" s="199">
        <f t="shared" si="281"/>
        <v>0</v>
      </c>
      <c r="Q2260" s="203">
        <f t="shared" si="285"/>
        <v>-12.299999999998569</v>
      </c>
      <c r="R2260" s="203" t="s">
        <v>55</v>
      </c>
      <c r="S2260" s="201">
        <f t="shared" si="286"/>
        <v>-8.857838795393036E-4</v>
      </c>
    </row>
    <row r="2261" spans="1:19">
      <c r="A2261" s="196">
        <v>43249</v>
      </c>
      <c r="B2261" s="122">
        <v>22.25</v>
      </c>
      <c r="C2261" s="122">
        <v>22.25</v>
      </c>
      <c r="D2261" s="122">
        <v>21.85</v>
      </c>
      <c r="E2261" s="122">
        <v>21.940000999999999</v>
      </c>
      <c r="F2261" s="122">
        <v>21.376389</v>
      </c>
      <c r="G2261" s="197">
        <v>356900</v>
      </c>
      <c r="H2261" s="198">
        <f>IF(AND(E2260&gt;=H2260,E2261&gt;=E2260),E2260*(1+'Trading Model'!$E$13),IF(AND(E2261&lt;E2260,E2260&gt;=H2260),E2261*(1+'Trading Model'!$E$13),H2260))</f>
        <v>39.921000000000006</v>
      </c>
      <c r="I2261" s="198">
        <f>IF(K2261&gt;0,E2261*(1-'Trading Model'!E2271),IF(E2261&lt;I2260,I2260*(1-'Trading Model'!$E$14),I2260))</f>
        <v>21.887427550798165</v>
      </c>
      <c r="J2261" s="198">
        <f t="shared" si="287"/>
        <v>0</v>
      </c>
      <c r="K2261" s="198">
        <f t="shared" si="282"/>
        <v>0</v>
      </c>
      <c r="L2261" s="198">
        <f>COUNTIF(J2261:K2261,"&lt;&gt;0")*-'Trading Model'!$E$15</f>
        <v>0</v>
      </c>
      <c r="M2261" s="198">
        <f t="shared" si="280"/>
        <v>0</v>
      </c>
      <c r="N2261" s="75">
        <f t="shared" si="283"/>
        <v>64</v>
      </c>
      <c r="O2261" s="202">
        <f t="shared" si="284"/>
        <v>0</v>
      </c>
      <c r="P2261" s="199">
        <f t="shared" si="281"/>
        <v>0</v>
      </c>
      <c r="Q2261" s="203">
        <f t="shared" si="285"/>
        <v>-12.399999999998569</v>
      </c>
      <c r="R2261" s="203" t="s">
        <v>55</v>
      </c>
      <c r="S2261" s="201">
        <f t="shared" si="286"/>
        <v>-2.7482182069245797E-2</v>
      </c>
    </row>
    <row r="2262" spans="1:19">
      <c r="A2262" s="196">
        <v>43250</v>
      </c>
      <c r="B2262" s="122">
        <v>22</v>
      </c>
      <c r="C2262" s="122">
        <v>22.059999000000001</v>
      </c>
      <c r="D2262" s="122">
        <v>21.52</v>
      </c>
      <c r="E2262" s="122">
        <v>21.9</v>
      </c>
      <c r="F2262" s="122">
        <v>21.337416000000001</v>
      </c>
      <c r="G2262" s="197">
        <v>617300</v>
      </c>
      <c r="H2262" s="198">
        <f>IF(AND(E2261&gt;=H2261,E2262&gt;=E2261),E2261*(1+'Trading Model'!$E$13),IF(AND(E2262&lt;E2261,E2261&gt;=H2261),E2262*(1+'Trading Model'!$E$13),H2261))</f>
        <v>39.921000000000006</v>
      </c>
      <c r="I2262" s="198">
        <f>IF(K2262&gt;0,E2262*(1-'Trading Model'!E2272),IF(E2262&lt;I2261,I2261*(1-'Trading Model'!$E$14),I2261))</f>
        <v>21.887427550798165</v>
      </c>
      <c r="J2262" s="198">
        <f t="shared" si="287"/>
        <v>0</v>
      </c>
      <c r="K2262" s="198">
        <f t="shared" si="282"/>
        <v>0</v>
      </c>
      <c r="L2262" s="198">
        <f>COUNTIF(J2262:K2262,"&lt;&gt;0")*-'Trading Model'!$E$15</f>
        <v>0</v>
      </c>
      <c r="M2262" s="198">
        <f t="shared" si="280"/>
        <v>0</v>
      </c>
      <c r="N2262" s="75">
        <f t="shared" si="283"/>
        <v>64</v>
      </c>
      <c r="O2262" s="202">
        <f t="shared" si="284"/>
        <v>0</v>
      </c>
      <c r="P2262" s="199">
        <f t="shared" si="281"/>
        <v>0</v>
      </c>
      <c r="Q2262" s="203">
        <f t="shared" si="285"/>
        <v>-12.499999999998568</v>
      </c>
      <c r="R2262" s="201">
        <f>E2262/B2258-1</f>
        <v>-5.5627466337754838E-2</v>
      </c>
      <c r="S2262" s="201">
        <f t="shared" si="286"/>
        <v>-1.8231995522698385E-3</v>
      </c>
    </row>
    <row r="2263" spans="1:19">
      <c r="A2263" s="196">
        <v>43251</v>
      </c>
      <c r="B2263" s="122">
        <v>22.049999</v>
      </c>
      <c r="C2263" s="122">
        <v>22.26</v>
      </c>
      <c r="D2263" s="122">
        <v>21.84</v>
      </c>
      <c r="E2263" s="122">
        <v>22.030000999999999</v>
      </c>
      <c r="F2263" s="122">
        <v>21.464077</v>
      </c>
      <c r="G2263" s="197">
        <v>489600</v>
      </c>
      <c r="H2263" s="198">
        <f>IF(AND(E2262&gt;=H2262,E2263&gt;=E2262),E2262*(1+'Trading Model'!$E$13),IF(AND(E2263&lt;E2262,E2262&gt;=H2262),E2263*(1+'Trading Model'!$E$13),H2262))</f>
        <v>39.921000000000006</v>
      </c>
      <c r="I2263" s="198">
        <f>IF(K2263&gt;0,E2263*(1-'Trading Model'!E2273),IF(E2263&lt;I2262,I2262*(1-'Trading Model'!$E$14),I2262))</f>
        <v>21.887427550798165</v>
      </c>
      <c r="J2263" s="198">
        <f t="shared" si="287"/>
        <v>0</v>
      </c>
      <c r="K2263" s="198">
        <f t="shared" si="282"/>
        <v>0</v>
      </c>
      <c r="L2263" s="198">
        <f>COUNTIF(J2263:K2263,"&lt;&gt;0")*-'Trading Model'!$E$15</f>
        <v>0</v>
      </c>
      <c r="M2263" s="198">
        <f t="shared" si="280"/>
        <v>0</v>
      </c>
      <c r="N2263" s="75">
        <f t="shared" si="283"/>
        <v>64</v>
      </c>
      <c r="O2263" s="202">
        <f t="shared" si="284"/>
        <v>0</v>
      </c>
      <c r="P2263" s="199">
        <f t="shared" si="281"/>
        <v>0</v>
      </c>
      <c r="Q2263" s="203">
        <f t="shared" si="285"/>
        <v>-12.499999999998568</v>
      </c>
      <c r="R2263" s="160" t="s">
        <v>55</v>
      </c>
      <c r="S2263" s="201">
        <f t="shared" si="286"/>
        <v>5.9361187214612698E-3</v>
      </c>
    </row>
    <row r="2264" spans="1:19">
      <c r="A2264" s="196">
        <v>43252</v>
      </c>
      <c r="B2264" s="122">
        <v>22.27</v>
      </c>
      <c r="C2264" s="122">
        <v>22.5</v>
      </c>
      <c r="D2264" s="122">
        <v>21.639999</v>
      </c>
      <c r="E2264" s="122">
        <v>21.879999000000002</v>
      </c>
      <c r="F2264" s="122">
        <v>21.317927999999998</v>
      </c>
      <c r="G2264" s="197">
        <v>310400</v>
      </c>
      <c r="H2264" s="198">
        <f>IF(AND(E2263&gt;=H2263,E2264&gt;=E2263),E2263*(1+'Trading Model'!$E$13),IF(AND(E2264&lt;E2263,E2263&gt;=H2263),E2264*(1+'Trading Model'!$E$13),H2263))</f>
        <v>39.921000000000006</v>
      </c>
      <c r="I2264" s="198">
        <f>IF(K2264&gt;0,E2264*(1-'Trading Model'!E2274),IF(E2264&lt;I2263,I2263*(1-'Trading Model'!$E$14),I2263))</f>
        <v>20.793056173258258</v>
      </c>
      <c r="J2264" s="198">
        <f t="shared" si="287"/>
        <v>-21.879999000000002</v>
      </c>
      <c r="K2264" s="198">
        <f t="shared" si="282"/>
        <v>0</v>
      </c>
      <c r="L2264" s="198">
        <f>COUNTIF(J2264:K2264,"&lt;&gt;0")*-'Trading Model'!$E$15</f>
        <v>-0.1</v>
      </c>
      <c r="M2264" s="198">
        <f t="shared" si="280"/>
        <v>-21.979999000000003</v>
      </c>
      <c r="N2264" s="75">
        <f t="shared" si="283"/>
        <v>65</v>
      </c>
      <c r="O2264" s="202">
        <f t="shared" si="284"/>
        <v>0</v>
      </c>
      <c r="P2264" s="199">
        <f t="shared" si="281"/>
        <v>0</v>
      </c>
      <c r="Q2264" s="203">
        <f t="shared" si="285"/>
        <v>-12.599999999998568</v>
      </c>
      <c r="R2264" s="203" t="s">
        <v>55</v>
      </c>
      <c r="S2264" s="201">
        <f t="shared" si="286"/>
        <v>-6.808987434907432E-3</v>
      </c>
    </row>
    <row r="2265" spans="1:19">
      <c r="A2265" s="196">
        <v>43255</v>
      </c>
      <c r="B2265" s="122">
        <v>21.85</v>
      </c>
      <c r="C2265" s="122">
        <v>22.65</v>
      </c>
      <c r="D2265" s="122">
        <v>21.799999</v>
      </c>
      <c r="E2265" s="122">
        <v>22.110001</v>
      </c>
      <c r="F2265" s="122">
        <v>21.542023</v>
      </c>
      <c r="G2265" s="197">
        <v>352700</v>
      </c>
      <c r="H2265" s="198">
        <f>IF(AND(E2264&gt;=H2264,E2265&gt;=E2264),E2264*(1+'Trading Model'!$E$13),IF(AND(E2265&lt;E2264,E2264&gt;=H2264),E2265*(1+'Trading Model'!$E$13),H2264))</f>
        <v>39.921000000000006</v>
      </c>
      <c r="I2265" s="198">
        <f>IF(K2265&gt;0,E2265*(1-'Trading Model'!E2275),IF(E2265&lt;I2264,I2264*(1-'Trading Model'!$E$14),I2264))</f>
        <v>20.793056173258258</v>
      </c>
      <c r="J2265" s="198">
        <f t="shared" si="287"/>
        <v>0</v>
      </c>
      <c r="K2265" s="198">
        <f t="shared" si="282"/>
        <v>0</v>
      </c>
      <c r="L2265" s="198">
        <f>COUNTIF(J2265:K2265,"&lt;&gt;0")*-'Trading Model'!$E$15</f>
        <v>0</v>
      </c>
      <c r="M2265" s="198">
        <f t="shared" si="280"/>
        <v>0</v>
      </c>
      <c r="N2265" s="75">
        <f t="shared" si="283"/>
        <v>65</v>
      </c>
      <c r="O2265" s="202">
        <f t="shared" si="284"/>
        <v>0</v>
      </c>
      <c r="P2265" s="199">
        <f t="shared" si="281"/>
        <v>0</v>
      </c>
      <c r="Q2265" s="203">
        <f t="shared" si="285"/>
        <v>-12.599999999998568</v>
      </c>
      <c r="R2265" s="203" t="s">
        <v>55</v>
      </c>
      <c r="S2265" s="201">
        <f t="shared" si="286"/>
        <v>1.0511974886287634E-2</v>
      </c>
    </row>
    <row r="2266" spans="1:19">
      <c r="A2266" s="196">
        <v>43256</v>
      </c>
      <c r="B2266" s="122">
        <v>21.99</v>
      </c>
      <c r="C2266" s="122">
        <v>23.200001</v>
      </c>
      <c r="D2266" s="122">
        <v>21.98</v>
      </c>
      <c r="E2266" s="122">
        <v>22.83</v>
      </c>
      <c r="F2266" s="122">
        <v>22.243525000000002</v>
      </c>
      <c r="G2266" s="197">
        <v>513300</v>
      </c>
      <c r="H2266" s="198">
        <f>IF(AND(E2265&gt;=H2265,E2266&gt;=E2265),E2265*(1+'Trading Model'!$E$13),IF(AND(E2266&lt;E2265,E2265&gt;=H2265),E2266*(1+'Trading Model'!$E$13),H2265))</f>
        <v>39.921000000000006</v>
      </c>
      <c r="I2266" s="198">
        <f>IF(K2266&gt;0,E2266*(1-'Trading Model'!E2276),IF(E2266&lt;I2265,I2265*(1-'Trading Model'!$E$14),I2265))</f>
        <v>20.793056173258258</v>
      </c>
      <c r="J2266" s="198">
        <f t="shared" si="287"/>
        <v>0</v>
      </c>
      <c r="K2266" s="198">
        <f t="shared" si="282"/>
        <v>0</v>
      </c>
      <c r="L2266" s="198">
        <f>COUNTIF(J2266:K2266,"&lt;&gt;0")*-'Trading Model'!$E$15</f>
        <v>0</v>
      </c>
      <c r="M2266" s="198">
        <f t="shared" si="280"/>
        <v>0</v>
      </c>
      <c r="N2266" s="75">
        <f t="shared" si="283"/>
        <v>65</v>
      </c>
      <c r="O2266" s="202">
        <f t="shared" si="284"/>
        <v>0</v>
      </c>
      <c r="P2266" s="199">
        <f t="shared" si="281"/>
        <v>0</v>
      </c>
      <c r="Q2266" s="203">
        <f t="shared" si="285"/>
        <v>-12.599999999998568</v>
      </c>
      <c r="R2266" s="203" t="s">
        <v>55</v>
      </c>
      <c r="S2266" s="201">
        <f t="shared" si="286"/>
        <v>3.2564403773658768E-2</v>
      </c>
    </row>
    <row r="2267" spans="1:19">
      <c r="A2267" s="196">
        <v>43257</v>
      </c>
      <c r="B2267" s="122">
        <v>23.040001</v>
      </c>
      <c r="C2267" s="122">
        <v>23.16</v>
      </c>
      <c r="D2267" s="122">
        <v>22.24</v>
      </c>
      <c r="E2267" s="122">
        <v>22.77</v>
      </c>
      <c r="F2267" s="122">
        <v>22.185068000000001</v>
      </c>
      <c r="G2267" s="197">
        <v>288600</v>
      </c>
      <c r="H2267" s="198">
        <f>IF(AND(E2266&gt;=H2266,E2267&gt;=E2266),E2266*(1+'Trading Model'!$E$13),IF(AND(E2267&lt;E2266,E2266&gt;=H2266),E2267*(1+'Trading Model'!$E$13),H2266))</f>
        <v>39.921000000000006</v>
      </c>
      <c r="I2267" s="198">
        <f>IF(K2267&gt;0,E2267*(1-'Trading Model'!E2277),IF(E2267&lt;I2266,I2266*(1-'Trading Model'!$E$14),I2266))</f>
        <v>20.793056173258258</v>
      </c>
      <c r="J2267" s="198">
        <f t="shared" si="287"/>
        <v>0</v>
      </c>
      <c r="K2267" s="198">
        <f t="shared" si="282"/>
        <v>0</v>
      </c>
      <c r="L2267" s="198">
        <f>COUNTIF(J2267:K2267,"&lt;&gt;0")*-'Trading Model'!$E$15</f>
        <v>0</v>
      </c>
      <c r="M2267" s="198">
        <f t="shared" si="280"/>
        <v>0</v>
      </c>
      <c r="N2267" s="75">
        <f t="shared" si="283"/>
        <v>65</v>
      </c>
      <c r="O2267" s="202">
        <f t="shared" si="284"/>
        <v>0</v>
      </c>
      <c r="P2267" s="199">
        <f t="shared" si="281"/>
        <v>0</v>
      </c>
      <c r="Q2267" s="203">
        <f t="shared" si="285"/>
        <v>-12.699999999998568</v>
      </c>
      <c r="R2267" s="201">
        <f>E2267/B2263-1</f>
        <v>3.2653108056830193E-2</v>
      </c>
      <c r="S2267" s="201">
        <f t="shared" si="286"/>
        <v>-2.6281208935610145E-3</v>
      </c>
    </row>
    <row r="2268" spans="1:19">
      <c r="A2268" s="196">
        <v>43258</v>
      </c>
      <c r="B2268" s="122">
        <v>22.58</v>
      </c>
      <c r="C2268" s="122">
        <v>23.01</v>
      </c>
      <c r="D2268" s="122">
        <v>22.450001</v>
      </c>
      <c r="E2268" s="122">
        <v>22.959999</v>
      </c>
      <c r="F2268" s="122">
        <v>22.370186</v>
      </c>
      <c r="G2268" s="197">
        <v>332100</v>
      </c>
      <c r="H2268" s="198">
        <f>IF(AND(E2267&gt;=H2267,E2268&gt;=E2267),E2267*(1+'Trading Model'!$E$13),IF(AND(E2268&lt;E2267,E2267&gt;=H2267),E2268*(1+'Trading Model'!$E$13),H2267))</f>
        <v>39.921000000000006</v>
      </c>
      <c r="I2268" s="198">
        <f>IF(K2268&gt;0,E2268*(1-'Trading Model'!E2278),IF(E2268&lt;I2267,I2267*(1-'Trading Model'!$E$14),I2267))</f>
        <v>20.793056173258258</v>
      </c>
      <c r="J2268" s="198">
        <f t="shared" si="287"/>
        <v>0</v>
      </c>
      <c r="K2268" s="198">
        <f t="shared" si="282"/>
        <v>0</v>
      </c>
      <c r="L2268" s="198">
        <f>COUNTIF(J2268:K2268,"&lt;&gt;0")*-'Trading Model'!$E$15</f>
        <v>0</v>
      </c>
      <c r="M2268" s="198">
        <f t="shared" si="280"/>
        <v>0</v>
      </c>
      <c r="N2268" s="75">
        <f t="shared" si="283"/>
        <v>65</v>
      </c>
      <c r="O2268" s="202">
        <f t="shared" si="284"/>
        <v>0</v>
      </c>
      <c r="P2268" s="199">
        <f t="shared" si="281"/>
        <v>0</v>
      </c>
      <c r="Q2268" s="203">
        <f t="shared" si="285"/>
        <v>-12.699999999998568</v>
      </c>
      <c r="R2268" s="160" t="s">
        <v>55</v>
      </c>
      <c r="S2268" s="201">
        <f t="shared" si="286"/>
        <v>8.3442687747035116E-3</v>
      </c>
    </row>
    <row r="2269" spans="1:19">
      <c r="A2269" s="196">
        <v>43259</v>
      </c>
      <c r="B2269" s="122">
        <v>23.219999000000001</v>
      </c>
      <c r="C2269" s="122">
        <v>23.75</v>
      </c>
      <c r="D2269" s="122">
        <v>22.639999</v>
      </c>
      <c r="E2269" s="122">
        <v>22.969999000000001</v>
      </c>
      <c r="F2269" s="122">
        <v>22.379929000000001</v>
      </c>
      <c r="G2269" s="197">
        <v>422900</v>
      </c>
      <c r="H2269" s="198">
        <f>IF(AND(E2268&gt;=H2268,E2269&gt;=E2268),E2268*(1+'Trading Model'!$E$13),IF(AND(E2269&lt;E2268,E2268&gt;=H2268),E2269*(1+'Trading Model'!$E$13),H2268))</f>
        <v>39.921000000000006</v>
      </c>
      <c r="I2269" s="198">
        <f>IF(K2269&gt;0,E2269*(1-'Trading Model'!E2279),IF(E2269&lt;I2268,I2268*(1-'Trading Model'!$E$14),I2268))</f>
        <v>20.793056173258258</v>
      </c>
      <c r="J2269" s="198">
        <f t="shared" si="287"/>
        <v>0</v>
      </c>
      <c r="K2269" s="198">
        <f t="shared" si="282"/>
        <v>0</v>
      </c>
      <c r="L2269" s="198">
        <f>COUNTIF(J2269:K2269,"&lt;&gt;0")*-'Trading Model'!$E$15</f>
        <v>0</v>
      </c>
      <c r="M2269" s="198">
        <f t="shared" si="280"/>
        <v>0</v>
      </c>
      <c r="N2269" s="75">
        <f t="shared" si="283"/>
        <v>65</v>
      </c>
      <c r="O2269" s="202">
        <f t="shared" si="284"/>
        <v>0</v>
      </c>
      <c r="P2269" s="199">
        <f t="shared" si="281"/>
        <v>0</v>
      </c>
      <c r="Q2269" s="203">
        <f t="shared" si="285"/>
        <v>-12.699999999998568</v>
      </c>
      <c r="R2269" s="203" t="s">
        <v>55</v>
      </c>
      <c r="S2269" s="201">
        <f t="shared" si="286"/>
        <v>4.3554008865598348E-4</v>
      </c>
    </row>
    <row r="2270" spans="1:19">
      <c r="A2270" s="196">
        <v>43262</v>
      </c>
      <c r="B2270" s="122">
        <v>23.08</v>
      </c>
      <c r="C2270" s="122">
        <v>23.389999</v>
      </c>
      <c r="D2270" s="122">
        <v>22.76</v>
      </c>
      <c r="E2270" s="122">
        <v>23.02</v>
      </c>
      <c r="F2270" s="122">
        <v>22.428643999999998</v>
      </c>
      <c r="G2270" s="197">
        <v>196900</v>
      </c>
      <c r="H2270" s="198">
        <f>IF(AND(E2269&gt;=H2269,E2270&gt;=E2269),E2269*(1+'Trading Model'!$E$13),IF(AND(E2270&lt;E2269,E2269&gt;=H2269),E2270*(1+'Trading Model'!$E$13),H2269))</f>
        <v>39.921000000000006</v>
      </c>
      <c r="I2270" s="198">
        <f>IF(K2270&gt;0,E2270*(1-'Trading Model'!E2280),IF(E2270&lt;I2269,I2269*(1-'Trading Model'!$E$14),I2269))</f>
        <v>20.793056173258258</v>
      </c>
      <c r="J2270" s="198">
        <f t="shared" si="287"/>
        <v>0</v>
      </c>
      <c r="K2270" s="198">
        <f t="shared" si="282"/>
        <v>0</v>
      </c>
      <c r="L2270" s="198">
        <f>COUNTIF(J2270:K2270,"&lt;&gt;0")*-'Trading Model'!$E$15</f>
        <v>0</v>
      </c>
      <c r="M2270" s="198">
        <f t="shared" si="280"/>
        <v>0</v>
      </c>
      <c r="N2270" s="75">
        <f t="shared" si="283"/>
        <v>65</v>
      </c>
      <c r="O2270" s="202">
        <f t="shared" si="284"/>
        <v>0</v>
      </c>
      <c r="P2270" s="199">
        <f t="shared" si="281"/>
        <v>0</v>
      </c>
      <c r="Q2270" s="203">
        <f t="shared" si="285"/>
        <v>-12.699999999998568</v>
      </c>
      <c r="R2270" s="203" t="s">
        <v>55</v>
      </c>
      <c r="S2270" s="201">
        <f t="shared" si="286"/>
        <v>2.1767959154024297E-3</v>
      </c>
    </row>
    <row r="2271" spans="1:19">
      <c r="A2271" s="196">
        <v>43263</v>
      </c>
      <c r="B2271" s="122">
        <v>23</v>
      </c>
      <c r="C2271" s="122">
        <v>23.1</v>
      </c>
      <c r="D2271" s="122">
        <v>22.73</v>
      </c>
      <c r="E2271" s="122">
        <v>22.799999</v>
      </c>
      <c r="F2271" s="122">
        <v>22.214293999999999</v>
      </c>
      <c r="G2271" s="197">
        <v>219800</v>
      </c>
      <c r="H2271" s="198">
        <f>IF(AND(E2270&gt;=H2270,E2271&gt;=E2270),E2270*(1+'Trading Model'!$E$13),IF(AND(E2271&lt;E2270,E2270&gt;=H2270),E2271*(1+'Trading Model'!$E$13),H2270))</f>
        <v>39.921000000000006</v>
      </c>
      <c r="I2271" s="198">
        <f>IF(K2271&gt;0,E2271*(1-'Trading Model'!E2281),IF(E2271&lt;I2270,I2270*(1-'Trading Model'!$E$14),I2270))</f>
        <v>20.793056173258258</v>
      </c>
      <c r="J2271" s="198">
        <f t="shared" si="287"/>
        <v>0</v>
      </c>
      <c r="K2271" s="198">
        <f t="shared" si="282"/>
        <v>0</v>
      </c>
      <c r="L2271" s="198">
        <f>COUNTIF(J2271:K2271,"&lt;&gt;0")*-'Trading Model'!$E$15</f>
        <v>0</v>
      </c>
      <c r="M2271" s="198">
        <f t="shared" si="280"/>
        <v>0</v>
      </c>
      <c r="N2271" s="75">
        <f t="shared" si="283"/>
        <v>65</v>
      </c>
      <c r="O2271" s="202">
        <f t="shared" si="284"/>
        <v>0</v>
      </c>
      <c r="P2271" s="199">
        <f t="shared" si="281"/>
        <v>0</v>
      </c>
      <c r="Q2271" s="203">
        <f t="shared" si="285"/>
        <v>-12.799999999998567</v>
      </c>
      <c r="R2271" s="203" t="s">
        <v>55</v>
      </c>
      <c r="S2271" s="201">
        <f t="shared" si="286"/>
        <v>-9.5569504778453274E-3</v>
      </c>
    </row>
    <row r="2272" spans="1:19">
      <c r="A2272" s="196">
        <v>43264</v>
      </c>
      <c r="B2272" s="122">
        <v>22.629999000000002</v>
      </c>
      <c r="C2272" s="122">
        <v>22.82</v>
      </c>
      <c r="D2272" s="122">
        <v>22.129999000000002</v>
      </c>
      <c r="E2272" s="122">
        <v>22.190000999999999</v>
      </c>
      <c r="F2272" s="122">
        <v>21.619966999999999</v>
      </c>
      <c r="G2272" s="197">
        <v>349000</v>
      </c>
      <c r="H2272" s="198">
        <f>IF(AND(E2271&gt;=H2271,E2272&gt;=E2271),E2271*(1+'Trading Model'!$E$13),IF(AND(E2272&lt;E2271,E2271&gt;=H2271),E2272*(1+'Trading Model'!$E$13),H2271))</f>
        <v>39.921000000000006</v>
      </c>
      <c r="I2272" s="198">
        <f>IF(K2272&gt;0,E2272*(1-'Trading Model'!E2282),IF(E2272&lt;I2271,I2271*(1-'Trading Model'!$E$14),I2271))</f>
        <v>20.793056173258258</v>
      </c>
      <c r="J2272" s="198">
        <f t="shared" si="287"/>
        <v>0</v>
      </c>
      <c r="K2272" s="198">
        <f t="shared" si="282"/>
        <v>0</v>
      </c>
      <c r="L2272" s="198">
        <f>COUNTIF(J2272:K2272,"&lt;&gt;0")*-'Trading Model'!$E$15</f>
        <v>0</v>
      </c>
      <c r="M2272" s="198">
        <f t="shared" si="280"/>
        <v>0</v>
      </c>
      <c r="N2272" s="75">
        <f t="shared" si="283"/>
        <v>65</v>
      </c>
      <c r="O2272" s="202">
        <f t="shared" si="284"/>
        <v>0</v>
      </c>
      <c r="P2272" s="199">
        <f t="shared" si="281"/>
        <v>0</v>
      </c>
      <c r="Q2272" s="203">
        <f t="shared" si="285"/>
        <v>-12.899999999998567</v>
      </c>
      <c r="R2272" s="201">
        <f>E2272/B2268-1</f>
        <v>-1.7271877767936261E-2</v>
      </c>
      <c r="S2272" s="201">
        <f t="shared" si="286"/>
        <v>-2.6754299419048277E-2</v>
      </c>
    </row>
    <row r="2273" spans="1:19">
      <c r="A2273" s="196">
        <v>43265</v>
      </c>
      <c r="B2273" s="122">
        <v>22.07</v>
      </c>
      <c r="C2273" s="122">
        <v>22.83</v>
      </c>
      <c r="D2273" s="122">
        <v>21.379999000000002</v>
      </c>
      <c r="E2273" s="122">
        <v>21.450001</v>
      </c>
      <c r="F2273" s="122">
        <v>20.898976999999999</v>
      </c>
      <c r="G2273" s="197">
        <v>687200</v>
      </c>
      <c r="H2273" s="198">
        <f>IF(AND(E2272&gt;=H2272,E2273&gt;=E2272),E2272*(1+'Trading Model'!$E$13),IF(AND(E2273&lt;E2272,E2272&gt;=H2272),E2273*(1+'Trading Model'!$E$13),H2272))</f>
        <v>39.921000000000006</v>
      </c>
      <c r="I2273" s="198">
        <f>IF(K2273&gt;0,E2273*(1-'Trading Model'!E2283),IF(E2273&lt;I2272,I2272*(1-'Trading Model'!$E$14),I2272))</f>
        <v>20.793056173258258</v>
      </c>
      <c r="J2273" s="198">
        <f t="shared" si="287"/>
        <v>0</v>
      </c>
      <c r="K2273" s="198">
        <f t="shared" si="282"/>
        <v>0</v>
      </c>
      <c r="L2273" s="198">
        <f>COUNTIF(J2273:K2273,"&lt;&gt;0")*-'Trading Model'!$E$15</f>
        <v>0</v>
      </c>
      <c r="M2273" s="198">
        <f t="shared" si="280"/>
        <v>0</v>
      </c>
      <c r="N2273" s="75">
        <f t="shared" si="283"/>
        <v>65</v>
      </c>
      <c r="O2273" s="202">
        <f t="shared" si="284"/>
        <v>0</v>
      </c>
      <c r="P2273" s="199">
        <f t="shared" si="281"/>
        <v>0</v>
      </c>
      <c r="Q2273" s="203">
        <f t="shared" si="285"/>
        <v>-12.999999999998566</v>
      </c>
      <c r="R2273" s="160" t="s">
        <v>55</v>
      </c>
      <c r="S2273" s="201">
        <f t="shared" si="286"/>
        <v>-3.3348353612061454E-2</v>
      </c>
    </row>
    <row r="2274" spans="1:19">
      <c r="A2274" s="196">
        <v>43266</v>
      </c>
      <c r="B2274" s="122">
        <v>21.450001</v>
      </c>
      <c r="C2274" s="122">
        <v>22.290001</v>
      </c>
      <c r="D2274" s="122">
        <v>21.450001</v>
      </c>
      <c r="E2274" s="122">
        <v>21.870000999999998</v>
      </c>
      <c r="F2274" s="122">
        <v>21.308187</v>
      </c>
      <c r="G2274" s="197">
        <v>545100</v>
      </c>
      <c r="H2274" s="198">
        <f>IF(AND(E2273&gt;=H2273,E2274&gt;=E2273),E2273*(1+'Trading Model'!$E$13),IF(AND(E2274&lt;E2273,E2273&gt;=H2273),E2274*(1+'Trading Model'!$E$13),H2273))</f>
        <v>39.921000000000006</v>
      </c>
      <c r="I2274" s="198">
        <f>IF(K2274&gt;0,E2274*(1-'Trading Model'!E2284),IF(E2274&lt;I2273,I2273*(1-'Trading Model'!$E$14),I2273))</f>
        <v>20.793056173258258</v>
      </c>
      <c r="J2274" s="198">
        <f t="shared" si="287"/>
        <v>0</v>
      </c>
      <c r="K2274" s="198">
        <f t="shared" si="282"/>
        <v>0</v>
      </c>
      <c r="L2274" s="198">
        <f>COUNTIF(J2274:K2274,"&lt;&gt;0")*-'Trading Model'!$E$15</f>
        <v>0</v>
      </c>
      <c r="M2274" s="198">
        <f t="shared" si="280"/>
        <v>0</v>
      </c>
      <c r="N2274" s="75">
        <f t="shared" si="283"/>
        <v>65</v>
      </c>
      <c r="O2274" s="202">
        <f t="shared" si="284"/>
        <v>0</v>
      </c>
      <c r="P2274" s="199">
        <f t="shared" si="281"/>
        <v>0</v>
      </c>
      <c r="Q2274" s="203">
        <f t="shared" si="285"/>
        <v>-12.999999999998566</v>
      </c>
      <c r="R2274" s="203" t="s">
        <v>55</v>
      </c>
      <c r="S2274" s="201">
        <f t="shared" si="286"/>
        <v>1.9580418667579425E-2</v>
      </c>
    </row>
    <row r="2275" spans="1:19">
      <c r="A2275" s="196">
        <v>43269</v>
      </c>
      <c r="B2275" s="122">
        <v>21.67</v>
      </c>
      <c r="C2275" s="122">
        <v>21.9</v>
      </c>
      <c r="D2275" s="122">
        <v>19.77</v>
      </c>
      <c r="E2275" s="122">
        <v>20.75</v>
      </c>
      <c r="F2275" s="122">
        <v>20.216958999999999</v>
      </c>
      <c r="G2275" s="197">
        <v>356500</v>
      </c>
      <c r="H2275" s="198">
        <f>IF(AND(E2274&gt;=H2274,E2275&gt;=E2274),E2274*(1+'Trading Model'!$E$13),IF(AND(E2275&lt;E2274,E2274&gt;=H2274),E2275*(1+'Trading Model'!$E$13),H2274))</f>
        <v>39.921000000000006</v>
      </c>
      <c r="I2275" s="198">
        <f>IF(K2275&gt;0,E2275*(1-'Trading Model'!E2285),IF(E2275&lt;I2274,I2274*(1-'Trading Model'!$E$14),I2274))</f>
        <v>19.753403364595343</v>
      </c>
      <c r="J2275" s="198">
        <f t="shared" si="287"/>
        <v>-20.75</v>
      </c>
      <c r="K2275" s="198">
        <f t="shared" si="282"/>
        <v>0</v>
      </c>
      <c r="L2275" s="198">
        <f>COUNTIF(J2275:K2275,"&lt;&gt;0")*-'Trading Model'!$E$15</f>
        <v>-0.1</v>
      </c>
      <c r="M2275" s="198">
        <f t="shared" si="280"/>
        <v>-20.85</v>
      </c>
      <c r="N2275" s="75">
        <f t="shared" si="283"/>
        <v>66</v>
      </c>
      <c r="O2275" s="202">
        <f t="shared" si="284"/>
        <v>0</v>
      </c>
      <c r="P2275" s="199">
        <f t="shared" si="281"/>
        <v>0</v>
      </c>
      <c r="Q2275" s="203">
        <f t="shared" si="285"/>
        <v>-13.099999999998566</v>
      </c>
      <c r="R2275" s="203" t="s">
        <v>55</v>
      </c>
      <c r="S2275" s="201">
        <f t="shared" si="286"/>
        <v>-5.1211748915786504E-2</v>
      </c>
    </row>
    <row r="2276" spans="1:19">
      <c r="A2276" s="196">
        <v>43270</v>
      </c>
      <c r="B2276" s="122">
        <v>20.639999</v>
      </c>
      <c r="C2276" s="122">
        <v>21.33</v>
      </c>
      <c r="D2276" s="122">
        <v>20.100000000000001</v>
      </c>
      <c r="E2276" s="122">
        <v>21.209999</v>
      </c>
      <c r="F2276" s="122">
        <v>20.665140000000001</v>
      </c>
      <c r="G2276" s="197">
        <v>334000</v>
      </c>
      <c r="H2276" s="198">
        <f>IF(AND(E2275&gt;=H2275,E2276&gt;=E2275),E2275*(1+'Trading Model'!$E$13),IF(AND(E2276&lt;E2275,E2275&gt;=H2275),E2276*(1+'Trading Model'!$E$13),H2275))</f>
        <v>39.921000000000006</v>
      </c>
      <c r="I2276" s="198">
        <f>IF(K2276&gt;0,E2276*(1-'Trading Model'!E2286),IF(E2276&lt;I2275,I2275*(1-'Trading Model'!$E$14),I2275))</f>
        <v>19.753403364595343</v>
      </c>
      <c r="J2276" s="198">
        <f t="shared" si="287"/>
        <v>0</v>
      </c>
      <c r="K2276" s="198">
        <f t="shared" si="282"/>
        <v>0</v>
      </c>
      <c r="L2276" s="198">
        <f>COUNTIF(J2276:K2276,"&lt;&gt;0")*-'Trading Model'!$E$15</f>
        <v>0</v>
      </c>
      <c r="M2276" s="198">
        <f t="shared" si="280"/>
        <v>0</v>
      </c>
      <c r="N2276" s="75">
        <f t="shared" si="283"/>
        <v>66</v>
      </c>
      <c r="O2276" s="202">
        <f t="shared" si="284"/>
        <v>0</v>
      </c>
      <c r="P2276" s="199">
        <f t="shared" si="281"/>
        <v>0</v>
      </c>
      <c r="Q2276" s="203">
        <f t="shared" si="285"/>
        <v>-13.099999999998566</v>
      </c>
      <c r="R2276" s="203" t="s">
        <v>55</v>
      </c>
      <c r="S2276" s="201">
        <f t="shared" si="286"/>
        <v>2.2168626506024136E-2</v>
      </c>
    </row>
    <row r="2277" spans="1:19">
      <c r="A2277" s="196">
        <v>43271</v>
      </c>
      <c r="B2277" s="122">
        <v>21.040001</v>
      </c>
      <c r="C2277" s="122">
        <v>21.389999</v>
      </c>
      <c r="D2277" s="122">
        <v>20.48</v>
      </c>
      <c r="E2277" s="122">
        <v>20.790001</v>
      </c>
      <c r="F2277" s="122">
        <v>20.255932000000001</v>
      </c>
      <c r="G2277" s="197">
        <v>443700</v>
      </c>
      <c r="H2277" s="198">
        <f>IF(AND(E2276&gt;=H2276,E2277&gt;=E2276),E2276*(1+'Trading Model'!$E$13),IF(AND(E2277&lt;E2276,E2276&gt;=H2276),E2277*(1+'Trading Model'!$E$13),H2276))</f>
        <v>39.921000000000006</v>
      </c>
      <c r="I2277" s="198">
        <f>IF(K2277&gt;0,E2277*(1-'Trading Model'!E2287),IF(E2277&lt;I2276,I2276*(1-'Trading Model'!$E$14),I2276))</f>
        <v>19.753403364595343</v>
      </c>
      <c r="J2277" s="198">
        <f t="shared" si="287"/>
        <v>0</v>
      </c>
      <c r="K2277" s="198">
        <f t="shared" si="282"/>
        <v>0</v>
      </c>
      <c r="L2277" s="198">
        <f>COUNTIF(J2277:K2277,"&lt;&gt;0")*-'Trading Model'!$E$15</f>
        <v>0</v>
      </c>
      <c r="M2277" s="198">
        <f t="shared" si="280"/>
        <v>0</v>
      </c>
      <c r="N2277" s="75">
        <f t="shared" si="283"/>
        <v>66</v>
      </c>
      <c r="O2277" s="202">
        <f t="shared" si="284"/>
        <v>0</v>
      </c>
      <c r="P2277" s="199">
        <f t="shared" si="281"/>
        <v>0</v>
      </c>
      <c r="Q2277" s="203">
        <f t="shared" si="285"/>
        <v>-13.199999999998566</v>
      </c>
      <c r="R2277" s="201">
        <f>E2277/B2273-1</f>
        <v>-5.799723606705931E-2</v>
      </c>
      <c r="S2277" s="201">
        <f t="shared" si="286"/>
        <v>-1.9801886836486871E-2</v>
      </c>
    </row>
    <row r="2278" spans="1:19">
      <c r="A2278" s="196">
        <v>43272</v>
      </c>
      <c r="B2278" s="122">
        <v>23.059999000000001</v>
      </c>
      <c r="C2278" s="122">
        <v>23.290001</v>
      </c>
      <c r="D2278" s="122">
        <v>21.299999</v>
      </c>
      <c r="E2278" s="122">
        <v>21.379999000000002</v>
      </c>
      <c r="F2278" s="122">
        <v>20.830772</v>
      </c>
      <c r="G2278" s="197">
        <v>981900</v>
      </c>
      <c r="H2278" s="198">
        <f>IF(AND(E2277&gt;=H2277,E2278&gt;=E2277),E2277*(1+'Trading Model'!$E$13),IF(AND(E2278&lt;E2277,E2277&gt;=H2277),E2278*(1+'Trading Model'!$E$13),H2277))</f>
        <v>39.921000000000006</v>
      </c>
      <c r="I2278" s="198">
        <f>IF(K2278&gt;0,E2278*(1-'Trading Model'!E2288),IF(E2278&lt;I2277,I2277*(1-'Trading Model'!$E$14),I2277))</f>
        <v>19.753403364595343</v>
      </c>
      <c r="J2278" s="198">
        <f t="shared" si="287"/>
        <v>0</v>
      </c>
      <c r="K2278" s="198">
        <f t="shared" si="282"/>
        <v>0</v>
      </c>
      <c r="L2278" s="198">
        <f>COUNTIF(J2278:K2278,"&lt;&gt;0")*-'Trading Model'!$E$15</f>
        <v>0</v>
      </c>
      <c r="M2278" s="198">
        <f t="shared" si="280"/>
        <v>0</v>
      </c>
      <c r="N2278" s="75">
        <f t="shared" si="283"/>
        <v>66</v>
      </c>
      <c r="O2278" s="202">
        <f t="shared" si="284"/>
        <v>0</v>
      </c>
      <c r="P2278" s="199">
        <f t="shared" si="281"/>
        <v>0</v>
      </c>
      <c r="Q2278" s="203">
        <f t="shared" si="285"/>
        <v>-13.199999999998566</v>
      </c>
      <c r="R2278" s="160" t="s">
        <v>55</v>
      </c>
      <c r="S2278" s="201">
        <f t="shared" si="286"/>
        <v>2.8378930813904413E-2</v>
      </c>
    </row>
    <row r="2279" spans="1:19">
      <c r="A2279" s="196">
        <v>43273</v>
      </c>
      <c r="B2279" s="122">
        <v>21.4</v>
      </c>
      <c r="C2279" s="122">
        <v>21.799999</v>
      </c>
      <c r="D2279" s="122">
        <v>21.01</v>
      </c>
      <c r="E2279" s="122">
        <v>21.309999000000001</v>
      </c>
      <c r="F2279" s="122">
        <v>20.762571000000001</v>
      </c>
      <c r="G2279" s="197">
        <v>403400</v>
      </c>
      <c r="H2279" s="198">
        <f>IF(AND(E2278&gt;=H2278,E2279&gt;=E2278),E2278*(1+'Trading Model'!$E$13),IF(AND(E2279&lt;E2278,E2278&gt;=H2278),E2279*(1+'Trading Model'!$E$13),H2278))</f>
        <v>39.921000000000006</v>
      </c>
      <c r="I2279" s="198">
        <f>IF(K2279&gt;0,E2279*(1-'Trading Model'!E2289),IF(E2279&lt;I2278,I2278*(1-'Trading Model'!$E$14),I2278))</f>
        <v>19.753403364595343</v>
      </c>
      <c r="J2279" s="198">
        <f t="shared" si="287"/>
        <v>0</v>
      </c>
      <c r="K2279" s="198">
        <f t="shared" si="282"/>
        <v>0</v>
      </c>
      <c r="L2279" s="198">
        <f>COUNTIF(J2279:K2279,"&lt;&gt;0")*-'Trading Model'!$E$15</f>
        <v>0</v>
      </c>
      <c r="M2279" s="198">
        <f t="shared" si="280"/>
        <v>0</v>
      </c>
      <c r="N2279" s="75">
        <f t="shared" si="283"/>
        <v>66</v>
      </c>
      <c r="O2279" s="202">
        <f t="shared" si="284"/>
        <v>0</v>
      </c>
      <c r="P2279" s="199">
        <f t="shared" si="281"/>
        <v>0</v>
      </c>
      <c r="Q2279" s="203">
        <f t="shared" si="285"/>
        <v>-13.299999999998565</v>
      </c>
      <c r="R2279" s="203" t="s">
        <v>55</v>
      </c>
      <c r="S2279" s="201">
        <f t="shared" si="286"/>
        <v>-3.2740880857852206E-3</v>
      </c>
    </row>
    <row r="2280" spans="1:19">
      <c r="A2280" s="196">
        <v>43276</v>
      </c>
      <c r="B2280" s="122">
        <v>21.299999</v>
      </c>
      <c r="C2280" s="122">
        <v>21.6</v>
      </c>
      <c r="D2280" s="122">
        <v>20.709999</v>
      </c>
      <c r="E2280" s="122">
        <v>20.959999</v>
      </c>
      <c r="F2280" s="122">
        <v>20.421562000000002</v>
      </c>
      <c r="G2280" s="197">
        <v>342200</v>
      </c>
      <c r="H2280" s="198">
        <f>IF(AND(E2279&gt;=H2279,E2280&gt;=E2279),E2279*(1+'Trading Model'!$E$13),IF(AND(E2280&lt;E2279,E2279&gt;=H2279),E2280*(1+'Trading Model'!$E$13),H2279))</f>
        <v>39.921000000000006</v>
      </c>
      <c r="I2280" s="198">
        <f>IF(K2280&gt;0,E2280*(1-'Trading Model'!E2290),IF(E2280&lt;I2279,I2279*(1-'Trading Model'!$E$14),I2279))</f>
        <v>19.753403364595343</v>
      </c>
      <c r="J2280" s="198">
        <f t="shared" si="287"/>
        <v>0</v>
      </c>
      <c r="K2280" s="198">
        <f t="shared" si="282"/>
        <v>0</v>
      </c>
      <c r="L2280" s="198">
        <f>COUNTIF(J2280:K2280,"&lt;&gt;0")*-'Trading Model'!$E$15</f>
        <v>0</v>
      </c>
      <c r="M2280" s="198">
        <f t="shared" si="280"/>
        <v>0</v>
      </c>
      <c r="N2280" s="75">
        <f t="shared" si="283"/>
        <v>66</v>
      </c>
      <c r="O2280" s="202">
        <f t="shared" si="284"/>
        <v>0</v>
      </c>
      <c r="P2280" s="199">
        <f t="shared" si="281"/>
        <v>0</v>
      </c>
      <c r="Q2280" s="203">
        <f t="shared" si="285"/>
        <v>-13.399999999998565</v>
      </c>
      <c r="R2280" s="203" t="s">
        <v>55</v>
      </c>
      <c r="S2280" s="201">
        <f t="shared" si="286"/>
        <v>-1.6424214754773181E-2</v>
      </c>
    </row>
    <row r="2281" spans="1:19">
      <c r="A2281" s="196">
        <v>43277</v>
      </c>
      <c r="B2281" s="122">
        <v>20.9</v>
      </c>
      <c r="C2281" s="122">
        <v>21.360001</v>
      </c>
      <c r="D2281" s="122">
        <v>20.67</v>
      </c>
      <c r="E2281" s="122">
        <v>20.68</v>
      </c>
      <c r="F2281" s="122">
        <v>20.148755999999999</v>
      </c>
      <c r="G2281" s="197">
        <v>139800</v>
      </c>
      <c r="H2281" s="198">
        <f>IF(AND(E2280&gt;=H2280,E2281&gt;=E2280),E2280*(1+'Trading Model'!$E$13),IF(AND(E2281&lt;E2280,E2280&gt;=H2280),E2281*(1+'Trading Model'!$E$13),H2280))</f>
        <v>39.921000000000006</v>
      </c>
      <c r="I2281" s="198">
        <f>IF(K2281&gt;0,E2281*(1-'Trading Model'!E2291),IF(E2281&lt;I2280,I2280*(1-'Trading Model'!$E$14),I2280))</f>
        <v>19.753403364595343</v>
      </c>
      <c r="J2281" s="198">
        <f t="shared" si="287"/>
        <v>0</v>
      </c>
      <c r="K2281" s="198">
        <f t="shared" si="282"/>
        <v>0</v>
      </c>
      <c r="L2281" s="198">
        <f>COUNTIF(J2281:K2281,"&lt;&gt;0")*-'Trading Model'!$E$15</f>
        <v>0</v>
      </c>
      <c r="M2281" s="198">
        <f t="shared" si="280"/>
        <v>0</v>
      </c>
      <c r="N2281" s="75">
        <f t="shared" si="283"/>
        <v>66</v>
      </c>
      <c r="O2281" s="202">
        <f t="shared" si="284"/>
        <v>0</v>
      </c>
      <c r="P2281" s="199">
        <f t="shared" si="281"/>
        <v>0</v>
      </c>
      <c r="Q2281" s="203">
        <f t="shared" si="285"/>
        <v>-13.499999999998565</v>
      </c>
      <c r="R2281" s="203" t="s">
        <v>55</v>
      </c>
      <c r="S2281" s="201">
        <f t="shared" si="286"/>
        <v>-1.3358731553374636E-2</v>
      </c>
    </row>
    <row r="2282" spans="1:19">
      <c r="A2282" s="196">
        <v>43278</v>
      </c>
      <c r="B2282" s="122">
        <v>20.639999</v>
      </c>
      <c r="C2282" s="122">
        <v>20.75</v>
      </c>
      <c r="D2282" s="122">
        <v>19.579999999999998</v>
      </c>
      <c r="E2282" s="122">
        <v>19.899999999999999</v>
      </c>
      <c r="F2282" s="122">
        <v>19.388794000000001</v>
      </c>
      <c r="G2282" s="197">
        <v>861900</v>
      </c>
      <c r="H2282" s="198">
        <f>IF(AND(E2281&gt;=H2281,E2282&gt;=E2281),E2281*(1+'Trading Model'!$E$13),IF(AND(E2282&lt;E2281,E2281&gt;=H2281),E2282*(1+'Trading Model'!$E$13),H2281))</f>
        <v>39.921000000000006</v>
      </c>
      <c r="I2282" s="198">
        <f>IF(K2282&gt;0,E2282*(1-'Trading Model'!E2292),IF(E2282&lt;I2281,I2281*(1-'Trading Model'!$E$14),I2281))</f>
        <v>19.753403364595343</v>
      </c>
      <c r="J2282" s="198">
        <f t="shared" si="287"/>
        <v>0</v>
      </c>
      <c r="K2282" s="198">
        <f t="shared" si="282"/>
        <v>0</v>
      </c>
      <c r="L2282" s="198">
        <f>COUNTIF(J2282:K2282,"&lt;&gt;0")*-'Trading Model'!$E$15</f>
        <v>0</v>
      </c>
      <c r="M2282" s="198">
        <f t="shared" si="280"/>
        <v>0</v>
      </c>
      <c r="N2282" s="75">
        <f t="shared" si="283"/>
        <v>66</v>
      </c>
      <c r="O2282" s="202">
        <f t="shared" si="284"/>
        <v>0</v>
      </c>
      <c r="P2282" s="199">
        <f t="shared" si="281"/>
        <v>0</v>
      </c>
      <c r="Q2282" s="203">
        <f t="shared" si="285"/>
        <v>-13.599999999998564</v>
      </c>
      <c r="R2282" s="201">
        <f>E2282/B2278-1</f>
        <v>-0.13703378738221117</v>
      </c>
      <c r="S2282" s="201">
        <f t="shared" si="286"/>
        <v>-3.771760154738879E-2</v>
      </c>
    </row>
    <row r="2283" spans="1:19">
      <c r="A2283" s="196">
        <v>43279</v>
      </c>
      <c r="B2283" s="122">
        <v>20.09</v>
      </c>
      <c r="C2283" s="122">
        <v>21.32</v>
      </c>
      <c r="D2283" s="122">
        <v>19.260000000000002</v>
      </c>
      <c r="E2283" s="122">
        <v>19.579999999999998</v>
      </c>
      <c r="F2283" s="122">
        <v>19.077013000000001</v>
      </c>
      <c r="G2283" s="197">
        <v>931000</v>
      </c>
      <c r="H2283" s="198">
        <f>IF(AND(E2282&gt;=H2282,E2283&gt;=E2282),E2282*(1+'Trading Model'!$E$13),IF(AND(E2283&lt;E2282,E2282&gt;=H2282),E2283*(1+'Trading Model'!$E$13),H2282))</f>
        <v>39.921000000000006</v>
      </c>
      <c r="I2283" s="198">
        <f>IF(K2283&gt;0,E2283*(1-'Trading Model'!E2293),IF(E2283&lt;I2282,I2282*(1-'Trading Model'!$E$14),I2282))</f>
        <v>18.765733196365574</v>
      </c>
      <c r="J2283" s="198">
        <f t="shared" si="287"/>
        <v>-19.579999999999998</v>
      </c>
      <c r="K2283" s="198">
        <f t="shared" si="282"/>
        <v>0</v>
      </c>
      <c r="L2283" s="198">
        <f>COUNTIF(J2283:K2283,"&lt;&gt;0")*-'Trading Model'!$E$15</f>
        <v>-0.1</v>
      </c>
      <c r="M2283" s="198">
        <f t="shared" si="280"/>
        <v>-19.68</v>
      </c>
      <c r="N2283" s="75">
        <f t="shared" si="283"/>
        <v>67</v>
      </c>
      <c r="O2283" s="202">
        <f t="shared" si="284"/>
        <v>0</v>
      </c>
      <c r="P2283" s="199">
        <f t="shared" si="281"/>
        <v>0</v>
      </c>
      <c r="Q2283" s="203">
        <f t="shared" si="285"/>
        <v>-13.699999999998564</v>
      </c>
      <c r="R2283" s="160" t="s">
        <v>55</v>
      </c>
      <c r="S2283" s="201">
        <f t="shared" si="286"/>
        <v>-1.6080402010050232E-2</v>
      </c>
    </row>
    <row r="2284" spans="1:19">
      <c r="A2284" s="196">
        <v>43280</v>
      </c>
      <c r="B2284" s="122">
        <v>19.5</v>
      </c>
      <c r="C2284" s="122">
        <v>19.620000999999998</v>
      </c>
      <c r="D2284" s="122">
        <v>17.510000000000002</v>
      </c>
      <c r="E2284" s="122">
        <v>17.739999999999998</v>
      </c>
      <c r="F2284" s="122">
        <v>17.284281</v>
      </c>
      <c r="G2284" s="197">
        <v>1261000</v>
      </c>
      <c r="H2284" s="198">
        <f>IF(AND(E2283&gt;=H2283,E2284&gt;=E2283),E2283*(1+'Trading Model'!$E$13),IF(AND(E2284&lt;E2283,E2283&gt;=H2283),E2284*(1+'Trading Model'!$E$13),H2283))</f>
        <v>39.921000000000006</v>
      </c>
      <c r="I2284" s="198">
        <f>IF(K2284&gt;0,E2284*(1-'Trading Model'!E2294),IF(E2284&lt;I2283,I2283*(1-'Trading Model'!$E$14),I2283))</f>
        <v>17.827446536547296</v>
      </c>
      <c r="J2284" s="198">
        <f t="shared" si="287"/>
        <v>-17.739999999999998</v>
      </c>
      <c r="K2284" s="198">
        <f t="shared" si="282"/>
        <v>0</v>
      </c>
      <c r="L2284" s="198">
        <f>COUNTIF(J2284:K2284,"&lt;&gt;0")*-'Trading Model'!$E$15</f>
        <v>-0.1</v>
      </c>
      <c r="M2284" s="198">
        <f t="shared" si="280"/>
        <v>-17.84</v>
      </c>
      <c r="N2284" s="75">
        <f t="shared" si="283"/>
        <v>68</v>
      </c>
      <c r="O2284" s="202">
        <f t="shared" si="284"/>
        <v>0</v>
      </c>
      <c r="P2284" s="199">
        <f t="shared" si="281"/>
        <v>0</v>
      </c>
      <c r="Q2284" s="203">
        <f t="shared" si="285"/>
        <v>-13.799999999998564</v>
      </c>
      <c r="R2284" s="203" t="s">
        <v>55</v>
      </c>
      <c r="S2284" s="201">
        <f t="shared" si="286"/>
        <v>-9.3973442288049047E-2</v>
      </c>
    </row>
    <row r="2285" spans="1:19">
      <c r="A2285" s="196">
        <v>43283</v>
      </c>
      <c r="B2285" s="122">
        <v>17.700001</v>
      </c>
      <c r="C2285" s="122">
        <v>17.709999</v>
      </c>
      <c r="D2285" s="122">
        <v>17</v>
      </c>
      <c r="E2285" s="122">
        <v>17.209999</v>
      </c>
      <c r="F2285" s="122">
        <v>16.767894999999999</v>
      </c>
      <c r="G2285" s="197">
        <v>501300</v>
      </c>
      <c r="H2285" s="198">
        <f>IF(AND(E2284&gt;=H2284,E2285&gt;=E2284),E2284*(1+'Trading Model'!$E$13),IF(AND(E2285&lt;E2284,E2284&gt;=H2284),E2285*(1+'Trading Model'!$E$13),H2284))</f>
        <v>39.921000000000006</v>
      </c>
      <c r="I2285" s="198">
        <f>IF(K2285&gt;0,E2285*(1-'Trading Model'!E2295),IF(E2285&lt;I2284,I2284*(1-'Trading Model'!$E$14),I2284))</f>
        <v>16.93607420971993</v>
      </c>
      <c r="J2285" s="198">
        <f t="shared" si="287"/>
        <v>-17.209999</v>
      </c>
      <c r="K2285" s="198">
        <f t="shared" si="282"/>
        <v>0</v>
      </c>
      <c r="L2285" s="198">
        <f>COUNTIF(J2285:K2285,"&lt;&gt;0")*-'Trading Model'!$E$15</f>
        <v>-0.1</v>
      </c>
      <c r="M2285" s="198">
        <f t="shared" si="280"/>
        <v>-17.309999000000001</v>
      </c>
      <c r="N2285" s="75">
        <f t="shared" si="283"/>
        <v>69</v>
      </c>
      <c r="O2285" s="202">
        <f t="shared" si="284"/>
        <v>0</v>
      </c>
      <c r="P2285" s="199">
        <f t="shared" si="281"/>
        <v>0</v>
      </c>
      <c r="Q2285" s="203">
        <f t="shared" si="285"/>
        <v>-13.899999999998563</v>
      </c>
      <c r="R2285" s="203" t="s">
        <v>55</v>
      </c>
      <c r="S2285" s="201">
        <f t="shared" si="286"/>
        <v>-2.9876042841037176E-2</v>
      </c>
    </row>
    <row r="2286" spans="1:19">
      <c r="A2286" s="196">
        <v>43284</v>
      </c>
      <c r="B2286" s="122">
        <v>17.25</v>
      </c>
      <c r="C2286" s="122">
        <v>18.690000999999999</v>
      </c>
      <c r="D2286" s="122">
        <v>17.25</v>
      </c>
      <c r="E2286" s="122">
        <v>18.379999000000002</v>
      </c>
      <c r="F2286" s="122">
        <v>17.907838999999999</v>
      </c>
      <c r="G2286" s="197">
        <v>675900</v>
      </c>
      <c r="H2286" s="198">
        <f>IF(AND(E2285&gt;=H2285,E2286&gt;=E2285),E2285*(1+'Trading Model'!$E$13),IF(AND(E2286&lt;E2285,E2285&gt;=H2285),E2286*(1+'Trading Model'!$E$13),H2285))</f>
        <v>39.921000000000006</v>
      </c>
      <c r="I2286" s="198">
        <f>IF(K2286&gt;0,E2286*(1-'Trading Model'!E2296),IF(E2286&lt;I2285,I2285*(1-'Trading Model'!$E$14),I2285))</f>
        <v>16.93607420971993</v>
      </c>
      <c r="J2286" s="198">
        <f t="shared" si="287"/>
        <v>0</v>
      </c>
      <c r="K2286" s="198">
        <f t="shared" si="282"/>
        <v>0</v>
      </c>
      <c r="L2286" s="198">
        <f>COUNTIF(J2286:K2286,"&lt;&gt;0")*-'Trading Model'!$E$15</f>
        <v>0</v>
      </c>
      <c r="M2286" s="198">
        <f t="shared" si="280"/>
        <v>0</v>
      </c>
      <c r="N2286" s="75">
        <f t="shared" si="283"/>
        <v>69</v>
      </c>
      <c r="O2286" s="202">
        <f t="shared" si="284"/>
        <v>0</v>
      </c>
      <c r="P2286" s="199">
        <f t="shared" si="281"/>
        <v>0</v>
      </c>
      <c r="Q2286" s="203">
        <f t="shared" si="285"/>
        <v>-13.899999999998563</v>
      </c>
      <c r="R2286" s="203" t="s">
        <v>55</v>
      </c>
      <c r="S2286" s="201">
        <f t="shared" si="286"/>
        <v>6.7983734339554625E-2</v>
      </c>
    </row>
    <row r="2287" spans="1:19">
      <c r="A2287" s="196">
        <v>43286</v>
      </c>
      <c r="B2287" s="122">
        <v>18.350000000000001</v>
      </c>
      <c r="C2287" s="122">
        <v>18.549999</v>
      </c>
      <c r="D2287" s="122">
        <v>17.959999</v>
      </c>
      <c r="E2287" s="122">
        <v>18.209999</v>
      </c>
      <c r="F2287" s="122">
        <v>17.742207000000001</v>
      </c>
      <c r="G2287" s="197">
        <v>380700</v>
      </c>
      <c r="H2287" s="198">
        <f>IF(AND(E2286&gt;=H2286,E2287&gt;=E2286),E2286*(1+'Trading Model'!$E$13),IF(AND(E2287&lt;E2286,E2286&gt;=H2286),E2287*(1+'Trading Model'!$E$13),H2286))</f>
        <v>39.921000000000006</v>
      </c>
      <c r="I2287" s="198">
        <f>IF(K2287&gt;0,E2287*(1-'Trading Model'!E2297),IF(E2287&lt;I2286,I2286*(1-'Trading Model'!$E$14),I2286))</f>
        <v>16.93607420971993</v>
      </c>
      <c r="J2287" s="198">
        <f t="shared" si="287"/>
        <v>0</v>
      </c>
      <c r="K2287" s="198">
        <f t="shared" si="282"/>
        <v>0</v>
      </c>
      <c r="L2287" s="198">
        <f>COUNTIF(J2287:K2287,"&lt;&gt;0")*-'Trading Model'!$E$15</f>
        <v>0</v>
      </c>
      <c r="M2287" s="198">
        <f t="shared" si="280"/>
        <v>0</v>
      </c>
      <c r="N2287" s="75">
        <f t="shared" si="283"/>
        <v>69</v>
      </c>
      <c r="O2287" s="202">
        <f t="shared" si="284"/>
        <v>0</v>
      </c>
      <c r="P2287" s="199">
        <f t="shared" si="281"/>
        <v>0</v>
      </c>
      <c r="Q2287" s="203">
        <f t="shared" si="285"/>
        <v>-13.999999999998563</v>
      </c>
      <c r="R2287" s="201">
        <f>E2287/B2283-1</f>
        <v>-9.3578944748631154E-2</v>
      </c>
      <c r="S2287" s="201">
        <f t="shared" si="286"/>
        <v>-9.2491843987587696E-3</v>
      </c>
    </row>
    <row r="2288" spans="1:19">
      <c r="A2288" s="196">
        <v>43287</v>
      </c>
      <c r="B2288" s="122">
        <v>18.25</v>
      </c>
      <c r="C2288" s="122">
        <v>18.309999000000001</v>
      </c>
      <c r="D2288" s="122">
        <v>17.989999999999998</v>
      </c>
      <c r="E2288" s="122">
        <v>18.049999</v>
      </c>
      <c r="F2288" s="122">
        <v>17.586317000000001</v>
      </c>
      <c r="G2288" s="197">
        <v>306700</v>
      </c>
      <c r="H2288" s="198">
        <f>IF(AND(E2287&gt;=H2287,E2288&gt;=E2287),E2287*(1+'Trading Model'!$E$13),IF(AND(E2288&lt;E2287,E2287&gt;=H2287),E2288*(1+'Trading Model'!$E$13),H2287))</f>
        <v>39.921000000000006</v>
      </c>
      <c r="I2288" s="198">
        <f>IF(K2288&gt;0,E2288*(1-'Trading Model'!E2298),IF(E2288&lt;I2287,I2287*(1-'Trading Model'!$E$14),I2287))</f>
        <v>16.93607420971993</v>
      </c>
      <c r="J2288" s="198">
        <f t="shared" si="287"/>
        <v>0</v>
      </c>
      <c r="K2288" s="198">
        <f t="shared" si="282"/>
        <v>0</v>
      </c>
      <c r="L2288" s="198">
        <f>COUNTIF(J2288:K2288,"&lt;&gt;0")*-'Trading Model'!$E$15</f>
        <v>0</v>
      </c>
      <c r="M2288" s="198">
        <f t="shared" si="280"/>
        <v>0</v>
      </c>
      <c r="N2288" s="75">
        <f t="shared" si="283"/>
        <v>69</v>
      </c>
      <c r="O2288" s="202">
        <f t="shared" si="284"/>
        <v>0</v>
      </c>
      <c r="P2288" s="199">
        <f t="shared" si="281"/>
        <v>0</v>
      </c>
      <c r="Q2288" s="203">
        <f t="shared" si="285"/>
        <v>-14.099999999998563</v>
      </c>
      <c r="R2288" s="160" t="s">
        <v>55</v>
      </c>
      <c r="S2288" s="201">
        <f t="shared" si="286"/>
        <v>-8.7863815917836874E-3</v>
      </c>
    </row>
    <row r="2289" spans="1:19">
      <c r="A2289" s="196">
        <v>43290</v>
      </c>
      <c r="B2289" s="122">
        <v>18</v>
      </c>
      <c r="C2289" s="122">
        <v>18.77</v>
      </c>
      <c r="D2289" s="122">
        <v>17.950001</v>
      </c>
      <c r="E2289" s="122">
        <v>18.440000999999999</v>
      </c>
      <c r="F2289" s="122">
        <v>17.966298999999999</v>
      </c>
      <c r="G2289" s="197">
        <v>362500</v>
      </c>
      <c r="H2289" s="198">
        <f>IF(AND(E2288&gt;=H2288,E2289&gt;=E2288),E2288*(1+'Trading Model'!$E$13),IF(AND(E2289&lt;E2288,E2288&gt;=H2288),E2289*(1+'Trading Model'!$E$13),H2288))</f>
        <v>39.921000000000006</v>
      </c>
      <c r="I2289" s="198">
        <f>IF(K2289&gt;0,E2289*(1-'Trading Model'!E2299),IF(E2289&lt;I2288,I2288*(1-'Trading Model'!$E$14),I2288))</f>
        <v>16.93607420971993</v>
      </c>
      <c r="J2289" s="198">
        <f t="shared" si="287"/>
        <v>0</v>
      </c>
      <c r="K2289" s="198">
        <f t="shared" si="282"/>
        <v>0</v>
      </c>
      <c r="L2289" s="198">
        <f>COUNTIF(J2289:K2289,"&lt;&gt;0")*-'Trading Model'!$E$15</f>
        <v>0</v>
      </c>
      <c r="M2289" s="198">
        <f t="shared" si="280"/>
        <v>0</v>
      </c>
      <c r="N2289" s="75">
        <f t="shared" si="283"/>
        <v>69</v>
      </c>
      <c r="O2289" s="202">
        <f t="shared" si="284"/>
        <v>0</v>
      </c>
      <c r="P2289" s="199">
        <f t="shared" si="281"/>
        <v>0</v>
      </c>
      <c r="Q2289" s="203">
        <f t="shared" si="285"/>
        <v>-14.099999999998563</v>
      </c>
      <c r="R2289" s="203" t="s">
        <v>55</v>
      </c>
      <c r="S2289" s="201">
        <f t="shared" si="286"/>
        <v>2.1606760199820441E-2</v>
      </c>
    </row>
    <row r="2290" spans="1:19">
      <c r="A2290" s="196">
        <v>43291</v>
      </c>
      <c r="B2290" s="122">
        <v>18.18</v>
      </c>
      <c r="C2290" s="122">
        <v>18.450001</v>
      </c>
      <c r="D2290" s="122">
        <v>18.059999000000001</v>
      </c>
      <c r="E2290" s="122">
        <v>18.25</v>
      </c>
      <c r="F2290" s="122">
        <v>17.781179000000002</v>
      </c>
      <c r="G2290" s="197">
        <v>356500</v>
      </c>
      <c r="H2290" s="198">
        <f>IF(AND(E2289&gt;=H2289,E2290&gt;=E2289),E2289*(1+'Trading Model'!$E$13),IF(AND(E2290&lt;E2289,E2289&gt;=H2289),E2290*(1+'Trading Model'!$E$13),H2289))</f>
        <v>39.921000000000006</v>
      </c>
      <c r="I2290" s="198">
        <f>IF(K2290&gt;0,E2290*(1-'Trading Model'!E2300),IF(E2290&lt;I2289,I2289*(1-'Trading Model'!$E$14),I2289))</f>
        <v>16.93607420971993</v>
      </c>
      <c r="J2290" s="198">
        <f t="shared" si="287"/>
        <v>0</v>
      </c>
      <c r="K2290" s="198">
        <f t="shared" si="282"/>
        <v>0</v>
      </c>
      <c r="L2290" s="198">
        <f>COUNTIF(J2290:K2290,"&lt;&gt;0")*-'Trading Model'!$E$15</f>
        <v>0</v>
      </c>
      <c r="M2290" s="198">
        <f t="shared" si="280"/>
        <v>0</v>
      </c>
      <c r="N2290" s="75">
        <f t="shared" si="283"/>
        <v>69</v>
      </c>
      <c r="O2290" s="202">
        <f t="shared" si="284"/>
        <v>0</v>
      </c>
      <c r="P2290" s="199">
        <f t="shared" si="281"/>
        <v>0</v>
      </c>
      <c r="Q2290" s="203">
        <f t="shared" si="285"/>
        <v>-14.199999999998562</v>
      </c>
      <c r="R2290" s="203" t="s">
        <v>55</v>
      </c>
      <c r="S2290" s="201">
        <f t="shared" si="286"/>
        <v>-1.0303741306738501E-2</v>
      </c>
    </row>
    <row r="2291" spans="1:19">
      <c r="A2291" s="196">
        <v>43292</v>
      </c>
      <c r="B2291" s="122">
        <v>18.100000000000001</v>
      </c>
      <c r="C2291" s="122">
        <v>18.670000000000002</v>
      </c>
      <c r="D2291" s="122">
        <v>18.059999000000001</v>
      </c>
      <c r="E2291" s="122">
        <v>18.290001</v>
      </c>
      <c r="F2291" s="122">
        <v>17.820153999999999</v>
      </c>
      <c r="G2291" s="197">
        <v>160200</v>
      </c>
      <c r="H2291" s="198">
        <f>IF(AND(E2290&gt;=H2290,E2291&gt;=E2290),E2290*(1+'Trading Model'!$E$13),IF(AND(E2291&lt;E2290,E2290&gt;=H2290),E2291*(1+'Trading Model'!$E$13),H2290))</f>
        <v>39.921000000000006</v>
      </c>
      <c r="I2291" s="198">
        <f>IF(K2291&gt;0,E2291*(1-'Trading Model'!E2301),IF(E2291&lt;I2290,I2290*(1-'Trading Model'!$E$14),I2290))</f>
        <v>16.93607420971993</v>
      </c>
      <c r="J2291" s="198">
        <f t="shared" si="287"/>
        <v>0</v>
      </c>
      <c r="K2291" s="198">
        <f t="shared" si="282"/>
        <v>0</v>
      </c>
      <c r="L2291" s="198">
        <f>COUNTIF(J2291:K2291,"&lt;&gt;0")*-'Trading Model'!$E$15</f>
        <v>0</v>
      </c>
      <c r="M2291" s="198">
        <f t="shared" si="280"/>
        <v>0</v>
      </c>
      <c r="N2291" s="75">
        <f t="shared" si="283"/>
        <v>69</v>
      </c>
      <c r="O2291" s="202">
        <f t="shared" si="284"/>
        <v>0</v>
      </c>
      <c r="P2291" s="199">
        <f t="shared" si="281"/>
        <v>0</v>
      </c>
      <c r="Q2291" s="203">
        <f t="shared" si="285"/>
        <v>-14.199999999998562</v>
      </c>
      <c r="R2291" s="203" t="s">
        <v>55</v>
      </c>
      <c r="S2291" s="201">
        <f t="shared" si="286"/>
        <v>2.1918356164383201E-3</v>
      </c>
    </row>
    <row r="2292" spans="1:19">
      <c r="A2292" s="196">
        <v>43293</v>
      </c>
      <c r="B2292" s="122">
        <v>18.27</v>
      </c>
      <c r="C2292" s="122">
        <v>18.98</v>
      </c>
      <c r="D2292" s="122">
        <v>18.18</v>
      </c>
      <c r="E2292" s="122">
        <v>18.399999999999999</v>
      </c>
      <c r="F2292" s="122">
        <v>17.927326000000001</v>
      </c>
      <c r="G2292" s="197">
        <v>120900</v>
      </c>
      <c r="H2292" s="198">
        <f>IF(AND(E2291&gt;=H2291,E2292&gt;=E2291),E2291*(1+'Trading Model'!$E$13),IF(AND(E2292&lt;E2291,E2291&gt;=H2291),E2292*(1+'Trading Model'!$E$13),H2291))</f>
        <v>39.921000000000006</v>
      </c>
      <c r="I2292" s="198">
        <f>IF(K2292&gt;0,E2292*(1-'Trading Model'!E2302),IF(E2292&lt;I2291,I2291*(1-'Trading Model'!$E$14),I2291))</f>
        <v>16.93607420971993</v>
      </c>
      <c r="J2292" s="198">
        <f t="shared" si="287"/>
        <v>0</v>
      </c>
      <c r="K2292" s="198">
        <f t="shared" si="282"/>
        <v>0</v>
      </c>
      <c r="L2292" s="198">
        <f>COUNTIF(J2292:K2292,"&lt;&gt;0")*-'Trading Model'!$E$15</f>
        <v>0</v>
      </c>
      <c r="M2292" s="198">
        <f t="shared" si="280"/>
        <v>0</v>
      </c>
      <c r="N2292" s="75">
        <f t="shared" si="283"/>
        <v>69</v>
      </c>
      <c r="O2292" s="202">
        <f t="shared" si="284"/>
        <v>0</v>
      </c>
      <c r="P2292" s="199">
        <f t="shared" si="281"/>
        <v>0</v>
      </c>
      <c r="Q2292" s="203">
        <f t="shared" si="285"/>
        <v>-14.199999999998562</v>
      </c>
      <c r="R2292" s="201">
        <f>E2292/B2288-1</f>
        <v>8.219178082191636E-3</v>
      </c>
      <c r="S2292" s="201">
        <f t="shared" si="286"/>
        <v>6.0141604147532224E-3</v>
      </c>
    </row>
    <row r="2293" spans="1:19">
      <c r="A2293" s="196">
        <v>43294</v>
      </c>
      <c r="B2293" s="122">
        <v>18.600000000000001</v>
      </c>
      <c r="C2293" s="122">
        <v>18.700001</v>
      </c>
      <c r="D2293" s="122">
        <v>18.329999999999998</v>
      </c>
      <c r="E2293" s="122">
        <v>18.48</v>
      </c>
      <c r="F2293" s="122">
        <v>18.005272000000001</v>
      </c>
      <c r="G2293" s="197">
        <v>139000</v>
      </c>
      <c r="H2293" s="198">
        <f>IF(AND(E2292&gt;=H2292,E2293&gt;=E2292),E2292*(1+'Trading Model'!$E$13),IF(AND(E2293&lt;E2292,E2292&gt;=H2292),E2293*(1+'Trading Model'!$E$13),H2292))</f>
        <v>39.921000000000006</v>
      </c>
      <c r="I2293" s="198">
        <f>IF(K2293&gt;0,E2293*(1-'Trading Model'!E2303),IF(E2293&lt;I2292,I2292*(1-'Trading Model'!$E$14),I2292))</f>
        <v>16.93607420971993</v>
      </c>
      <c r="J2293" s="198">
        <f t="shared" si="287"/>
        <v>0</v>
      </c>
      <c r="K2293" s="198">
        <f t="shared" si="282"/>
        <v>0</v>
      </c>
      <c r="L2293" s="198">
        <f>COUNTIF(J2293:K2293,"&lt;&gt;0")*-'Trading Model'!$E$15</f>
        <v>0</v>
      </c>
      <c r="M2293" s="198">
        <f t="shared" si="280"/>
        <v>0</v>
      </c>
      <c r="N2293" s="75">
        <f t="shared" si="283"/>
        <v>69</v>
      </c>
      <c r="O2293" s="202">
        <f t="shared" si="284"/>
        <v>0</v>
      </c>
      <c r="P2293" s="199">
        <f t="shared" si="281"/>
        <v>0</v>
      </c>
      <c r="Q2293" s="203">
        <f t="shared" si="285"/>
        <v>-14.199999999998562</v>
      </c>
      <c r="R2293" s="160" t="s">
        <v>55</v>
      </c>
      <c r="S2293" s="201">
        <f t="shared" si="286"/>
        <v>4.3478260869567187E-3</v>
      </c>
    </row>
    <row r="2294" spans="1:19">
      <c r="A2294" s="196">
        <v>43297</v>
      </c>
      <c r="B2294" s="122">
        <v>18.350000000000001</v>
      </c>
      <c r="C2294" s="122">
        <v>19.260000000000002</v>
      </c>
      <c r="D2294" s="122">
        <v>18.350000000000001</v>
      </c>
      <c r="E2294" s="122">
        <v>18.850000000000001</v>
      </c>
      <c r="F2294" s="122">
        <v>18.365767000000002</v>
      </c>
      <c r="G2294" s="197">
        <v>235800</v>
      </c>
      <c r="H2294" s="198">
        <f>IF(AND(E2293&gt;=H2293,E2294&gt;=E2293),E2293*(1+'Trading Model'!$E$13),IF(AND(E2294&lt;E2293,E2293&gt;=H2293),E2294*(1+'Trading Model'!$E$13),H2293))</f>
        <v>39.921000000000006</v>
      </c>
      <c r="I2294" s="198">
        <f>IF(K2294&gt;0,E2294*(1-'Trading Model'!E2304),IF(E2294&lt;I2293,I2293*(1-'Trading Model'!$E$14),I2293))</f>
        <v>16.93607420971993</v>
      </c>
      <c r="J2294" s="198">
        <f t="shared" si="287"/>
        <v>0</v>
      </c>
      <c r="K2294" s="198">
        <f t="shared" si="282"/>
        <v>0</v>
      </c>
      <c r="L2294" s="198">
        <f>COUNTIF(J2294:K2294,"&lt;&gt;0")*-'Trading Model'!$E$15</f>
        <v>0</v>
      </c>
      <c r="M2294" s="198">
        <f t="shared" si="280"/>
        <v>0</v>
      </c>
      <c r="N2294" s="75">
        <f t="shared" si="283"/>
        <v>69</v>
      </c>
      <c r="O2294" s="202">
        <f t="shared" si="284"/>
        <v>0</v>
      </c>
      <c r="P2294" s="199">
        <f t="shared" si="281"/>
        <v>0</v>
      </c>
      <c r="Q2294" s="203">
        <f t="shared" si="285"/>
        <v>-14.199999999998562</v>
      </c>
      <c r="R2294" s="203" t="s">
        <v>55</v>
      </c>
      <c r="S2294" s="201">
        <f t="shared" si="286"/>
        <v>2.0021645021645051E-2</v>
      </c>
    </row>
    <row r="2295" spans="1:19">
      <c r="A2295" s="196">
        <v>43298</v>
      </c>
      <c r="B2295" s="122">
        <v>18.860001</v>
      </c>
      <c r="C2295" s="122">
        <v>19.360001</v>
      </c>
      <c r="D2295" s="122">
        <v>18.739999999999998</v>
      </c>
      <c r="E2295" s="122">
        <v>19.139999</v>
      </c>
      <c r="F2295" s="122">
        <v>18.648316999999999</v>
      </c>
      <c r="G2295" s="197">
        <v>329900</v>
      </c>
      <c r="H2295" s="198">
        <f>IF(AND(E2294&gt;=H2294,E2295&gt;=E2294),E2294*(1+'Trading Model'!$E$13),IF(AND(E2295&lt;E2294,E2294&gt;=H2294),E2295*(1+'Trading Model'!$E$13),H2294))</f>
        <v>39.921000000000006</v>
      </c>
      <c r="I2295" s="198">
        <f>IF(K2295&gt;0,E2295*(1-'Trading Model'!E2305),IF(E2295&lt;I2294,I2294*(1-'Trading Model'!$E$14),I2294))</f>
        <v>16.93607420971993</v>
      </c>
      <c r="J2295" s="198">
        <f t="shared" si="287"/>
        <v>0</v>
      </c>
      <c r="K2295" s="198">
        <f t="shared" si="282"/>
        <v>0</v>
      </c>
      <c r="L2295" s="198">
        <f>COUNTIF(J2295:K2295,"&lt;&gt;0")*-'Trading Model'!$E$15</f>
        <v>0</v>
      </c>
      <c r="M2295" s="198">
        <f t="shared" si="280"/>
        <v>0</v>
      </c>
      <c r="N2295" s="75">
        <f t="shared" si="283"/>
        <v>69</v>
      </c>
      <c r="O2295" s="202">
        <f t="shared" si="284"/>
        <v>0</v>
      </c>
      <c r="P2295" s="199">
        <f t="shared" si="281"/>
        <v>0</v>
      </c>
      <c r="Q2295" s="203">
        <f t="shared" si="285"/>
        <v>-14.199999999998562</v>
      </c>
      <c r="R2295" s="203" t="s">
        <v>55</v>
      </c>
      <c r="S2295" s="201">
        <f t="shared" si="286"/>
        <v>1.5384562334217478E-2</v>
      </c>
    </row>
    <row r="2296" spans="1:19">
      <c r="A2296" s="196">
        <v>43299</v>
      </c>
      <c r="B2296" s="122">
        <v>19.16</v>
      </c>
      <c r="C2296" s="122">
        <v>20.93</v>
      </c>
      <c r="D2296" s="122">
        <v>19.07</v>
      </c>
      <c r="E2296" s="122">
        <v>20.190000999999999</v>
      </c>
      <c r="F2296" s="122">
        <v>19.671344999999999</v>
      </c>
      <c r="G2296" s="197">
        <v>590100</v>
      </c>
      <c r="H2296" s="198">
        <f>IF(AND(E2295&gt;=H2295,E2296&gt;=E2295),E2295*(1+'Trading Model'!$E$13),IF(AND(E2296&lt;E2295,E2295&gt;=H2295),E2296*(1+'Trading Model'!$E$13),H2295))</f>
        <v>39.921000000000006</v>
      </c>
      <c r="I2296" s="198">
        <f>IF(K2296&gt;0,E2296*(1-'Trading Model'!E2306),IF(E2296&lt;I2295,I2295*(1-'Trading Model'!$E$14),I2295))</f>
        <v>16.93607420971993</v>
      </c>
      <c r="J2296" s="198">
        <f t="shared" si="287"/>
        <v>0</v>
      </c>
      <c r="K2296" s="198">
        <f t="shared" si="282"/>
        <v>0</v>
      </c>
      <c r="L2296" s="198">
        <f>COUNTIF(J2296:K2296,"&lt;&gt;0")*-'Trading Model'!$E$15</f>
        <v>0</v>
      </c>
      <c r="M2296" s="198">
        <f t="shared" si="280"/>
        <v>0</v>
      </c>
      <c r="N2296" s="75">
        <f t="shared" si="283"/>
        <v>69</v>
      </c>
      <c r="O2296" s="202">
        <f t="shared" si="284"/>
        <v>0</v>
      </c>
      <c r="P2296" s="199">
        <f t="shared" si="281"/>
        <v>0</v>
      </c>
      <c r="Q2296" s="203">
        <f t="shared" si="285"/>
        <v>-14.199999999998562</v>
      </c>
      <c r="R2296" s="203" t="s">
        <v>55</v>
      </c>
      <c r="S2296" s="201">
        <f t="shared" si="286"/>
        <v>5.4859041528685593E-2</v>
      </c>
    </row>
    <row r="2297" spans="1:19">
      <c r="A2297" s="196">
        <v>43300</v>
      </c>
      <c r="B2297" s="122">
        <v>20</v>
      </c>
      <c r="C2297" s="122">
        <v>20.329999999999998</v>
      </c>
      <c r="D2297" s="122">
        <v>19.399999999999999</v>
      </c>
      <c r="E2297" s="122">
        <v>19.82</v>
      </c>
      <c r="F2297" s="122">
        <v>19.310848</v>
      </c>
      <c r="G2297" s="197">
        <v>276700</v>
      </c>
      <c r="H2297" s="198">
        <f>IF(AND(E2296&gt;=H2296,E2297&gt;=E2296),E2296*(1+'Trading Model'!$E$13),IF(AND(E2297&lt;E2296,E2296&gt;=H2296),E2297*(1+'Trading Model'!$E$13),H2296))</f>
        <v>39.921000000000006</v>
      </c>
      <c r="I2297" s="198">
        <f>IF(K2297&gt;0,E2297*(1-'Trading Model'!E2307),IF(E2297&lt;I2296,I2296*(1-'Trading Model'!$E$14),I2296))</f>
        <v>16.93607420971993</v>
      </c>
      <c r="J2297" s="198">
        <f t="shared" si="287"/>
        <v>0</v>
      </c>
      <c r="K2297" s="198">
        <f t="shared" si="282"/>
        <v>0</v>
      </c>
      <c r="L2297" s="198">
        <f>COUNTIF(J2297:K2297,"&lt;&gt;0")*-'Trading Model'!$E$15</f>
        <v>0</v>
      </c>
      <c r="M2297" s="198">
        <f t="shared" si="280"/>
        <v>0</v>
      </c>
      <c r="N2297" s="75">
        <f t="shared" si="283"/>
        <v>69</v>
      </c>
      <c r="O2297" s="202">
        <f t="shared" si="284"/>
        <v>0</v>
      </c>
      <c r="P2297" s="199">
        <f t="shared" si="281"/>
        <v>0</v>
      </c>
      <c r="Q2297" s="203">
        <f t="shared" si="285"/>
        <v>-14.299999999998562</v>
      </c>
      <c r="R2297" s="201">
        <f>E2297/B2293-1</f>
        <v>6.5591397849462219E-2</v>
      </c>
      <c r="S2297" s="201">
        <f t="shared" si="286"/>
        <v>-1.8325952534623324E-2</v>
      </c>
    </row>
    <row r="2298" spans="1:19">
      <c r="A2298" s="196">
        <v>43301</v>
      </c>
      <c r="B2298" s="122">
        <v>20.07</v>
      </c>
      <c r="C2298" s="122">
        <v>20.469999000000001</v>
      </c>
      <c r="D2298" s="122">
        <v>19.579999999999998</v>
      </c>
      <c r="E2298" s="122">
        <v>19.91</v>
      </c>
      <c r="F2298" s="122">
        <v>19.398537000000001</v>
      </c>
      <c r="G2298" s="197">
        <v>145900</v>
      </c>
      <c r="H2298" s="198">
        <f>IF(AND(E2297&gt;=H2297,E2298&gt;=E2297),E2297*(1+'Trading Model'!$E$13),IF(AND(E2298&lt;E2297,E2297&gt;=H2297),E2298*(1+'Trading Model'!$E$13),H2297))</f>
        <v>39.921000000000006</v>
      </c>
      <c r="I2298" s="198">
        <f>IF(K2298&gt;0,E2298*(1-'Trading Model'!E2308),IF(E2298&lt;I2297,I2297*(1-'Trading Model'!$E$14),I2297))</f>
        <v>16.93607420971993</v>
      </c>
      <c r="J2298" s="198">
        <f t="shared" si="287"/>
        <v>0</v>
      </c>
      <c r="K2298" s="198">
        <f t="shared" si="282"/>
        <v>0</v>
      </c>
      <c r="L2298" s="198">
        <f>COUNTIF(J2298:K2298,"&lt;&gt;0")*-'Trading Model'!$E$15</f>
        <v>0</v>
      </c>
      <c r="M2298" s="198">
        <f t="shared" si="280"/>
        <v>0</v>
      </c>
      <c r="N2298" s="75">
        <f t="shared" si="283"/>
        <v>69</v>
      </c>
      <c r="O2298" s="202">
        <f t="shared" si="284"/>
        <v>0</v>
      </c>
      <c r="P2298" s="199">
        <f t="shared" si="281"/>
        <v>0</v>
      </c>
      <c r="Q2298" s="203">
        <f t="shared" si="285"/>
        <v>-14.299999999998562</v>
      </c>
      <c r="R2298" s="160" t="s">
        <v>55</v>
      </c>
      <c r="S2298" s="201">
        <f t="shared" si="286"/>
        <v>4.5408678102927258E-3</v>
      </c>
    </row>
    <row r="2299" spans="1:19">
      <c r="A2299" s="196">
        <v>43304</v>
      </c>
      <c r="B2299" s="122">
        <v>20.09</v>
      </c>
      <c r="C2299" s="122">
        <v>20.280000999999999</v>
      </c>
      <c r="D2299" s="122">
        <v>19.559999000000001</v>
      </c>
      <c r="E2299" s="122">
        <v>19.780000999999999</v>
      </c>
      <c r="F2299" s="122">
        <v>19.271877</v>
      </c>
      <c r="G2299" s="197">
        <v>111100</v>
      </c>
      <c r="H2299" s="198">
        <f>IF(AND(E2298&gt;=H2298,E2299&gt;=E2298),E2298*(1+'Trading Model'!$E$13),IF(AND(E2299&lt;E2298,E2298&gt;=H2298),E2299*(1+'Trading Model'!$E$13),H2298))</f>
        <v>39.921000000000006</v>
      </c>
      <c r="I2299" s="198">
        <f>IF(K2299&gt;0,E2299*(1-'Trading Model'!E2309),IF(E2299&lt;I2298,I2298*(1-'Trading Model'!$E$14),I2298))</f>
        <v>16.93607420971993</v>
      </c>
      <c r="J2299" s="198">
        <f t="shared" si="287"/>
        <v>0</v>
      </c>
      <c r="K2299" s="198">
        <f t="shared" si="282"/>
        <v>0</v>
      </c>
      <c r="L2299" s="198">
        <f>COUNTIF(J2299:K2299,"&lt;&gt;0")*-'Trading Model'!$E$15</f>
        <v>0</v>
      </c>
      <c r="M2299" s="198">
        <f t="shared" si="280"/>
        <v>0</v>
      </c>
      <c r="N2299" s="75">
        <f t="shared" si="283"/>
        <v>69</v>
      </c>
      <c r="O2299" s="202">
        <f t="shared" si="284"/>
        <v>0</v>
      </c>
      <c r="P2299" s="199">
        <f t="shared" si="281"/>
        <v>0</v>
      </c>
      <c r="Q2299" s="203">
        <f t="shared" si="285"/>
        <v>-14.399999999998562</v>
      </c>
      <c r="R2299" s="203" t="s">
        <v>55</v>
      </c>
      <c r="S2299" s="201">
        <f t="shared" si="286"/>
        <v>-6.5293319939729866E-3</v>
      </c>
    </row>
    <row r="2300" spans="1:19">
      <c r="A2300" s="196">
        <v>43305</v>
      </c>
      <c r="B2300" s="122">
        <v>19.809999000000001</v>
      </c>
      <c r="C2300" s="122">
        <v>20.18</v>
      </c>
      <c r="D2300" s="122">
        <v>19.77</v>
      </c>
      <c r="E2300" s="122">
        <v>19.91</v>
      </c>
      <c r="F2300" s="122">
        <v>19.398537000000001</v>
      </c>
      <c r="G2300" s="197">
        <v>122200</v>
      </c>
      <c r="H2300" s="198">
        <f>IF(AND(E2299&gt;=H2299,E2300&gt;=E2299),E2299*(1+'Trading Model'!$E$13),IF(AND(E2300&lt;E2299,E2299&gt;=H2299),E2300*(1+'Trading Model'!$E$13),H2299))</f>
        <v>39.921000000000006</v>
      </c>
      <c r="I2300" s="198">
        <f>IF(K2300&gt;0,E2300*(1-'Trading Model'!E2310),IF(E2300&lt;I2299,I2299*(1-'Trading Model'!$E$14),I2299))</f>
        <v>16.93607420971993</v>
      </c>
      <c r="J2300" s="198">
        <f t="shared" si="287"/>
        <v>0</v>
      </c>
      <c r="K2300" s="198">
        <f t="shared" si="282"/>
        <v>0</v>
      </c>
      <c r="L2300" s="198">
        <f>COUNTIF(J2300:K2300,"&lt;&gt;0")*-'Trading Model'!$E$15</f>
        <v>0</v>
      </c>
      <c r="M2300" s="198">
        <f t="shared" si="280"/>
        <v>0</v>
      </c>
      <c r="N2300" s="75">
        <f t="shared" si="283"/>
        <v>69</v>
      </c>
      <c r="O2300" s="202">
        <f t="shared" si="284"/>
        <v>0</v>
      </c>
      <c r="P2300" s="199">
        <f t="shared" si="281"/>
        <v>0</v>
      </c>
      <c r="Q2300" s="203">
        <f t="shared" si="285"/>
        <v>-14.399999999998562</v>
      </c>
      <c r="R2300" s="203" t="s">
        <v>55</v>
      </c>
      <c r="S2300" s="201">
        <f t="shared" si="286"/>
        <v>6.5722443593405622E-3</v>
      </c>
    </row>
    <row r="2301" spans="1:19">
      <c r="A2301" s="196">
        <v>43306</v>
      </c>
      <c r="B2301" s="122">
        <v>19.739999999999998</v>
      </c>
      <c r="C2301" s="122">
        <v>20.260000000000002</v>
      </c>
      <c r="D2301" s="122">
        <v>19.739999999999998</v>
      </c>
      <c r="E2301" s="122">
        <v>20.049999</v>
      </c>
      <c r="F2301" s="122">
        <v>19.534939000000001</v>
      </c>
      <c r="G2301" s="197">
        <v>92900</v>
      </c>
      <c r="H2301" s="198">
        <f>IF(AND(E2300&gt;=H2300,E2301&gt;=E2300),E2300*(1+'Trading Model'!$E$13),IF(AND(E2301&lt;E2300,E2300&gt;=H2300),E2301*(1+'Trading Model'!$E$13),H2300))</f>
        <v>39.921000000000006</v>
      </c>
      <c r="I2301" s="198">
        <f>IF(K2301&gt;0,E2301*(1-'Trading Model'!E2311),IF(E2301&lt;I2300,I2300*(1-'Trading Model'!$E$14),I2300))</f>
        <v>16.93607420971993</v>
      </c>
      <c r="J2301" s="198">
        <f t="shared" si="287"/>
        <v>0</v>
      </c>
      <c r="K2301" s="198">
        <f t="shared" si="282"/>
        <v>0</v>
      </c>
      <c r="L2301" s="198">
        <f>COUNTIF(J2301:K2301,"&lt;&gt;0")*-'Trading Model'!$E$15</f>
        <v>0</v>
      </c>
      <c r="M2301" s="198">
        <f t="shared" si="280"/>
        <v>0</v>
      </c>
      <c r="N2301" s="75">
        <f t="shared" si="283"/>
        <v>69</v>
      </c>
      <c r="O2301" s="202">
        <f t="shared" si="284"/>
        <v>0</v>
      </c>
      <c r="P2301" s="199">
        <f t="shared" si="281"/>
        <v>0</v>
      </c>
      <c r="Q2301" s="203">
        <f t="shared" si="285"/>
        <v>-14.399999999998562</v>
      </c>
      <c r="R2301" s="203" t="s">
        <v>55</v>
      </c>
      <c r="S2301" s="201">
        <f t="shared" si="286"/>
        <v>7.0315921647412516E-3</v>
      </c>
    </row>
    <row r="2302" spans="1:19">
      <c r="A2302" s="196">
        <v>43307</v>
      </c>
      <c r="B2302" s="122">
        <v>19.870000999999998</v>
      </c>
      <c r="C2302" s="122">
        <v>20.360001</v>
      </c>
      <c r="D2302" s="122">
        <v>19.870000999999998</v>
      </c>
      <c r="E2302" s="122">
        <v>19.93</v>
      </c>
      <c r="F2302" s="122">
        <v>19.418023999999999</v>
      </c>
      <c r="G2302" s="197">
        <v>221700</v>
      </c>
      <c r="H2302" s="198">
        <f>IF(AND(E2301&gt;=H2301,E2302&gt;=E2301),E2301*(1+'Trading Model'!$E$13),IF(AND(E2302&lt;E2301,E2301&gt;=H2301),E2302*(1+'Trading Model'!$E$13),H2301))</f>
        <v>39.921000000000006</v>
      </c>
      <c r="I2302" s="198">
        <f>IF(K2302&gt;0,E2302*(1-'Trading Model'!E2312),IF(E2302&lt;I2301,I2301*(1-'Trading Model'!$E$14),I2301))</f>
        <v>16.93607420971993</v>
      </c>
      <c r="J2302" s="198">
        <f t="shared" si="287"/>
        <v>0</v>
      </c>
      <c r="K2302" s="198">
        <f t="shared" si="282"/>
        <v>0</v>
      </c>
      <c r="L2302" s="198">
        <f>COUNTIF(J2302:K2302,"&lt;&gt;0")*-'Trading Model'!$E$15</f>
        <v>0</v>
      </c>
      <c r="M2302" s="198">
        <f t="shared" si="280"/>
        <v>0</v>
      </c>
      <c r="N2302" s="75">
        <f t="shared" si="283"/>
        <v>69</v>
      </c>
      <c r="O2302" s="202">
        <f t="shared" si="284"/>
        <v>0</v>
      </c>
      <c r="P2302" s="199">
        <f t="shared" si="281"/>
        <v>0</v>
      </c>
      <c r="Q2302" s="203">
        <f t="shared" si="285"/>
        <v>-14.499999999998561</v>
      </c>
      <c r="R2302" s="201">
        <f>E2302/B2298-1</f>
        <v>-6.9755854509218063E-3</v>
      </c>
      <c r="S2302" s="201">
        <f t="shared" si="286"/>
        <v>-5.9849878296751591E-3</v>
      </c>
    </row>
    <row r="2303" spans="1:19">
      <c r="A2303" s="196">
        <v>43308</v>
      </c>
      <c r="B2303" s="122">
        <v>19.989999999999998</v>
      </c>
      <c r="C2303" s="122">
        <v>20.34</v>
      </c>
      <c r="D2303" s="122">
        <v>19.850000000000001</v>
      </c>
      <c r="E2303" s="122">
        <v>19.989999999999998</v>
      </c>
      <c r="F2303" s="122">
        <v>19.476479999999999</v>
      </c>
      <c r="G2303" s="197">
        <v>112500</v>
      </c>
      <c r="H2303" s="198">
        <f>IF(AND(E2302&gt;=H2302,E2303&gt;=E2302),E2302*(1+'Trading Model'!$E$13),IF(AND(E2303&lt;E2302,E2302&gt;=H2302),E2303*(1+'Trading Model'!$E$13),H2302))</f>
        <v>39.921000000000006</v>
      </c>
      <c r="I2303" s="198">
        <f>IF(K2303&gt;0,E2303*(1-'Trading Model'!E2313),IF(E2303&lt;I2302,I2302*(1-'Trading Model'!$E$14),I2302))</f>
        <v>16.93607420971993</v>
      </c>
      <c r="J2303" s="198">
        <f t="shared" si="287"/>
        <v>0</v>
      </c>
      <c r="K2303" s="198">
        <f t="shared" si="282"/>
        <v>0</v>
      </c>
      <c r="L2303" s="198">
        <f>COUNTIF(J2303:K2303,"&lt;&gt;0")*-'Trading Model'!$E$15</f>
        <v>0</v>
      </c>
      <c r="M2303" s="198">
        <f t="shared" si="280"/>
        <v>0</v>
      </c>
      <c r="N2303" s="75">
        <f t="shared" si="283"/>
        <v>69</v>
      </c>
      <c r="O2303" s="202">
        <f t="shared" si="284"/>
        <v>0</v>
      </c>
      <c r="P2303" s="199">
        <f t="shared" si="281"/>
        <v>0</v>
      </c>
      <c r="Q2303" s="203">
        <f t="shared" si="285"/>
        <v>-14.499999999998561</v>
      </c>
      <c r="R2303" s="160" t="s">
        <v>55</v>
      </c>
      <c r="S2303" s="201">
        <f t="shared" si="286"/>
        <v>3.0105368790767084E-3</v>
      </c>
    </row>
    <row r="2304" spans="1:19">
      <c r="A2304" s="196">
        <v>43311</v>
      </c>
      <c r="B2304" s="122">
        <v>20.07</v>
      </c>
      <c r="C2304" s="122">
        <v>20.139999</v>
      </c>
      <c r="D2304" s="122">
        <v>19.879999000000002</v>
      </c>
      <c r="E2304" s="122">
        <v>19.969999000000001</v>
      </c>
      <c r="F2304" s="122">
        <v>19.456994999999999</v>
      </c>
      <c r="G2304" s="197">
        <v>92000</v>
      </c>
      <c r="H2304" s="198">
        <f>IF(AND(E2303&gt;=H2303,E2304&gt;=E2303),E2303*(1+'Trading Model'!$E$13),IF(AND(E2304&lt;E2303,E2303&gt;=H2303),E2304*(1+'Trading Model'!$E$13),H2303))</f>
        <v>39.921000000000006</v>
      </c>
      <c r="I2304" s="198">
        <f>IF(K2304&gt;0,E2304*(1-'Trading Model'!E2314),IF(E2304&lt;I2303,I2303*(1-'Trading Model'!$E$14),I2303))</f>
        <v>16.93607420971993</v>
      </c>
      <c r="J2304" s="198">
        <f t="shared" si="287"/>
        <v>0</v>
      </c>
      <c r="K2304" s="198">
        <f t="shared" si="282"/>
        <v>0</v>
      </c>
      <c r="L2304" s="198">
        <f>COUNTIF(J2304:K2304,"&lt;&gt;0")*-'Trading Model'!$E$15</f>
        <v>0</v>
      </c>
      <c r="M2304" s="198">
        <f t="shared" si="280"/>
        <v>0</v>
      </c>
      <c r="N2304" s="75">
        <f t="shared" si="283"/>
        <v>69</v>
      </c>
      <c r="O2304" s="202">
        <f t="shared" si="284"/>
        <v>0</v>
      </c>
      <c r="P2304" s="199">
        <f t="shared" si="281"/>
        <v>0</v>
      </c>
      <c r="Q2304" s="203">
        <f t="shared" si="285"/>
        <v>-14.599999999998561</v>
      </c>
      <c r="R2304" s="203" t="s">
        <v>55</v>
      </c>
      <c r="S2304" s="201">
        <f t="shared" si="286"/>
        <v>-1.0005502751374573E-3</v>
      </c>
    </row>
    <row r="2305" spans="1:19">
      <c r="A2305" s="196">
        <v>43312</v>
      </c>
      <c r="B2305" s="122">
        <v>20.149999999999999</v>
      </c>
      <c r="C2305" s="122">
        <v>20.459999</v>
      </c>
      <c r="D2305" s="122">
        <v>19.940000999999999</v>
      </c>
      <c r="E2305" s="122">
        <v>20.07</v>
      </c>
      <c r="F2305" s="122">
        <v>19.554425999999999</v>
      </c>
      <c r="G2305" s="197">
        <v>72500</v>
      </c>
      <c r="H2305" s="198">
        <f>IF(AND(E2304&gt;=H2304,E2305&gt;=E2304),E2304*(1+'Trading Model'!$E$13),IF(AND(E2305&lt;E2304,E2304&gt;=H2304),E2305*(1+'Trading Model'!$E$13),H2304))</f>
        <v>39.921000000000006</v>
      </c>
      <c r="I2305" s="198">
        <f>IF(K2305&gt;0,E2305*(1-'Trading Model'!E2315),IF(E2305&lt;I2304,I2304*(1-'Trading Model'!$E$14),I2304))</f>
        <v>16.93607420971993</v>
      </c>
      <c r="J2305" s="198">
        <f t="shared" si="287"/>
        <v>0</v>
      </c>
      <c r="K2305" s="198">
        <f t="shared" si="282"/>
        <v>0</v>
      </c>
      <c r="L2305" s="198">
        <f>COUNTIF(J2305:K2305,"&lt;&gt;0")*-'Trading Model'!$E$15</f>
        <v>0</v>
      </c>
      <c r="M2305" s="198">
        <f t="shared" si="280"/>
        <v>0</v>
      </c>
      <c r="N2305" s="75">
        <f t="shared" si="283"/>
        <v>69</v>
      </c>
      <c r="O2305" s="202">
        <f t="shared" si="284"/>
        <v>0</v>
      </c>
      <c r="P2305" s="199">
        <f t="shared" si="281"/>
        <v>0</v>
      </c>
      <c r="Q2305" s="203">
        <f t="shared" si="285"/>
        <v>-14.599999999998561</v>
      </c>
      <c r="R2305" s="203" t="s">
        <v>55</v>
      </c>
      <c r="S2305" s="201">
        <f t="shared" si="286"/>
        <v>5.0075615927671624E-3</v>
      </c>
    </row>
    <row r="2306" spans="1:19">
      <c r="A2306" s="196">
        <v>43313</v>
      </c>
      <c r="B2306" s="122">
        <v>20.149999999999999</v>
      </c>
      <c r="C2306" s="122">
        <v>20.870000999999998</v>
      </c>
      <c r="D2306" s="122">
        <v>19.93</v>
      </c>
      <c r="E2306" s="122">
        <v>20.100000000000001</v>
      </c>
      <c r="F2306" s="122">
        <v>19.583656000000001</v>
      </c>
      <c r="G2306" s="197">
        <v>226100</v>
      </c>
      <c r="H2306" s="198">
        <f>IF(AND(E2305&gt;=H2305,E2306&gt;=E2305),E2305*(1+'Trading Model'!$E$13),IF(AND(E2306&lt;E2305,E2305&gt;=H2305),E2306*(1+'Trading Model'!$E$13),H2305))</f>
        <v>39.921000000000006</v>
      </c>
      <c r="I2306" s="198">
        <f>IF(K2306&gt;0,E2306*(1-'Trading Model'!E2316),IF(E2306&lt;I2305,I2305*(1-'Trading Model'!$E$14),I2305))</f>
        <v>16.93607420971993</v>
      </c>
      <c r="J2306" s="198">
        <f t="shared" si="287"/>
        <v>0</v>
      </c>
      <c r="K2306" s="198">
        <f t="shared" si="282"/>
        <v>0</v>
      </c>
      <c r="L2306" s="198">
        <f>COUNTIF(J2306:K2306,"&lt;&gt;0")*-'Trading Model'!$E$15</f>
        <v>0</v>
      </c>
      <c r="M2306" s="198">
        <f t="shared" si="280"/>
        <v>0</v>
      </c>
      <c r="N2306" s="75">
        <f t="shared" si="283"/>
        <v>69</v>
      </c>
      <c r="O2306" s="202">
        <f t="shared" si="284"/>
        <v>0</v>
      </c>
      <c r="P2306" s="199">
        <f t="shared" si="281"/>
        <v>0</v>
      </c>
      <c r="Q2306" s="203">
        <f t="shared" si="285"/>
        <v>-14.599999999998561</v>
      </c>
      <c r="R2306" s="203" t="s">
        <v>55</v>
      </c>
      <c r="S2306" s="201">
        <f t="shared" si="286"/>
        <v>1.494768310911887E-3</v>
      </c>
    </row>
    <row r="2307" spans="1:19">
      <c r="A2307" s="196">
        <v>43314</v>
      </c>
      <c r="B2307" s="122">
        <v>20.290001</v>
      </c>
      <c r="C2307" s="122">
        <v>20.299999</v>
      </c>
      <c r="D2307" s="122">
        <v>19.879999000000002</v>
      </c>
      <c r="E2307" s="122">
        <v>19.989999999999998</v>
      </c>
      <c r="F2307" s="122">
        <v>19.476479999999999</v>
      </c>
      <c r="G2307" s="197">
        <v>137700</v>
      </c>
      <c r="H2307" s="198">
        <f>IF(AND(E2306&gt;=H2306,E2307&gt;=E2306),E2306*(1+'Trading Model'!$E$13),IF(AND(E2307&lt;E2306,E2306&gt;=H2306),E2307*(1+'Trading Model'!$E$13),H2306))</f>
        <v>39.921000000000006</v>
      </c>
      <c r="I2307" s="198">
        <f>IF(K2307&gt;0,E2307*(1-'Trading Model'!E2317),IF(E2307&lt;I2306,I2306*(1-'Trading Model'!$E$14),I2306))</f>
        <v>16.93607420971993</v>
      </c>
      <c r="J2307" s="198">
        <f t="shared" si="287"/>
        <v>0</v>
      </c>
      <c r="K2307" s="198">
        <f t="shared" si="282"/>
        <v>0</v>
      </c>
      <c r="L2307" s="198">
        <f>COUNTIF(J2307:K2307,"&lt;&gt;0")*-'Trading Model'!$E$15</f>
        <v>0</v>
      </c>
      <c r="M2307" s="198">
        <f t="shared" ref="M2307:M2370" si="288">SUM(J2307:L2307)</f>
        <v>0</v>
      </c>
      <c r="N2307" s="75">
        <f t="shared" si="283"/>
        <v>69</v>
      </c>
      <c r="O2307" s="202">
        <f t="shared" si="284"/>
        <v>0</v>
      </c>
      <c r="P2307" s="199">
        <f t="shared" ref="P2307:P2370" si="289">IFERROR(VLOOKUP(A2307,Dividends,2,FALSE),$U$1)</f>
        <v>0</v>
      </c>
      <c r="Q2307" s="203">
        <f t="shared" si="285"/>
        <v>-14.69999999999856</v>
      </c>
      <c r="R2307" s="201">
        <f>E2307/B2303-1</f>
        <v>0</v>
      </c>
      <c r="S2307" s="201">
        <f t="shared" si="286"/>
        <v>-5.472636815920584E-3</v>
      </c>
    </row>
    <row r="2308" spans="1:19">
      <c r="A2308" s="196">
        <v>43315</v>
      </c>
      <c r="B2308" s="122">
        <v>19.889999</v>
      </c>
      <c r="C2308" s="122">
        <v>20.469999000000001</v>
      </c>
      <c r="D2308" s="122">
        <v>19.889999</v>
      </c>
      <c r="E2308" s="122">
        <v>20.209999</v>
      </c>
      <c r="F2308" s="122">
        <v>19.690828</v>
      </c>
      <c r="G2308" s="197">
        <v>78400</v>
      </c>
      <c r="H2308" s="198">
        <f>IF(AND(E2307&gt;=H2307,E2308&gt;=E2307),E2307*(1+'Trading Model'!$E$13),IF(AND(E2308&lt;E2307,E2307&gt;=H2307),E2308*(1+'Trading Model'!$E$13),H2307))</f>
        <v>39.921000000000006</v>
      </c>
      <c r="I2308" s="198">
        <f>IF(K2308&gt;0,E2308*(1-'Trading Model'!E2318),IF(E2308&lt;I2307,I2307*(1-'Trading Model'!$E$14),I2307))</f>
        <v>16.93607420971993</v>
      </c>
      <c r="J2308" s="198">
        <f t="shared" si="287"/>
        <v>0</v>
      </c>
      <c r="K2308" s="198">
        <f t="shared" ref="K2308:K2371" si="290">IF(E2308&gt;=H2308,E2308,0)</f>
        <v>0</v>
      </c>
      <c r="L2308" s="198">
        <f>COUNTIF(J2308:K2308,"&lt;&gt;0")*-'Trading Model'!$E$15</f>
        <v>0</v>
      </c>
      <c r="M2308" s="198">
        <f t="shared" si="288"/>
        <v>0</v>
      </c>
      <c r="N2308" s="75">
        <f t="shared" ref="N2308:N2371" si="291">IF(AND(J2308&lt;0,K2308&gt;0),N2307,(IF(J2308&lt;0,N2307+1,IF(K2308&gt;0,N2307+1,N2307))))</f>
        <v>69</v>
      </c>
      <c r="O2308" s="202">
        <f t="shared" ref="O2308:O2371" si="292">P2308</f>
        <v>0</v>
      </c>
      <c r="P2308" s="199">
        <f t="shared" si="289"/>
        <v>0</v>
      </c>
      <c r="Q2308" s="203">
        <f t="shared" ref="Q2308:Q2371" si="293">IF(E2308&lt;E2307,Q2307-0.1,Q2307)</f>
        <v>-14.69999999999856</v>
      </c>
      <c r="R2308" s="160" t="s">
        <v>55</v>
      </c>
      <c r="S2308" s="201">
        <f t="shared" ref="S2308:S2371" si="294">E2308/E2307-1</f>
        <v>1.1005452726363218E-2</v>
      </c>
    </row>
    <row r="2309" spans="1:19">
      <c r="A2309" s="196">
        <v>43318</v>
      </c>
      <c r="B2309" s="122">
        <v>20.049999</v>
      </c>
      <c r="C2309" s="122">
        <v>20.48</v>
      </c>
      <c r="D2309" s="122">
        <v>20.030000999999999</v>
      </c>
      <c r="E2309" s="122">
        <v>20.18</v>
      </c>
      <c r="F2309" s="122">
        <v>19.6616</v>
      </c>
      <c r="G2309" s="197">
        <v>109100</v>
      </c>
      <c r="H2309" s="198">
        <f>IF(AND(E2308&gt;=H2308,E2309&gt;=E2308),E2308*(1+'Trading Model'!$E$13),IF(AND(E2309&lt;E2308,E2308&gt;=H2308),E2309*(1+'Trading Model'!$E$13),H2308))</f>
        <v>39.921000000000006</v>
      </c>
      <c r="I2309" s="198">
        <f>IF(K2309&gt;0,E2309*(1-'Trading Model'!E2319),IF(E2309&lt;I2308,I2308*(1-'Trading Model'!$E$14),I2308))</f>
        <v>16.93607420971993</v>
      </c>
      <c r="J2309" s="198">
        <f t="shared" ref="J2309:J2372" si="295">IF(E2309&gt;=H2309,-E2309,IF(E2309&lt;=I2308,-E2309,0))</f>
        <v>0</v>
      </c>
      <c r="K2309" s="198">
        <f t="shared" si="290"/>
        <v>0</v>
      </c>
      <c r="L2309" s="198">
        <f>COUNTIF(J2309:K2309,"&lt;&gt;0")*-'Trading Model'!$E$15</f>
        <v>0</v>
      </c>
      <c r="M2309" s="198">
        <f t="shared" si="288"/>
        <v>0</v>
      </c>
      <c r="N2309" s="75">
        <f t="shared" si="291"/>
        <v>69</v>
      </c>
      <c r="O2309" s="202">
        <f t="shared" si="292"/>
        <v>0</v>
      </c>
      <c r="P2309" s="199">
        <f t="shared" si="289"/>
        <v>0</v>
      </c>
      <c r="Q2309" s="203">
        <f t="shared" si="293"/>
        <v>-14.79999999999856</v>
      </c>
      <c r="R2309" s="203" t="s">
        <v>55</v>
      </c>
      <c r="S2309" s="201">
        <f t="shared" si="294"/>
        <v>-1.4843642495974141E-3</v>
      </c>
    </row>
    <row r="2310" spans="1:19">
      <c r="A2310" s="196">
        <v>43319</v>
      </c>
      <c r="B2310" s="122">
        <v>20.25</v>
      </c>
      <c r="C2310" s="122">
        <v>20.450001</v>
      </c>
      <c r="D2310" s="122">
        <v>19.950001</v>
      </c>
      <c r="E2310" s="122">
        <v>20.07</v>
      </c>
      <c r="F2310" s="122">
        <v>19.554425999999999</v>
      </c>
      <c r="G2310" s="197">
        <v>245600</v>
      </c>
      <c r="H2310" s="198">
        <f>IF(AND(E2309&gt;=H2309,E2310&gt;=E2309),E2309*(1+'Trading Model'!$E$13),IF(AND(E2310&lt;E2309,E2309&gt;=H2309),E2310*(1+'Trading Model'!$E$13),H2309))</f>
        <v>39.921000000000006</v>
      </c>
      <c r="I2310" s="198">
        <f>IF(K2310&gt;0,E2310*(1-'Trading Model'!E2320),IF(E2310&lt;I2309,I2309*(1-'Trading Model'!$E$14),I2309))</f>
        <v>16.93607420971993</v>
      </c>
      <c r="J2310" s="198">
        <f t="shared" si="295"/>
        <v>0</v>
      </c>
      <c r="K2310" s="198">
        <f t="shared" si="290"/>
        <v>0</v>
      </c>
      <c r="L2310" s="198">
        <f>COUNTIF(J2310:K2310,"&lt;&gt;0")*-'Trading Model'!$E$15</f>
        <v>0</v>
      </c>
      <c r="M2310" s="198">
        <f t="shared" si="288"/>
        <v>0</v>
      </c>
      <c r="N2310" s="75">
        <f t="shared" si="291"/>
        <v>69</v>
      </c>
      <c r="O2310" s="202">
        <f t="shared" si="292"/>
        <v>0</v>
      </c>
      <c r="P2310" s="199">
        <f t="shared" si="289"/>
        <v>0</v>
      </c>
      <c r="Q2310" s="203">
        <f t="shared" si="293"/>
        <v>-14.89999999999856</v>
      </c>
      <c r="R2310" s="203" t="s">
        <v>55</v>
      </c>
      <c r="S2310" s="201">
        <f t="shared" si="294"/>
        <v>-5.4509415262635752E-3</v>
      </c>
    </row>
    <row r="2311" spans="1:19">
      <c r="A2311" s="196">
        <v>43320</v>
      </c>
      <c r="B2311" s="122">
        <v>19.940000999999999</v>
      </c>
      <c r="C2311" s="122">
        <v>20.200001</v>
      </c>
      <c r="D2311" s="122">
        <v>19.200001</v>
      </c>
      <c r="E2311" s="122">
        <v>19.440000999999999</v>
      </c>
      <c r="F2311" s="122">
        <v>18.940611000000001</v>
      </c>
      <c r="G2311" s="197">
        <v>151500</v>
      </c>
      <c r="H2311" s="198">
        <f>IF(AND(E2310&gt;=H2310,E2311&gt;=E2310),E2310*(1+'Trading Model'!$E$13),IF(AND(E2311&lt;E2310,E2310&gt;=H2310),E2311*(1+'Trading Model'!$E$13),H2310))</f>
        <v>39.921000000000006</v>
      </c>
      <c r="I2311" s="198">
        <f>IF(K2311&gt;0,E2311*(1-'Trading Model'!E2321),IF(E2311&lt;I2310,I2310*(1-'Trading Model'!$E$14),I2310))</f>
        <v>16.93607420971993</v>
      </c>
      <c r="J2311" s="198">
        <f t="shared" si="295"/>
        <v>0</v>
      </c>
      <c r="K2311" s="198">
        <f t="shared" si="290"/>
        <v>0</v>
      </c>
      <c r="L2311" s="198">
        <f>COUNTIF(J2311:K2311,"&lt;&gt;0")*-'Trading Model'!$E$15</f>
        <v>0</v>
      </c>
      <c r="M2311" s="198">
        <f t="shared" si="288"/>
        <v>0</v>
      </c>
      <c r="N2311" s="75">
        <f t="shared" si="291"/>
        <v>69</v>
      </c>
      <c r="O2311" s="202">
        <f t="shared" si="292"/>
        <v>0</v>
      </c>
      <c r="P2311" s="199">
        <f t="shared" si="289"/>
        <v>0</v>
      </c>
      <c r="Q2311" s="203">
        <f t="shared" si="293"/>
        <v>-14.999999999998559</v>
      </c>
      <c r="R2311" s="203" t="s">
        <v>55</v>
      </c>
      <c r="S2311" s="201">
        <f t="shared" si="294"/>
        <v>-3.1390084703537657E-2</v>
      </c>
    </row>
    <row r="2312" spans="1:19">
      <c r="A2312" s="196">
        <v>43321</v>
      </c>
      <c r="B2312" s="122">
        <v>19.399999999999999</v>
      </c>
      <c r="C2312" s="122">
        <v>19.399999999999999</v>
      </c>
      <c r="D2312" s="122">
        <v>18.120000999999998</v>
      </c>
      <c r="E2312" s="122">
        <v>18.120000999999998</v>
      </c>
      <c r="F2312" s="122">
        <v>17.654520000000002</v>
      </c>
      <c r="G2312" s="197">
        <v>154800</v>
      </c>
      <c r="H2312" s="198">
        <f>IF(AND(E2311&gt;=H2311,E2312&gt;=E2311),E2311*(1+'Trading Model'!$E$13),IF(AND(E2312&lt;E2311,E2311&gt;=H2311),E2312*(1+'Trading Model'!$E$13),H2311))</f>
        <v>39.921000000000006</v>
      </c>
      <c r="I2312" s="198">
        <f>IF(K2312&gt;0,E2312*(1-'Trading Model'!E2322),IF(E2312&lt;I2311,I2311*(1-'Trading Model'!$E$14),I2311))</f>
        <v>16.93607420971993</v>
      </c>
      <c r="J2312" s="198">
        <f t="shared" si="295"/>
        <v>0</v>
      </c>
      <c r="K2312" s="198">
        <f t="shared" si="290"/>
        <v>0</v>
      </c>
      <c r="L2312" s="198">
        <f>COUNTIF(J2312:K2312,"&lt;&gt;0")*-'Trading Model'!$E$15</f>
        <v>0</v>
      </c>
      <c r="M2312" s="198">
        <f t="shared" si="288"/>
        <v>0</v>
      </c>
      <c r="N2312" s="75">
        <f t="shared" si="291"/>
        <v>69</v>
      </c>
      <c r="O2312" s="202">
        <f t="shared" si="292"/>
        <v>0</v>
      </c>
      <c r="P2312" s="199">
        <f t="shared" si="289"/>
        <v>0</v>
      </c>
      <c r="Q2312" s="203">
        <f t="shared" si="293"/>
        <v>-15.099999999998559</v>
      </c>
      <c r="R2312" s="201">
        <f>E2312/B2308-1</f>
        <v>-8.8989345851651414E-2</v>
      </c>
      <c r="S2312" s="201">
        <f t="shared" si="294"/>
        <v>-6.7901231075039536E-2</v>
      </c>
    </row>
    <row r="2313" spans="1:19">
      <c r="A2313" s="196">
        <v>43322</v>
      </c>
      <c r="B2313" s="122">
        <v>17.379999000000002</v>
      </c>
      <c r="C2313" s="122">
        <v>17.829999999999998</v>
      </c>
      <c r="D2313" s="122">
        <v>16.950001</v>
      </c>
      <c r="E2313" s="122">
        <v>17.329999999999998</v>
      </c>
      <c r="F2313" s="122">
        <v>16.884813000000001</v>
      </c>
      <c r="G2313" s="197">
        <v>507800</v>
      </c>
      <c r="H2313" s="198">
        <f>IF(AND(E2312&gt;=H2312,E2313&gt;=E2312),E2312*(1+'Trading Model'!$E$13),IF(AND(E2313&lt;E2312,E2312&gt;=H2312),E2313*(1+'Trading Model'!$E$13),H2312))</f>
        <v>39.921000000000006</v>
      </c>
      <c r="I2313" s="198">
        <f>IF(K2313&gt;0,E2313*(1-'Trading Model'!E2323),IF(E2313&lt;I2312,I2312*(1-'Trading Model'!$E$14),I2312))</f>
        <v>16.93607420971993</v>
      </c>
      <c r="J2313" s="198">
        <f t="shared" si="295"/>
        <v>0</v>
      </c>
      <c r="K2313" s="198">
        <f t="shared" si="290"/>
        <v>0</v>
      </c>
      <c r="L2313" s="198">
        <f>COUNTIF(J2313:K2313,"&lt;&gt;0")*-'Trading Model'!$E$15</f>
        <v>0</v>
      </c>
      <c r="M2313" s="198">
        <f t="shared" si="288"/>
        <v>0</v>
      </c>
      <c r="N2313" s="75">
        <f t="shared" si="291"/>
        <v>69</v>
      </c>
      <c r="O2313" s="202">
        <f t="shared" si="292"/>
        <v>0</v>
      </c>
      <c r="P2313" s="199">
        <f t="shared" si="289"/>
        <v>0</v>
      </c>
      <c r="Q2313" s="203">
        <f t="shared" si="293"/>
        <v>-15.199999999998559</v>
      </c>
      <c r="R2313" s="160" t="s">
        <v>55</v>
      </c>
      <c r="S2313" s="201">
        <f t="shared" si="294"/>
        <v>-4.3598286777136508E-2</v>
      </c>
    </row>
    <row r="2314" spans="1:19">
      <c r="A2314" s="196">
        <v>43325</v>
      </c>
      <c r="B2314" s="122">
        <v>17.100000000000001</v>
      </c>
      <c r="C2314" s="122">
        <v>17.48</v>
      </c>
      <c r="D2314" s="122">
        <v>16.719999000000001</v>
      </c>
      <c r="E2314" s="122">
        <v>17.219999000000001</v>
      </c>
      <c r="F2314" s="122">
        <v>16.777639000000001</v>
      </c>
      <c r="G2314" s="197">
        <v>269400</v>
      </c>
      <c r="H2314" s="198">
        <f>IF(AND(E2313&gt;=H2313,E2314&gt;=E2313),E2313*(1+'Trading Model'!$E$13),IF(AND(E2314&lt;E2313,E2313&gt;=H2313),E2314*(1+'Trading Model'!$E$13),H2313))</f>
        <v>39.921000000000006</v>
      </c>
      <c r="I2314" s="198">
        <f>IF(K2314&gt;0,E2314*(1-'Trading Model'!E2324),IF(E2314&lt;I2313,I2313*(1-'Trading Model'!$E$14),I2313))</f>
        <v>16.93607420971993</v>
      </c>
      <c r="J2314" s="198">
        <f t="shared" si="295"/>
        <v>0</v>
      </c>
      <c r="K2314" s="198">
        <f t="shared" si="290"/>
        <v>0</v>
      </c>
      <c r="L2314" s="198">
        <f>COUNTIF(J2314:K2314,"&lt;&gt;0")*-'Trading Model'!$E$15</f>
        <v>0</v>
      </c>
      <c r="M2314" s="198">
        <f t="shared" si="288"/>
        <v>0</v>
      </c>
      <c r="N2314" s="75">
        <f t="shared" si="291"/>
        <v>69</v>
      </c>
      <c r="O2314" s="202">
        <f t="shared" si="292"/>
        <v>0</v>
      </c>
      <c r="P2314" s="199">
        <f t="shared" si="289"/>
        <v>0</v>
      </c>
      <c r="Q2314" s="203">
        <f t="shared" si="293"/>
        <v>-15.299999999998558</v>
      </c>
      <c r="R2314" s="203" t="s">
        <v>55</v>
      </c>
      <c r="S2314" s="201">
        <f t="shared" si="294"/>
        <v>-6.3474321984995363E-3</v>
      </c>
    </row>
    <row r="2315" spans="1:19">
      <c r="A2315" s="196">
        <v>43326</v>
      </c>
      <c r="B2315" s="122">
        <v>17.309999000000001</v>
      </c>
      <c r="C2315" s="122">
        <v>17.940000999999999</v>
      </c>
      <c r="D2315" s="122">
        <v>17.309999000000001</v>
      </c>
      <c r="E2315" s="122">
        <v>17.790001</v>
      </c>
      <c r="F2315" s="122">
        <v>17.332998</v>
      </c>
      <c r="G2315" s="197">
        <v>180100</v>
      </c>
      <c r="H2315" s="198">
        <f>IF(AND(E2314&gt;=H2314,E2315&gt;=E2314),E2314*(1+'Trading Model'!$E$13),IF(AND(E2315&lt;E2314,E2314&gt;=H2314),E2315*(1+'Trading Model'!$E$13),H2314))</f>
        <v>39.921000000000006</v>
      </c>
      <c r="I2315" s="198">
        <f>IF(K2315&gt;0,E2315*(1-'Trading Model'!E2325),IF(E2315&lt;I2314,I2314*(1-'Trading Model'!$E$14),I2314))</f>
        <v>16.93607420971993</v>
      </c>
      <c r="J2315" s="198">
        <f t="shared" si="295"/>
        <v>0</v>
      </c>
      <c r="K2315" s="198">
        <f t="shared" si="290"/>
        <v>0</v>
      </c>
      <c r="L2315" s="198">
        <f>COUNTIF(J2315:K2315,"&lt;&gt;0")*-'Trading Model'!$E$15</f>
        <v>0</v>
      </c>
      <c r="M2315" s="198">
        <f t="shared" si="288"/>
        <v>0</v>
      </c>
      <c r="N2315" s="75">
        <f t="shared" si="291"/>
        <v>69</v>
      </c>
      <c r="O2315" s="202">
        <f t="shared" si="292"/>
        <v>0</v>
      </c>
      <c r="P2315" s="199">
        <f t="shared" si="289"/>
        <v>0</v>
      </c>
      <c r="Q2315" s="203">
        <f t="shared" si="293"/>
        <v>-15.299999999998558</v>
      </c>
      <c r="R2315" s="203" t="s">
        <v>55</v>
      </c>
      <c r="S2315" s="201">
        <f t="shared" si="294"/>
        <v>3.3101163362436736E-2</v>
      </c>
    </row>
    <row r="2316" spans="1:19">
      <c r="A2316" s="196">
        <v>43327</v>
      </c>
      <c r="B2316" s="122">
        <v>17.75</v>
      </c>
      <c r="C2316" s="122">
        <v>18.420000000000002</v>
      </c>
      <c r="D2316" s="122">
        <v>17.239999999999998</v>
      </c>
      <c r="E2316" s="122">
        <v>18.41</v>
      </c>
      <c r="F2316" s="122">
        <v>17.937069000000001</v>
      </c>
      <c r="G2316" s="197">
        <v>252600</v>
      </c>
      <c r="H2316" s="198">
        <f>IF(AND(E2315&gt;=H2315,E2316&gt;=E2315),E2315*(1+'Trading Model'!$E$13),IF(AND(E2316&lt;E2315,E2315&gt;=H2315),E2316*(1+'Trading Model'!$E$13),H2315))</f>
        <v>39.921000000000006</v>
      </c>
      <c r="I2316" s="198">
        <f>IF(K2316&gt;0,E2316*(1-'Trading Model'!E2326),IF(E2316&lt;I2315,I2315*(1-'Trading Model'!$E$14),I2315))</f>
        <v>16.93607420971993</v>
      </c>
      <c r="J2316" s="198">
        <f t="shared" si="295"/>
        <v>0</v>
      </c>
      <c r="K2316" s="198">
        <f t="shared" si="290"/>
        <v>0</v>
      </c>
      <c r="L2316" s="198">
        <f>COUNTIF(J2316:K2316,"&lt;&gt;0")*-'Trading Model'!$E$15</f>
        <v>0</v>
      </c>
      <c r="M2316" s="198">
        <f t="shared" si="288"/>
        <v>0</v>
      </c>
      <c r="N2316" s="75">
        <f t="shared" si="291"/>
        <v>69</v>
      </c>
      <c r="O2316" s="202">
        <f t="shared" si="292"/>
        <v>0</v>
      </c>
      <c r="P2316" s="199">
        <f t="shared" si="289"/>
        <v>0</v>
      </c>
      <c r="Q2316" s="203">
        <f t="shared" si="293"/>
        <v>-15.299999999998558</v>
      </c>
      <c r="R2316" s="203" t="s">
        <v>55</v>
      </c>
      <c r="S2316" s="201">
        <f t="shared" si="294"/>
        <v>3.485098173968626E-2</v>
      </c>
    </row>
    <row r="2317" spans="1:19">
      <c r="A2317" s="196">
        <v>43328</v>
      </c>
      <c r="B2317" s="122">
        <v>18.360001</v>
      </c>
      <c r="C2317" s="122">
        <v>18.82</v>
      </c>
      <c r="D2317" s="122">
        <v>18.34</v>
      </c>
      <c r="E2317" s="122">
        <v>18.34</v>
      </c>
      <c r="F2317" s="122">
        <v>17.868867999999999</v>
      </c>
      <c r="G2317" s="197">
        <v>201300</v>
      </c>
      <c r="H2317" s="198">
        <f>IF(AND(E2316&gt;=H2316,E2317&gt;=E2316),E2316*(1+'Trading Model'!$E$13),IF(AND(E2317&lt;E2316,E2316&gt;=H2316),E2317*(1+'Trading Model'!$E$13),H2316))</f>
        <v>39.921000000000006</v>
      </c>
      <c r="I2317" s="198">
        <f>IF(K2317&gt;0,E2317*(1-'Trading Model'!E2327),IF(E2317&lt;I2316,I2316*(1-'Trading Model'!$E$14),I2316))</f>
        <v>16.93607420971993</v>
      </c>
      <c r="J2317" s="198">
        <f t="shared" si="295"/>
        <v>0</v>
      </c>
      <c r="K2317" s="198">
        <f t="shared" si="290"/>
        <v>0</v>
      </c>
      <c r="L2317" s="198">
        <f>COUNTIF(J2317:K2317,"&lt;&gt;0")*-'Trading Model'!$E$15</f>
        <v>0</v>
      </c>
      <c r="M2317" s="198">
        <f t="shared" si="288"/>
        <v>0</v>
      </c>
      <c r="N2317" s="75">
        <f t="shared" si="291"/>
        <v>69</v>
      </c>
      <c r="O2317" s="202">
        <f t="shared" si="292"/>
        <v>0</v>
      </c>
      <c r="P2317" s="199">
        <f t="shared" si="289"/>
        <v>0</v>
      </c>
      <c r="Q2317" s="203">
        <f t="shared" si="293"/>
        <v>-15.399999999998558</v>
      </c>
      <c r="R2317" s="201">
        <f>E2317/B2313-1</f>
        <v>5.5235964052702036E-2</v>
      </c>
      <c r="S2317" s="201">
        <f t="shared" si="294"/>
        <v>-3.8022813688213253E-3</v>
      </c>
    </row>
    <row r="2318" spans="1:19">
      <c r="A2318" s="196">
        <v>43329</v>
      </c>
      <c r="B2318" s="122">
        <v>18.25</v>
      </c>
      <c r="C2318" s="122">
        <v>18.299999</v>
      </c>
      <c r="D2318" s="122">
        <v>17.510000000000002</v>
      </c>
      <c r="E2318" s="122">
        <v>17.57</v>
      </c>
      <c r="F2318" s="122">
        <v>17.118649000000001</v>
      </c>
      <c r="G2318" s="197">
        <v>254400</v>
      </c>
      <c r="H2318" s="198">
        <f>IF(AND(E2317&gt;=H2317,E2318&gt;=E2317),E2317*(1+'Trading Model'!$E$13),IF(AND(E2318&lt;E2317,E2317&gt;=H2317),E2318*(1+'Trading Model'!$E$13),H2317))</f>
        <v>39.921000000000006</v>
      </c>
      <c r="I2318" s="198">
        <f>IF(K2318&gt;0,E2318*(1-'Trading Model'!E2328),IF(E2318&lt;I2317,I2317*(1-'Trading Model'!$E$14),I2317))</f>
        <v>16.93607420971993</v>
      </c>
      <c r="J2318" s="198">
        <f t="shared" si="295"/>
        <v>0</v>
      </c>
      <c r="K2318" s="198">
        <f t="shared" si="290"/>
        <v>0</v>
      </c>
      <c r="L2318" s="198">
        <f>COUNTIF(J2318:K2318,"&lt;&gt;0")*-'Trading Model'!$E$15</f>
        <v>0</v>
      </c>
      <c r="M2318" s="198">
        <f t="shared" si="288"/>
        <v>0</v>
      </c>
      <c r="N2318" s="75">
        <f t="shared" si="291"/>
        <v>69</v>
      </c>
      <c r="O2318" s="202">
        <f t="shared" si="292"/>
        <v>0</v>
      </c>
      <c r="P2318" s="199">
        <f t="shared" si="289"/>
        <v>0</v>
      </c>
      <c r="Q2318" s="203">
        <f t="shared" si="293"/>
        <v>-15.499999999998558</v>
      </c>
      <c r="R2318" s="160" t="s">
        <v>55</v>
      </c>
      <c r="S2318" s="201">
        <f t="shared" si="294"/>
        <v>-4.1984732824427495E-2</v>
      </c>
    </row>
    <row r="2319" spans="1:19">
      <c r="A2319" s="196">
        <v>43332</v>
      </c>
      <c r="B2319" s="122">
        <v>17.629999000000002</v>
      </c>
      <c r="C2319" s="122">
        <v>18.100000000000001</v>
      </c>
      <c r="D2319" s="122">
        <v>17.129999000000002</v>
      </c>
      <c r="E2319" s="122">
        <v>17.75</v>
      </c>
      <c r="F2319" s="122">
        <v>17.294024</v>
      </c>
      <c r="G2319" s="197">
        <v>257800</v>
      </c>
      <c r="H2319" s="198">
        <f>IF(AND(E2318&gt;=H2318,E2319&gt;=E2318),E2318*(1+'Trading Model'!$E$13),IF(AND(E2319&lt;E2318,E2318&gt;=H2318),E2319*(1+'Trading Model'!$E$13),H2318))</f>
        <v>39.921000000000006</v>
      </c>
      <c r="I2319" s="198">
        <f>IF(K2319&gt;0,E2319*(1-'Trading Model'!E2329),IF(E2319&lt;I2318,I2318*(1-'Trading Model'!$E$14),I2318))</f>
        <v>16.93607420971993</v>
      </c>
      <c r="J2319" s="198">
        <f t="shared" si="295"/>
        <v>0</v>
      </c>
      <c r="K2319" s="198">
        <f t="shared" si="290"/>
        <v>0</v>
      </c>
      <c r="L2319" s="198">
        <f>COUNTIF(J2319:K2319,"&lt;&gt;0")*-'Trading Model'!$E$15</f>
        <v>0</v>
      </c>
      <c r="M2319" s="198">
        <f t="shared" si="288"/>
        <v>0</v>
      </c>
      <c r="N2319" s="75">
        <f t="shared" si="291"/>
        <v>69</v>
      </c>
      <c r="O2319" s="202">
        <f t="shared" si="292"/>
        <v>0</v>
      </c>
      <c r="P2319" s="199">
        <f t="shared" si="289"/>
        <v>0</v>
      </c>
      <c r="Q2319" s="203">
        <f t="shared" si="293"/>
        <v>-15.499999999998558</v>
      </c>
      <c r="R2319" s="203" t="s">
        <v>55</v>
      </c>
      <c r="S2319" s="201">
        <f t="shared" si="294"/>
        <v>1.0244735344336897E-2</v>
      </c>
    </row>
    <row r="2320" spans="1:19">
      <c r="A2320" s="196">
        <v>43333</v>
      </c>
      <c r="B2320" s="122">
        <v>17.709999</v>
      </c>
      <c r="C2320" s="122">
        <v>18.030000999999999</v>
      </c>
      <c r="D2320" s="122">
        <v>17.709999</v>
      </c>
      <c r="E2320" s="122">
        <v>18.010000000000002</v>
      </c>
      <c r="F2320" s="122">
        <v>17.547346000000001</v>
      </c>
      <c r="G2320" s="197">
        <v>194700</v>
      </c>
      <c r="H2320" s="198">
        <f>IF(AND(E2319&gt;=H2319,E2320&gt;=E2319),E2319*(1+'Trading Model'!$E$13),IF(AND(E2320&lt;E2319,E2319&gt;=H2319),E2320*(1+'Trading Model'!$E$13),H2319))</f>
        <v>39.921000000000006</v>
      </c>
      <c r="I2320" s="198">
        <f>IF(K2320&gt;0,E2320*(1-'Trading Model'!E2330),IF(E2320&lt;I2319,I2319*(1-'Trading Model'!$E$14),I2319))</f>
        <v>16.93607420971993</v>
      </c>
      <c r="J2320" s="198">
        <f t="shared" si="295"/>
        <v>0</v>
      </c>
      <c r="K2320" s="198">
        <f t="shared" si="290"/>
        <v>0</v>
      </c>
      <c r="L2320" s="198">
        <f>COUNTIF(J2320:K2320,"&lt;&gt;0")*-'Trading Model'!$E$15</f>
        <v>0</v>
      </c>
      <c r="M2320" s="198">
        <f t="shared" si="288"/>
        <v>0</v>
      </c>
      <c r="N2320" s="75">
        <f t="shared" si="291"/>
        <v>69</v>
      </c>
      <c r="O2320" s="202">
        <f t="shared" si="292"/>
        <v>0</v>
      </c>
      <c r="P2320" s="199">
        <f t="shared" si="289"/>
        <v>0</v>
      </c>
      <c r="Q2320" s="203">
        <f t="shared" si="293"/>
        <v>-15.499999999998558</v>
      </c>
      <c r="R2320" s="203" t="s">
        <v>55</v>
      </c>
      <c r="S2320" s="201">
        <f t="shared" si="294"/>
        <v>1.4647887323943731E-2</v>
      </c>
    </row>
    <row r="2321" spans="1:19">
      <c r="A2321" s="196">
        <v>43334</v>
      </c>
      <c r="B2321" s="122">
        <v>17.84</v>
      </c>
      <c r="C2321" s="122">
        <v>18.120000999999998</v>
      </c>
      <c r="D2321" s="122">
        <v>17.799999</v>
      </c>
      <c r="E2321" s="122">
        <v>18.040001</v>
      </c>
      <c r="F2321" s="122">
        <v>17.576575999999999</v>
      </c>
      <c r="G2321" s="197">
        <v>214400</v>
      </c>
      <c r="H2321" s="198">
        <f>IF(AND(E2320&gt;=H2320,E2321&gt;=E2320),E2320*(1+'Trading Model'!$E$13),IF(AND(E2321&lt;E2320,E2320&gt;=H2320),E2321*(1+'Trading Model'!$E$13),H2320))</f>
        <v>39.921000000000006</v>
      </c>
      <c r="I2321" s="198">
        <f>IF(K2321&gt;0,E2321*(1-'Trading Model'!E2331),IF(E2321&lt;I2320,I2320*(1-'Trading Model'!$E$14),I2320))</f>
        <v>16.93607420971993</v>
      </c>
      <c r="J2321" s="198">
        <f t="shared" si="295"/>
        <v>0</v>
      </c>
      <c r="K2321" s="198">
        <f t="shared" si="290"/>
        <v>0</v>
      </c>
      <c r="L2321" s="198">
        <f>COUNTIF(J2321:K2321,"&lt;&gt;0")*-'Trading Model'!$E$15</f>
        <v>0</v>
      </c>
      <c r="M2321" s="198">
        <f t="shared" si="288"/>
        <v>0</v>
      </c>
      <c r="N2321" s="75">
        <f t="shared" si="291"/>
        <v>69</v>
      </c>
      <c r="O2321" s="202">
        <f t="shared" si="292"/>
        <v>0</v>
      </c>
      <c r="P2321" s="199">
        <f t="shared" si="289"/>
        <v>0</v>
      </c>
      <c r="Q2321" s="203">
        <f t="shared" si="293"/>
        <v>-15.499999999998558</v>
      </c>
      <c r="R2321" s="203" t="s">
        <v>55</v>
      </c>
      <c r="S2321" s="201">
        <f t="shared" si="294"/>
        <v>1.6657967795667972E-3</v>
      </c>
    </row>
    <row r="2322" spans="1:19">
      <c r="A2322" s="196">
        <v>43335</v>
      </c>
      <c r="B2322" s="122">
        <v>18.139999</v>
      </c>
      <c r="C2322" s="122">
        <v>18.66</v>
      </c>
      <c r="D2322" s="122">
        <v>17.93</v>
      </c>
      <c r="E2322" s="122">
        <v>18.260000000000002</v>
      </c>
      <c r="F2322" s="122">
        <v>17.790924</v>
      </c>
      <c r="G2322" s="197">
        <v>218600</v>
      </c>
      <c r="H2322" s="198">
        <f>IF(AND(E2321&gt;=H2321,E2322&gt;=E2321),E2321*(1+'Trading Model'!$E$13),IF(AND(E2322&lt;E2321,E2321&gt;=H2321),E2322*(1+'Trading Model'!$E$13),H2321))</f>
        <v>39.921000000000006</v>
      </c>
      <c r="I2322" s="198">
        <f>IF(K2322&gt;0,E2322*(1-'Trading Model'!E2332),IF(E2322&lt;I2321,I2321*(1-'Trading Model'!$E$14),I2321))</f>
        <v>16.93607420971993</v>
      </c>
      <c r="J2322" s="198">
        <f t="shared" si="295"/>
        <v>0</v>
      </c>
      <c r="K2322" s="198">
        <f t="shared" si="290"/>
        <v>0</v>
      </c>
      <c r="L2322" s="198">
        <f>COUNTIF(J2322:K2322,"&lt;&gt;0")*-'Trading Model'!$E$15</f>
        <v>0</v>
      </c>
      <c r="M2322" s="198">
        <f t="shared" si="288"/>
        <v>0</v>
      </c>
      <c r="N2322" s="75">
        <f t="shared" si="291"/>
        <v>69</v>
      </c>
      <c r="O2322" s="202">
        <f t="shared" si="292"/>
        <v>0</v>
      </c>
      <c r="P2322" s="199">
        <f t="shared" si="289"/>
        <v>0</v>
      </c>
      <c r="Q2322" s="203">
        <f t="shared" si="293"/>
        <v>-15.499999999998558</v>
      </c>
      <c r="R2322" s="201">
        <f>E2322/B2318-1</f>
        <v>5.4794520547951642E-4</v>
      </c>
      <c r="S2322" s="201">
        <f t="shared" si="294"/>
        <v>1.2195065842845576E-2</v>
      </c>
    </row>
    <row r="2323" spans="1:19">
      <c r="A2323" s="196">
        <v>43336</v>
      </c>
      <c r="B2323" s="122">
        <v>18.170000000000002</v>
      </c>
      <c r="C2323" s="122">
        <v>18.440000999999999</v>
      </c>
      <c r="D2323" s="122">
        <v>17.790001</v>
      </c>
      <c r="E2323" s="122">
        <v>17.84</v>
      </c>
      <c r="F2323" s="122">
        <v>17.381712</v>
      </c>
      <c r="G2323" s="197">
        <v>176800</v>
      </c>
      <c r="H2323" s="198">
        <f>IF(AND(E2322&gt;=H2322,E2323&gt;=E2322),E2322*(1+'Trading Model'!$E$13),IF(AND(E2323&lt;E2322,E2322&gt;=H2322),E2323*(1+'Trading Model'!$E$13),H2322))</f>
        <v>39.921000000000006</v>
      </c>
      <c r="I2323" s="198">
        <f>IF(K2323&gt;0,E2323*(1-'Trading Model'!E2333),IF(E2323&lt;I2322,I2322*(1-'Trading Model'!$E$14),I2322))</f>
        <v>16.93607420971993</v>
      </c>
      <c r="J2323" s="198">
        <f t="shared" si="295"/>
        <v>0</v>
      </c>
      <c r="K2323" s="198">
        <f t="shared" si="290"/>
        <v>0</v>
      </c>
      <c r="L2323" s="198">
        <f>COUNTIF(J2323:K2323,"&lt;&gt;0")*-'Trading Model'!$E$15</f>
        <v>0</v>
      </c>
      <c r="M2323" s="198">
        <f t="shared" si="288"/>
        <v>0</v>
      </c>
      <c r="N2323" s="75">
        <f t="shared" si="291"/>
        <v>69</v>
      </c>
      <c r="O2323" s="202">
        <f t="shared" si="292"/>
        <v>0</v>
      </c>
      <c r="P2323" s="199">
        <f t="shared" si="289"/>
        <v>0</v>
      </c>
      <c r="Q2323" s="203">
        <f t="shared" si="293"/>
        <v>-15.599999999998557</v>
      </c>
      <c r="R2323" s="160" t="s">
        <v>55</v>
      </c>
      <c r="S2323" s="201">
        <f t="shared" si="294"/>
        <v>-2.3001095290251961E-2</v>
      </c>
    </row>
    <row r="2324" spans="1:19">
      <c r="A2324" s="196">
        <v>43339</v>
      </c>
      <c r="B2324" s="122">
        <v>17.780000999999999</v>
      </c>
      <c r="C2324" s="122">
        <v>18.25</v>
      </c>
      <c r="D2324" s="122">
        <v>17.559999000000001</v>
      </c>
      <c r="E2324" s="122">
        <v>17.600000000000001</v>
      </c>
      <c r="F2324" s="122">
        <v>17.147879</v>
      </c>
      <c r="G2324" s="197">
        <v>267600</v>
      </c>
      <c r="H2324" s="198">
        <f>IF(AND(E2323&gt;=H2323,E2324&gt;=E2323),E2323*(1+'Trading Model'!$E$13),IF(AND(E2324&lt;E2323,E2323&gt;=H2323),E2324*(1+'Trading Model'!$E$13),H2323))</f>
        <v>39.921000000000006</v>
      </c>
      <c r="I2324" s="198">
        <f>IF(K2324&gt;0,E2324*(1-'Trading Model'!E2334),IF(E2324&lt;I2323,I2323*(1-'Trading Model'!$E$14),I2323))</f>
        <v>16.93607420971993</v>
      </c>
      <c r="J2324" s="198">
        <f t="shared" si="295"/>
        <v>0</v>
      </c>
      <c r="K2324" s="198">
        <f t="shared" si="290"/>
        <v>0</v>
      </c>
      <c r="L2324" s="198">
        <f>COUNTIF(J2324:K2324,"&lt;&gt;0")*-'Trading Model'!$E$15</f>
        <v>0</v>
      </c>
      <c r="M2324" s="198">
        <f t="shared" si="288"/>
        <v>0</v>
      </c>
      <c r="N2324" s="75">
        <f t="shared" si="291"/>
        <v>69</v>
      </c>
      <c r="O2324" s="202">
        <f t="shared" si="292"/>
        <v>0</v>
      </c>
      <c r="P2324" s="199">
        <f t="shared" si="289"/>
        <v>0</v>
      </c>
      <c r="Q2324" s="203">
        <f t="shared" si="293"/>
        <v>-15.699999999998557</v>
      </c>
      <c r="R2324" s="203" t="s">
        <v>55</v>
      </c>
      <c r="S2324" s="201">
        <f t="shared" si="294"/>
        <v>-1.3452914798206206E-2</v>
      </c>
    </row>
    <row r="2325" spans="1:19">
      <c r="A2325" s="196">
        <v>43340</v>
      </c>
      <c r="B2325" s="122">
        <v>17.510000000000002</v>
      </c>
      <c r="C2325" s="122">
        <v>17.98</v>
      </c>
      <c r="D2325" s="122">
        <v>17.469999000000001</v>
      </c>
      <c r="E2325" s="122">
        <v>17.639999</v>
      </c>
      <c r="F2325" s="122">
        <v>17.18685</v>
      </c>
      <c r="G2325" s="197">
        <v>415300</v>
      </c>
      <c r="H2325" s="198">
        <f>IF(AND(E2324&gt;=H2324,E2325&gt;=E2324),E2324*(1+'Trading Model'!$E$13),IF(AND(E2325&lt;E2324,E2324&gt;=H2324),E2325*(1+'Trading Model'!$E$13),H2324))</f>
        <v>39.921000000000006</v>
      </c>
      <c r="I2325" s="198">
        <f>IF(K2325&gt;0,E2325*(1-'Trading Model'!E2335),IF(E2325&lt;I2324,I2324*(1-'Trading Model'!$E$14),I2324))</f>
        <v>16.93607420971993</v>
      </c>
      <c r="J2325" s="198">
        <f t="shared" si="295"/>
        <v>0</v>
      </c>
      <c r="K2325" s="198">
        <f t="shared" si="290"/>
        <v>0</v>
      </c>
      <c r="L2325" s="198">
        <f>COUNTIF(J2325:K2325,"&lt;&gt;0")*-'Trading Model'!$E$15</f>
        <v>0</v>
      </c>
      <c r="M2325" s="198">
        <f t="shared" si="288"/>
        <v>0</v>
      </c>
      <c r="N2325" s="75">
        <f t="shared" si="291"/>
        <v>69</v>
      </c>
      <c r="O2325" s="202">
        <f t="shared" si="292"/>
        <v>0</v>
      </c>
      <c r="P2325" s="199">
        <f t="shared" si="289"/>
        <v>0</v>
      </c>
      <c r="Q2325" s="203">
        <f t="shared" si="293"/>
        <v>-15.699999999998557</v>
      </c>
      <c r="R2325" s="203" t="s">
        <v>55</v>
      </c>
      <c r="S2325" s="201">
        <f t="shared" si="294"/>
        <v>2.2726704545452669E-3</v>
      </c>
    </row>
    <row r="2326" spans="1:19">
      <c r="A2326" s="196">
        <v>43341</v>
      </c>
      <c r="B2326" s="122">
        <v>17.43</v>
      </c>
      <c r="C2326" s="122">
        <v>17.879999000000002</v>
      </c>
      <c r="D2326" s="122">
        <v>17.049999</v>
      </c>
      <c r="E2326" s="122">
        <v>17.129999000000002</v>
      </c>
      <c r="F2326" s="122">
        <v>16.689951000000001</v>
      </c>
      <c r="G2326" s="197">
        <v>460600</v>
      </c>
      <c r="H2326" s="198">
        <f>IF(AND(E2325&gt;=H2325,E2326&gt;=E2325),E2325*(1+'Trading Model'!$E$13),IF(AND(E2326&lt;E2325,E2325&gt;=H2325),E2326*(1+'Trading Model'!$E$13),H2325))</f>
        <v>39.921000000000006</v>
      </c>
      <c r="I2326" s="198">
        <f>IF(K2326&gt;0,E2326*(1-'Trading Model'!E2336),IF(E2326&lt;I2325,I2325*(1-'Trading Model'!$E$14),I2325))</f>
        <v>16.93607420971993</v>
      </c>
      <c r="J2326" s="198">
        <f t="shared" si="295"/>
        <v>0</v>
      </c>
      <c r="K2326" s="198">
        <f t="shared" si="290"/>
        <v>0</v>
      </c>
      <c r="L2326" s="198">
        <f>COUNTIF(J2326:K2326,"&lt;&gt;0")*-'Trading Model'!$E$15</f>
        <v>0</v>
      </c>
      <c r="M2326" s="198">
        <f t="shared" si="288"/>
        <v>0</v>
      </c>
      <c r="N2326" s="75">
        <f t="shared" si="291"/>
        <v>69</v>
      </c>
      <c r="O2326" s="202">
        <f t="shared" si="292"/>
        <v>0</v>
      </c>
      <c r="P2326" s="199">
        <f t="shared" si="289"/>
        <v>0</v>
      </c>
      <c r="Q2326" s="203">
        <f t="shared" si="293"/>
        <v>-15.799999999998557</v>
      </c>
      <c r="R2326" s="203" t="s">
        <v>55</v>
      </c>
      <c r="S2326" s="201">
        <f t="shared" si="294"/>
        <v>-2.8911566264827937E-2</v>
      </c>
    </row>
    <row r="2327" spans="1:19">
      <c r="A2327" s="196">
        <v>43342</v>
      </c>
      <c r="B2327" s="122">
        <v>17.010000000000002</v>
      </c>
      <c r="C2327" s="122">
        <v>17.290001</v>
      </c>
      <c r="D2327" s="122">
        <v>15.78</v>
      </c>
      <c r="E2327" s="122">
        <v>16.16</v>
      </c>
      <c r="F2327" s="122">
        <v>15.744869</v>
      </c>
      <c r="G2327" s="197">
        <v>831000</v>
      </c>
      <c r="H2327" s="198">
        <f>IF(AND(E2326&gt;=H2326,E2327&gt;=E2326),E2326*(1+'Trading Model'!$E$13),IF(AND(E2327&lt;E2326,E2326&gt;=H2326),E2327*(1+'Trading Model'!$E$13),H2326))</f>
        <v>39.921000000000006</v>
      </c>
      <c r="I2327" s="198">
        <f>IF(K2327&gt;0,E2327*(1-'Trading Model'!E2337),IF(E2327&lt;I2326,I2326*(1-'Trading Model'!$E$14),I2326))</f>
        <v>16.089270499233933</v>
      </c>
      <c r="J2327" s="198">
        <f t="shared" si="295"/>
        <v>-16.16</v>
      </c>
      <c r="K2327" s="198">
        <f t="shared" si="290"/>
        <v>0</v>
      </c>
      <c r="L2327" s="198">
        <f>COUNTIF(J2327:K2327,"&lt;&gt;0")*-'Trading Model'!$E$15</f>
        <v>-0.1</v>
      </c>
      <c r="M2327" s="198">
        <f t="shared" si="288"/>
        <v>-16.260000000000002</v>
      </c>
      <c r="N2327" s="75">
        <f t="shared" si="291"/>
        <v>70</v>
      </c>
      <c r="O2327" s="202">
        <f t="shared" si="292"/>
        <v>0</v>
      </c>
      <c r="P2327" s="199">
        <f t="shared" si="289"/>
        <v>0</v>
      </c>
      <c r="Q2327" s="203">
        <f t="shared" si="293"/>
        <v>-15.899999999998556</v>
      </c>
      <c r="R2327" s="201">
        <f>E2327/B2323-1</f>
        <v>-0.11062190423775464</v>
      </c>
      <c r="S2327" s="201">
        <f t="shared" si="294"/>
        <v>-5.6625747613879063E-2</v>
      </c>
    </row>
    <row r="2328" spans="1:19">
      <c r="A2328" s="196">
        <v>43343</v>
      </c>
      <c r="B2328" s="122">
        <v>16.040001</v>
      </c>
      <c r="C2328" s="122">
        <v>16.739999999999998</v>
      </c>
      <c r="D2328" s="122">
        <v>16.040001</v>
      </c>
      <c r="E2328" s="122">
        <v>16.530000999999999</v>
      </c>
      <c r="F2328" s="122">
        <v>16.105366</v>
      </c>
      <c r="G2328" s="197">
        <v>1149700</v>
      </c>
      <c r="H2328" s="198">
        <f>IF(AND(E2327&gt;=H2327,E2328&gt;=E2327),E2327*(1+'Trading Model'!$E$13),IF(AND(E2328&lt;E2327,E2327&gt;=H2327),E2328*(1+'Trading Model'!$E$13),H2327))</f>
        <v>39.921000000000006</v>
      </c>
      <c r="I2328" s="198">
        <f>IF(K2328&gt;0,E2328*(1-'Trading Model'!E2338),IF(E2328&lt;I2327,I2327*(1-'Trading Model'!$E$14),I2327))</f>
        <v>16.089270499233933</v>
      </c>
      <c r="J2328" s="198">
        <f t="shared" si="295"/>
        <v>0</v>
      </c>
      <c r="K2328" s="198">
        <f t="shared" si="290"/>
        <v>0</v>
      </c>
      <c r="L2328" s="198">
        <f>COUNTIF(J2328:K2328,"&lt;&gt;0")*-'Trading Model'!$E$15</f>
        <v>0</v>
      </c>
      <c r="M2328" s="198">
        <f t="shared" si="288"/>
        <v>0</v>
      </c>
      <c r="N2328" s="75">
        <f t="shared" si="291"/>
        <v>70</v>
      </c>
      <c r="O2328" s="202">
        <f t="shared" si="292"/>
        <v>0</v>
      </c>
      <c r="P2328" s="199">
        <f t="shared" si="289"/>
        <v>0</v>
      </c>
      <c r="Q2328" s="203">
        <f t="shared" si="293"/>
        <v>-15.899999999998556</v>
      </c>
      <c r="R2328" s="160" t="s">
        <v>55</v>
      </c>
      <c r="S2328" s="201">
        <f t="shared" si="294"/>
        <v>2.2896101485148312E-2</v>
      </c>
    </row>
    <row r="2329" spans="1:19">
      <c r="A2329" s="196">
        <v>43347</v>
      </c>
      <c r="B2329" s="122">
        <v>16.040001</v>
      </c>
      <c r="C2329" s="122">
        <v>16.219999000000001</v>
      </c>
      <c r="D2329" s="122">
        <v>15.26</v>
      </c>
      <c r="E2329" s="122">
        <v>15.91</v>
      </c>
      <c r="F2329" s="122">
        <v>15.501291</v>
      </c>
      <c r="G2329" s="197">
        <v>513700</v>
      </c>
      <c r="H2329" s="198">
        <f>IF(AND(E2328&gt;=H2328,E2329&gt;=E2328),E2328*(1+'Trading Model'!$E$13),IF(AND(E2329&lt;E2328,E2328&gt;=H2328),E2329*(1+'Trading Model'!$E$13),H2328))</f>
        <v>39.921000000000006</v>
      </c>
      <c r="I2329" s="198">
        <f>IF(K2329&gt;0,E2329*(1-'Trading Model'!E2339),IF(E2329&lt;I2328,I2328*(1-'Trading Model'!$E$14),I2328))</f>
        <v>15.284806974272236</v>
      </c>
      <c r="J2329" s="198">
        <f t="shared" si="295"/>
        <v>-15.91</v>
      </c>
      <c r="K2329" s="198">
        <f t="shared" si="290"/>
        <v>0</v>
      </c>
      <c r="L2329" s="198">
        <f>COUNTIF(J2329:K2329,"&lt;&gt;0")*-'Trading Model'!$E$15</f>
        <v>-0.1</v>
      </c>
      <c r="M2329" s="198">
        <f t="shared" si="288"/>
        <v>-16.010000000000002</v>
      </c>
      <c r="N2329" s="75">
        <f t="shared" si="291"/>
        <v>71</v>
      </c>
      <c r="O2329" s="202">
        <f t="shared" si="292"/>
        <v>0</v>
      </c>
      <c r="P2329" s="199">
        <f t="shared" si="289"/>
        <v>0</v>
      </c>
      <c r="Q2329" s="203">
        <f t="shared" si="293"/>
        <v>-15.999999999998556</v>
      </c>
      <c r="R2329" s="203" t="s">
        <v>55</v>
      </c>
      <c r="S2329" s="201">
        <f t="shared" si="294"/>
        <v>-3.7507620235473604E-2</v>
      </c>
    </row>
    <row r="2330" spans="1:19">
      <c r="A2330" s="196">
        <v>43348</v>
      </c>
      <c r="B2330" s="122">
        <v>15.98</v>
      </c>
      <c r="C2330" s="122">
        <v>16.489999999999998</v>
      </c>
      <c r="D2330" s="122">
        <v>15.85</v>
      </c>
      <c r="E2330" s="122">
        <v>16.32</v>
      </c>
      <c r="F2330" s="122">
        <v>15.900759000000001</v>
      </c>
      <c r="G2330" s="197">
        <v>647300</v>
      </c>
      <c r="H2330" s="198">
        <f>IF(AND(E2329&gt;=H2329,E2330&gt;=E2329),E2329*(1+'Trading Model'!$E$13),IF(AND(E2330&lt;E2329,E2329&gt;=H2329),E2330*(1+'Trading Model'!$E$13),H2329))</f>
        <v>39.921000000000006</v>
      </c>
      <c r="I2330" s="198">
        <f>IF(K2330&gt;0,E2330*(1-'Trading Model'!E2340),IF(E2330&lt;I2329,I2329*(1-'Trading Model'!$E$14),I2329))</f>
        <v>15.284806974272236</v>
      </c>
      <c r="J2330" s="198">
        <f t="shared" si="295"/>
        <v>0</v>
      </c>
      <c r="K2330" s="198">
        <f t="shared" si="290"/>
        <v>0</v>
      </c>
      <c r="L2330" s="198">
        <f>COUNTIF(J2330:K2330,"&lt;&gt;0")*-'Trading Model'!$E$15</f>
        <v>0</v>
      </c>
      <c r="M2330" s="198">
        <f t="shared" si="288"/>
        <v>0</v>
      </c>
      <c r="N2330" s="75">
        <f t="shared" si="291"/>
        <v>71</v>
      </c>
      <c r="O2330" s="202">
        <f t="shared" si="292"/>
        <v>0</v>
      </c>
      <c r="P2330" s="199">
        <f t="shared" si="289"/>
        <v>0</v>
      </c>
      <c r="Q2330" s="203">
        <f t="shared" si="293"/>
        <v>-15.999999999998556</v>
      </c>
      <c r="R2330" s="203" t="s">
        <v>55</v>
      </c>
      <c r="S2330" s="201">
        <f t="shared" si="294"/>
        <v>2.5769956002514194E-2</v>
      </c>
    </row>
    <row r="2331" spans="1:19">
      <c r="A2331" s="196">
        <v>43349</v>
      </c>
      <c r="B2331" s="122">
        <v>16.18</v>
      </c>
      <c r="C2331" s="122">
        <v>17.690000999999999</v>
      </c>
      <c r="D2331" s="122">
        <v>16.18</v>
      </c>
      <c r="E2331" s="122">
        <v>17.52</v>
      </c>
      <c r="F2331" s="122">
        <v>17.069932999999999</v>
      </c>
      <c r="G2331" s="197">
        <v>540600</v>
      </c>
      <c r="H2331" s="198">
        <f>IF(AND(E2330&gt;=H2330,E2331&gt;=E2330),E2330*(1+'Trading Model'!$E$13),IF(AND(E2331&lt;E2330,E2330&gt;=H2330),E2331*(1+'Trading Model'!$E$13),H2330))</f>
        <v>39.921000000000006</v>
      </c>
      <c r="I2331" s="198">
        <f>IF(K2331&gt;0,E2331*(1-'Trading Model'!E2341),IF(E2331&lt;I2330,I2330*(1-'Trading Model'!$E$14),I2330))</f>
        <v>15.284806974272236</v>
      </c>
      <c r="J2331" s="198">
        <f t="shared" si="295"/>
        <v>0</v>
      </c>
      <c r="K2331" s="198">
        <f t="shared" si="290"/>
        <v>0</v>
      </c>
      <c r="L2331" s="198">
        <f>COUNTIF(J2331:K2331,"&lt;&gt;0")*-'Trading Model'!$E$15</f>
        <v>0</v>
      </c>
      <c r="M2331" s="198">
        <f t="shared" si="288"/>
        <v>0</v>
      </c>
      <c r="N2331" s="75">
        <f t="shared" si="291"/>
        <v>71</v>
      </c>
      <c r="O2331" s="202">
        <f t="shared" si="292"/>
        <v>0</v>
      </c>
      <c r="P2331" s="199">
        <f t="shared" si="289"/>
        <v>0</v>
      </c>
      <c r="Q2331" s="203">
        <f t="shared" si="293"/>
        <v>-15.999999999998556</v>
      </c>
      <c r="R2331" s="203" t="s">
        <v>55</v>
      </c>
      <c r="S2331" s="201">
        <f t="shared" si="294"/>
        <v>7.3529411764705843E-2</v>
      </c>
    </row>
    <row r="2332" spans="1:19">
      <c r="A2332" s="196">
        <v>43350</v>
      </c>
      <c r="B2332" s="122">
        <v>17.489999999999998</v>
      </c>
      <c r="C2332" s="122">
        <v>17.98</v>
      </c>
      <c r="D2332" s="122">
        <v>17.239999999999998</v>
      </c>
      <c r="E2332" s="122">
        <v>17.290001</v>
      </c>
      <c r="F2332" s="122">
        <v>16.845842000000001</v>
      </c>
      <c r="G2332" s="197">
        <v>385800</v>
      </c>
      <c r="H2332" s="198">
        <f>IF(AND(E2331&gt;=H2331,E2332&gt;=E2331),E2331*(1+'Trading Model'!$E$13),IF(AND(E2332&lt;E2331,E2331&gt;=H2331),E2332*(1+'Trading Model'!$E$13),H2331))</f>
        <v>39.921000000000006</v>
      </c>
      <c r="I2332" s="198">
        <f>IF(K2332&gt;0,E2332*(1-'Trading Model'!E2342),IF(E2332&lt;I2331,I2331*(1-'Trading Model'!$E$14),I2331))</f>
        <v>15.284806974272236</v>
      </c>
      <c r="J2332" s="198">
        <f t="shared" si="295"/>
        <v>0</v>
      </c>
      <c r="K2332" s="198">
        <f t="shared" si="290"/>
        <v>0</v>
      </c>
      <c r="L2332" s="198">
        <f>COUNTIF(J2332:K2332,"&lt;&gt;0")*-'Trading Model'!$E$15</f>
        <v>0</v>
      </c>
      <c r="M2332" s="198">
        <f t="shared" si="288"/>
        <v>0</v>
      </c>
      <c r="N2332" s="75">
        <f t="shared" si="291"/>
        <v>71</v>
      </c>
      <c r="O2332" s="202">
        <f t="shared" si="292"/>
        <v>0</v>
      </c>
      <c r="P2332" s="199">
        <f t="shared" si="289"/>
        <v>0</v>
      </c>
      <c r="Q2332" s="203">
        <f t="shared" si="293"/>
        <v>-16.099999999998555</v>
      </c>
      <c r="R2332" s="201">
        <f>E2332/B2328-1</f>
        <v>7.7930169705101582E-2</v>
      </c>
      <c r="S2332" s="201">
        <f t="shared" si="294"/>
        <v>-1.3127796803652947E-2</v>
      </c>
    </row>
    <row r="2333" spans="1:19">
      <c r="A2333" s="196">
        <v>43353</v>
      </c>
      <c r="B2333" s="122">
        <v>17.059999000000001</v>
      </c>
      <c r="C2333" s="122">
        <v>17.510000000000002</v>
      </c>
      <c r="D2333" s="122">
        <v>16.920000000000002</v>
      </c>
      <c r="E2333" s="122">
        <v>17.010000000000002</v>
      </c>
      <c r="F2333" s="122">
        <v>16.573034</v>
      </c>
      <c r="G2333" s="197">
        <v>233700</v>
      </c>
      <c r="H2333" s="198">
        <f>IF(AND(E2332&gt;=H2332,E2333&gt;=E2332),E2332*(1+'Trading Model'!$E$13),IF(AND(E2333&lt;E2332,E2332&gt;=H2332),E2333*(1+'Trading Model'!$E$13),H2332))</f>
        <v>39.921000000000006</v>
      </c>
      <c r="I2333" s="198">
        <f>IF(K2333&gt;0,E2333*(1-'Trading Model'!E2343),IF(E2333&lt;I2332,I2332*(1-'Trading Model'!$E$14),I2332))</f>
        <v>15.284806974272236</v>
      </c>
      <c r="J2333" s="198">
        <f t="shared" si="295"/>
        <v>0</v>
      </c>
      <c r="K2333" s="198">
        <f t="shared" si="290"/>
        <v>0</v>
      </c>
      <c r="L2333" s="198">
        <f>COUNTIF(J2333:K2333,"&lt;&gt;0")*-'Trading Model'!$E$15</f>
        <v>0</v>
      </c>
      <c r="M2333" s="198">
        <f t="shared" si="288"/>
        <v>0</v>
      </c>
      <c r="N2333" s="75">
        <f t="shared" si="291"/>
        <v>71</v>
      </c>
      <c r="O2333" s="202">
        <f t="shared" si="292"/>
        <v>0</v>
      </c>
      <c r="P2333" s="199">
        <f t="shared" si="289"/>
        <v>0</v>
      </c>
      <c r="Q2333" s="203">
        <f t="shared" si="293"/>
        <v>-16.199999999998557</v>
      </c>
      <c r="R2333" s="160" t="s">
        <v>55</v>
      </c>
      <c r="S2333" s="201">
        <f t="shared" si="294"/>
        <v>-1.6194388884072319E-2</v>
      </c>
    </row>
    <row r="2334" spans="1:19">
      <c r="A2334" s="196">
        <v>43354</v>
      </c>
      <c r="B2334" s="122">
        <v>16.84</v>
      </c>
      <c r="C2334" s="122">
        <v>16.84</v>
      </c>
      <c r="D2334" s="122">
        <v>16.620000999999998</v>
      </c>
      <c r="E2334" s="122">
        <v>16.690000999999999</v>
      </c>
      <c r="F2334" s="122">
        <v>16.261254999999998</v>
      </c>
      <c r="G2334" s="197">
        <v>361200</v>
      </c>
      <c r="H2334" s="198">
        <f>IF(AND(E2333&gt;=H2333,E2334&gt;=E2333),E2333*(1+'Trading Model'!$E$13),IF(AND(E2334&lt;E2333,E2333&gt;=H2333),E2334*(1+'Trading Model'!$E$13),H2333))</f>
        <v>39.921000000000006</v>
      </c>
      <c r="I2334" s="198">
        <f>IF(K2334&gt;0,E2334*(1-'Trading Model'!E2344),IF(E2334&lt;I2333,I2333*(1-'Trading Model'!$E$14),I2333))</f>
        <v>15.284806974272236</v>
      </c>
      <c r="J2334" s="198">
        <f t="shared" si="295"/>
        <v>0</v>
      </c>
      <c r="K2334" s="198">
        <f t="shared" si="290"/>
        <v>0</v>
      </c>
      <c r="L2334" s="198">
        <f>COUNTIF(J2334:K2334,"&lt;&gt;0")*-'Trading Model'!$E$15</f>
        <v>0</v>
      </c>
      <c r="M2334" s="198">
        <f t="shared" si="288"/>
        <v>0</v>
      </c>
      <c r="N2334" s="75">
        <f t="shared" si="291"/>
        <v>71</v>
      </c>
      <c r="O2334" s="202">
        <f t="shared" si="292"/>
        <v>0</v>
      </c>
      <c r="P2334" s="199">
        <f t="shared" si="289"/>
        <v>0</v>
      </c>
      <c r="Q2334" s="203">
        <f t="shared" si="293"/>
        <v>-16.299999999998558</v>
      </c>
      <c r="R2334" s="203" t="s">
        <v>55</v>
      </c>
      <c r="S2334" s="201">
        <f t="shared" si="294"/>
        <v>-1.8812404467960175E-2</v>
      </c>
    </row>
    <row r="2335" spans="1:19">
      <c r="A2335" s="196">
        <v>43355</v>
      </c>
      <c r="B2335" s="122">
        <v>16.700001</v>
      </c>
      <c r="C2335" s="122">
        <v>17.450001</v>
      </c>
      <c r="D2335" s="122">
        <v>16.66</v>
      </c>
      <c r="E2335" s="122">
        <v>17.290001</v>
      </c>
      <c r="F2335" s="122">
        <v>16.845842000000001</v>
      </c>
      <c r="G2335" s="197">
        <v>331700</v>
      </c>
      <c r="H2335" s="198">
        <f>IF(AND(E2334&gt;=H2334,E2335&gt;=E2334),E2334*(1+'Trading Model'!$E$13),IF(AND(E2335&lt;E2334,E2334&gt;=H2334),E2335*(1+'Trading Model'!$E$13),H2334))</f>
        <v>39.921000000000006</v>
      </c>
      <c r="I2335" s="198">
        <f>IF(K2335&gt;0,E2335*(1-'Trading Model'!E2345),IF(E2335&lt;I2334,I2334*(1-'Trading Model'!$E$14),I2334))</f>
        <v>15.284806974272236</v>
      </c>
      <c r="J2335" s="198">
        <f t="shared" si="295"/>
        <v>0</v>
      </c>
      <c r="K2335" s="198">
        <f t="shared" si="290"/>
        <v>0</v>
      </c>
      <c r="L2335" s="198">
        <f>COUNTIF(J2335:K2335,"&lt;&gt;0")*-'Trading Model'!$E$15</f>
        <v>0</v>
      </c>
      <c r="M2335" s="198">
        <f t="shared" si="288"/>
        <v>0</v>
      </c>
      <c r="N2335" s="75">
        <f t="shared" si="291"/>
        <v>71</v>
      </c>
      <c r="O2335" s="202">
        <f t="shared" si="292"/>
        <v>0</v>
      </c>
      <c r="P2335" s="199">
        <f t="shared" si="289"/>
        <v>0</v>
      </c>
      <c r="Q2335" s="203">
        <f t="shared" si="293"/>
        <v>-16.299999999998558</v>
      </c>
      <c r="R2335" s="203" t="s">
        <v>55</v>
      </c>
      <c r="S2335" s="201">
        <f t="shared" si="294"/>
        <v>3.5949668307389659E-2</v>
      </c>
    </row>
    <row r="2336" spans="1:19">
      <c r="A2336" s="196">
        <v>43356</v>
      </c>
      <c r="B2336" s="122">
        <v>17.27</v>
      </c>
      <c r="C2336" s="122">
        <v>17.809999000000001</v>
      </c>
      <c r="D2336" s="122">
        <v>17.27</v>
      </c>
      <c r="E2336" s="122">
        <v>17.450001</v>
      </c>
      <c r="F2336" s="122">
        <v>17.001732000000001</v>
      </c>
      <c r="G2336" s="197">
        <v>389800</v>
      </c>
      <c r="H2336" s="198">
        <f>IF(AND(E2335&gt;=H2335,E2336&gt;=E2335),E2335*(1+'Trading Model'!$E$13),IF(AND(E2336&lt;E2335,E2335&gt;=H2335),E2336*(1+'Trading Model'!$E$13),H2335))</f>
        <v>39.921000000000006</v>
      </c>
      <c r="I2336" s="198">
        <f>IF(K2336&gt;0,E2336*(1-'Trading Model'!E2346),IF(E2336&lt;I2335,I2335*(1-'Trading Model'!$E$14),I2335))</f>
        <v>15.284806974272236</v>
      </c>
      <c r="J2336" s="198">
        <f t="shared" si="295"/>
        <v>0</v>
      </c>
      <c r="K2336" s="198">
        <f t="shared" si="290"/>
        <v>0</v>
      </c>
      <c r="L2336" s="198">
        <f>COUNTIF(J2336:K2336,"&lt;&gt;0")*-'Trading Model'!$E$15</f>
        <v>0</v>
      </c>
      <c r="M2336" s="198">
        <f t="shared" si="288"/>
        <v>0</v>
      </c>
      <c r="N2336" s="75">
        <f t="shared" si="291"/>
        <v>71</v>
      </c>
      <c r="O2336" s="202">
        <f t="shared" si="292"/>
        <v>0</v>
      </c>
      <c r="P2336" s="199">
        <f t="shared" si="289"/>
        <v>0</v>
      </c>
      <c r="Q2336" s="203">
        <f t="shared" si="293"/>
        <v>-16.299999999998558</v>
      </c>
      <c r="R2336" s="203" t="s">
        <v>55</v>
      </c>
      <c r="S2336" s="201">
        <f t="shared" si="294"/>
        <v>9.2539034555290112E-3</v>
      </c>
    </row>
    <row r="2337" spans="1:19">
      <c r="A2337" s="196">
        <v>43357</v>
      </c>
      <c r="B2337" s="122">
        <v>17.530000999999999</v>
      </c>
      <c r="C2337" s="122">
        <v>17.649999999999999</v>
      </c>
      <c r="D2337" s="122">
        <v>17.02</v>
      </c>
      <c r="E2337" s="122">
        <v>17.52</v>
      </c>
      <c r="F2337" s="122">
        <v>17.069932999999999</v>
      </c>
      <c r="G2337" s="197">
        <v>190300</v>
      </c>
      <c r="H2337" s="198">
        <f>IF(AND(E2336&gt;=H2336,E2337&gt;=E2336),E2336*(1+'Trading Model'!$E$13),IF(AND(E2337&lt;E2336,E2336&gt;=H2336),E2337*(1+'Trading Model'!$E$13),H2336))</f>
        <v>39.921000000000006</v>
      </c>
      <c r="I2337" s="198">
        <f>IF(K2337&gt;0,E2337*(1-'Trading Model'!E2347),IF(E2337&lt;I2336,I2336*(1-'Trading Model'!$E$14),I2336))</f>
        <v>15.284806974272236</v>
      </c>
      <c r="J2337" s="198">
        <f t="shared" si="295"/>
        <v>0</v>
      </c>
      <c r="K2337" s="198">
        <f t="shared" si="290"/>
        <v>0</v>
      </c>
      <c r="L2337" s="198">
        <f>COUNTIF(J2337:K2337,"&lt;&gt;0")*-'Trading Model'!$E$15</f>
        <v>0</v>
      </c>
      <c r="M2337" s="198">
        <f t="shared" si="288"/>
        <v>0</v>
      </c>
      <c r="N2337" s="75">
        <f t="shared" si="291"/>
        <v>71</v>
      </c>
      <c r="O2337" s="202">
        <f t="shared" si="292"/>
        <v>0</v>
      </c>
      <c r="P2337" s="199">
        <f t="shared" si="289"/>
        <v>0</v>
      </c>
      <c r="Q2337" s="203">
        <f t="shared" si="293"/>
        <v>-16.299999999998558</v>
      </c>
      <c r="R2337" s="201">
        <f>E2337/B2333-1</f>
        <v>2.6963717875950532E-2</v>
      </c>
      <c r="S2337" s="201">
        <f t="shared" si="294"/>
        <v>4.0114037815814907E-3</v>
      </c>
    </row>
    <row r="2338" spans="1:19">
      <c r="A2338" s="196">
        <v>43360</v>
      </c>
      <c r="B2338" s="122">
        <v>17.48</v>
      </c>
      <c r="C2338" s="122">
        <v>17.559999000000001</v>
      </c>
      <c r="D2338" s="122">
        <v>17.149999999999999</v>
      </c>
      <c r="E2338" s="122">
        <v>17.420000000000002</v>
      </c>
      <c r="F2338" s="122">
        <v>16.972501999999999</v>
      </c>
      <c r="G2338" s="197">
        <v>298800</v>
      </c>
      <c r="H2338" s="198">
        <f>IF(AND(E2337&gt;=H2337,E2338&gt;=E2337),E2337*(1+'Trading Model'!$E$13),IF(AND(E2338&lt;E2337,E2337&gt;=H2337),E2338*(1+'Trading Model'!$E$13),H2337))</f>
        <v>39.921000000000006</v>
      </c>
      <c r="I2338" s="198">
        <f>IF(K2338&gt;0,E2338*(1-'Trading Model'!E2348),IF(E2338&lt;I2337,I2337*(1-'Trading Model'!$E$14),I2337))</f>
        <v>15.284806974272236</v>
      </c>
      <c r="J2338" s="198">
        <f t="shared" si="295"/>
        <v>0</v>
      </c>
      <c r="K2338" s="198">
        <f t="shared" si="290"/>
        <v>0</v>
      </c>
      <c r="L2338" s="198">
        <f>COUNTIF(J2338:K2338,"&lt;&gt;0")*-'Trading Model'!$E$15</f>
        <v>0</v>
      </c>
      <c r="M2338" s="198">
        <f t="shared" si="288"/>
        <v>0</v>
      </c>
      <c r="N2338" s="75">
        <f t="shared" si="291"/>
        <v>71</v>
      </c>
      <c r="O2338" s="202">
        <f t="shared" si="292"/>
        <v>0</v>
      </c>
      <c r="P2338" s="199">
        <f t="shared" si="289"/>
        <v>0</v>
      </c>
      <c r="Q2338" s="203">
        <f t="shared" si="293"/>
        <v>-16.39999999999856</v>
      </c>
      <c r="R2338" s="160" t="s">
        <v>55</v>
      </c>
      <c r="S2338" s="201">
        <f t="shared" si="294"/>
        <v>-5.7077625570775004E-3</v>
      </c>
    </row>
    <row r="2339" spans="1:19">
      <c r="A2339" s="196">
        <v>43361</v>
      </c>
      <c r="B2339" s="122">
        <v>17.299999</v>
      </c>
      <c r="C2339" s="122">
        <v>17.969999000000001</v>
      </c>
      <c r="D2339" s="122">
        <v>17.299999</v>
      </c>
      <c r="E2339" s="122">
        <v>17.5</v>
      </c>
      <c r="F2339" s="122">
        <v>17.050446999999998</v>
      </c>
      <c r="G2339" s="197">
        <v>338600</v>
      </c>
      <c r="H2339" s="198">
        <f>IF(AND(E2338&gt;=H2338,E2339&gt;=E2338),E2338*(1+'Trading Model'!$E$13),IF(AND(E2339&lt;E2338,E2338&gt;=H2338),E2339*(1+'Trading Model'!$E$13),H2338))</f>
        <v>39.921000000000006</v>
      </c>
      <c r="I2339" s="198">
        <f>IF(K2339&gt;0,E2339*(1-'Trading Model'!E2349),IF(E2339&lt;I2338,I2338*(1-'Trading Model'!$E$14),I2338))</f>
        <v>15.284806974272236</v>
      </c>
      <c r="J2339" s="198">
        <f t="shared" si="295"/>
        <v>0</v>
      </c>
      <c r="K2339" s="198">
        <f t="shared" si="290"/>
        <v>0</v>
      </c>
      <c r="L2339" s="198">
        <f>COUNTIF(J2339:K2339,"&lt;&gt;0")*-'Trading Model'!$E$15</f>
        <v>0</v>
      </c>
      <c r="M2339" s="198">
        <f t="shared" si="288"/>
        <v>0</v>
      </c>
      <c r="N2339" s="75">
        <f t="shared" si="291"/>
        <v>71</v>
      </c>
      <c r="O2339" s="202">
        <f t="shared" si="292"/>
        <v>0</v>
      </c>
      <c r="P2339" s="199">
        <f t="shared" si="289"/>
        <v>0</v>
      </c>
      <c r="Q2339" s="203">
        <f t="shared" si="293"/>
        <v>-16.39999999999856</v>
      </c>
      <c r="R2339" s="203" t="s">
        <v>55</v>
      </c>
      <c r="S2339" s="201">
        <f t="shared" si="294"/>
        <v>4.5924225028701748E-3</v>
      </c>
    </row>
    <row r="2340" spans="1:19">
      <c r="A2340" s="196">
        <v>43362</v>
      </c>
      <c r="B2340" s="122">
        <v>17.459999</v>
      </c>
      <c r="C2340" s="122">
        <v>18.73</v>
      </c>
      <c r="D2340" s="122">
        <v>17.299999</v>
      </c>
      <c r="E2340" s="122">
        <v>18.450001</v>
      </c>
      <c r="F2340" s="122">
        <v>17.976044000000002</v>
      </c>
      <c r="G2340" s="197">
        <v>322800</v>
      </c>
      <c r="H2340" s="198">
        <f>IF(AND(E2339&gt;=H2339,E2340&gt;=E2339),E2339*(1+'Trading Model'!$E$13),IF(AND(E2340&lt;E2339,E2339&gt;=H2339),E2340*(1+'Trading Model'!$E$13),H2339))</f>
        <v>39.921000000000006</v>
      </c>
      <c r="I2340" s="198">
        <f>IF(K2340&gt;0,E2340*(1-'Trading Model'!E2350),IF(E2340&lt;I2339,I2339*(1-'Trading Model'!$E$14),I2339))</f>
        <v>15.284806974272236</v>
      </c>
      <c r="J2340" s="198">
        <f t="shared" si="295"/>
        <v>0</v>
      </c>
      <c r="K2340" s="198">
        <f t="shared" si="290"/>
        <v>0</v>
      </c>
      <c r="L2340" s="198">
        <f>COUNTIF(J2340:K2340,"&lt;&gt;0")*-'Trading Model'!$E$15</f>
        <v>0</v>
      </c>
      <c r="M2340" s="198">
        <f t="shared" si="288"/>
        <v>0</v>
      </c>
      <c r="N2340" s="75">
        <f t="shared" si="291"/>
        <v>71</v>
      </c>
      <c r="O2340" s="202">
        <f t="shared" si="292"/>
        <v>0</v>
      </c>
      <c r="P2340" s="199">
        <f t="shared" si="289"/>
        <v>0</v>
      </c>
      <c r="Q2340" s="203">
        <f t="shared" si="293"/>
        <v>-16.39999999999856</v>
      </c>
      <c r="R2340" s="203" t="s">
        <v>55</v>
      </c>
      <c r="S2340" s="201">
        <f t="shared" si="294"/>
        <v>5.4285771428571383E-2</v>
      </c>
    </row>
    <row r="2341" spans="1:19">
      <c r="A2341" s="196">
        <v>43363</v>
      </c>
      <c r="B2341" s="122">
        <v>18.639999</v>
      </c>
      <c r="C2341" s="122">
        <v>19.489999999999998</v>
      </c>
      <c r="D2341" s="122">
        <v>18.639999</v>
      </c>
      <c r="E2341" s="122">
        <v>18.870000999999998</v>
      </c>
      <c r="F2341" s="122">
        <v>18.385254</v>
      </c>
      <c r="G2341" s="197">
        <v>662700</v>
      </c>
      <c r="H2341" s="198">
        <f>IF(AND(E2340&gt;=H2340,E2341&gt;=E2340),E2340*(1+'Trading Model'!$E$13),IF(AND(E2341&lt;E2340,E2340&gt;=H2340),E2341*(1+'Trading Model'!$E$13),H2340))</f>
        <v>39.921000000000006</v>
      </c>
      <c r="I2341" s="198">
        <f>IF(K2341&gt;0,E2341*(1-'Trading Model'!E2351),IF(E2341&lt;I2340,I2340*(1-'Trading Model'!$E$14),I2340))</f>
        <v>15.284806974272236</v>
      </c>
      <c r="J2341" s="198">
        <f t="shared" si="295"/>
        <v>0</v>
      </c>
      <c r="K2341" s="198">
        <f t="shared" si="290"/>
        <v>0</v>
      </c>
      <c r="L2341" s="198">
        <f>COUNTIF(J2341:K2341,"&lt;&gt;0")*-'Trading Model'!$E$15</f>
        <v>0</v>
      </c>
      <c r="M2341" s="198">
        <f t="shared" si="288"/>
        <v>0</v>
      </c>
      <c r="N2341" s="75">
        <f t="shared" si="291"/>
        <v>71</v>
      </c>
      <c r="O2341" s="202">
        <f t="shared" si="292"/>
        <v>0</v>
      </c>
      <c r="P2341" s="199">
        <f t="shared" si="289"/>
        <v>0</v>
      </c>
      <c r="Q2341" s="203">
        <f t="shared" si="293"/>
        <v>-16.39999999999856</v>
      </c>
      <c r="R2341" s="203" t="s">
        <v>55</v>
      </c>
      <c r="S2341" s="201">
        <f t="shared" si="294"/>
        <v>2.2764226408442889E-2</v>
      </c>
    </row>
    <row r="2342" spans="1:19">
      <c r="A2342" s="196">
        <v>43364</v>
      </c>
      <c r="B2342" s="122">
        <v>19</v>
      </c>
      <c r="C2342" s="122">
        <v>19.879999000000002</v>
      </c>
      <c r="D2342" s="122">
        <v>18.77</v>
      </c>
      <c r="E2342" s="122">
        <v>19.670000000000002</v>
      </c>
      <c r="F2342" s="122">
        <v>19.164701000000001</v>
      </c>
      <c r="G2342" s="197">
        <v>1015200</v>
      </c>
      <c r="H2342" s="198">
        <f>IF(AND(E2341&gt;=H2341,E2342&gt;=E2341),E2341*(1+'Trading Model'!$E$13),IF(AND(E2342&lt;E2341,E2341&gt;=H2341),E2342*(1+'Trading Model'!$E$13),H2341))</f>
        <v>39.921000000000006</v>
      </c>
      <c r="I2342" s="198">
        <f>IF(K2342&gt;0,E2342*(1-'Trading Model'!E2352),IF(E2342&lt;I2341,I2341*(1-'Trading Model'!$E$14),I2341))</f>
        <v>15.284806974272236</v>
      </c>
      <c r="J2342" s="198">
        <f t="shared" si="295"/>
        <v>0</v>
      </c>
      <c r="K2342" s="198">
        <f t="shared" si="290"/>
        <v>0</v>
      </c>
      <c r="L2342" s="198">
        <f>COUNTIF(J2342:K2342,"&lt;&gt;0")*-'Trading Model'!$E$15</f>
        <v>0</v>
      </c>
      <c r="M2342" s="198">
        <f t="shared" si="288"/>
        <v>0</v>
      </c>
      <c r="N2342" s="75">
        <f t="shared" si="291"/>
        <v>71</v>
      </c>
      <c r="O2342" s="202">
        <f t="shared" si="292"/>
        <v>0</v>
      </c>
      <c r="P2342" s="199">
        <f t="shared" si="289"/>
        <v>0</v>
      </c>
      <c r="Q2342" s="203">
        <f t="shared" si="293"/>
        <v>-16.39999999999856</v>
      </c>
      <c r="R2342" s="201">
        <f>E2342/B2338-1</f>
        <v>0.12528604118993147</v>
      </c>
      <c r="S2342" s="201">
        <f t="shared" si="294"/>
        <v>4.239528127211023E-2</v>
      </c>
    </row>
    <row r="2343" spans="1:19">
      <c r="A2343" s="196">
        <v>43367</v>
      </c>
      <c r="B2343" s="122">
        <v>19.670000000000002</v>
      </c>
      <c r="C2343" s="122">
        <v>19.670000000000002</v>
      </c>
      <c r="D2343" s="122">
        <v>18.48</v>
      </c>
      <c r="E2343" s="122">
        <v>18.98</v>
      </c>
      <c r="F2343" s="122">
        <v>18.492425999999998</v>
      </c>
      <c r="G2343" s="197">
        <v>307600</v>
      </c>
      <c r="H2343" s="198">
        <f>IF(AND(E2342&gt;=H2342,E2343&gt;=E2342),E2342*(1+'Trading Model'!$E$13),IF(AND(E2343&lt;E2342,E2342&gt;=H2342),E2343*(1+'Trading Model'!$E$13),H2342))</f>
        <v>39.921000000000006</v>
      </c>
      <c r="I2343" s="198">
        <f>IF(K2343&gt;0,E2343*(1-'Trading Model'!E2353),IF(E2343&lt;I2342,I2342*(1-'Trading Model'!$E$14),I2342))</f>
        <v>15.284806974272236</v>
      </c>
      <c r="J2343" s="198">
        <f t="shared" si="295"/>
        <v>0</v>
      </c>
      <c r="K2343" s="198">
        <f t="shared" si="290"/>
        <v>0</v>
      </c>
      <c r="L2343" s="198">
        <f>COUNTIF(J2343:K2343,"&lt;&gt;0")*-'Trading Model'!$E$15</f>
        <v>0</v>
      </c>
      <c r="M2343" s="198">
        <f t="shared" si="288"/>
        <v>0</v>
      </c>
      <c r="N2343" s="75">
        <f t="shared" si="291"/>
        <v>71</v>
      </c>
      <c r="O2343" s="202">
        <f t="shared" si="292"/>
        <v>0</v>
      </c>
      <c r="P2343" s="199">
        <f t="shared" si="289"/>
        <v>0</v>
      </c>
      <c r="Q2343" s="203">
        <f t="shared" si="293"/>
        <v>-16.499999999998561</v>
      </c>
      <c r="R2343" s="160" t="s">
        <v>55</v>
      </c>
      <c r="S2343" s="201">
        <f t="shared" si="294"/>
        <v>-3.5078800203355409E-2</v>
      </c>
    </row>
    <row r="2344" spans="1:19">
      <c r="A2344" s="196">
        <v>43368</v>
      </c>
      <c r="B2344" s="122">
        <v>18.200001</v>
      </c>
      <c r="C2344" s="122">
        <v>19.389999</v>
      </c>
      <c r="D2344" s="122">
        <v>17.59</v>
      </c>
      <c r="E2344" s="122">
        <v>19.02</v>
      </c>
      <c r="F2344" s="122">
        <v>18.531400999999999</v>
      </c>
      <c r="G2344" s="197">
        <v>345500</v>
      </c>
      <c r="H2344" s="198">
        <f>IF(AND(E2343&gt;=H2343,E2344&gt;=E2343),E2343*(1+'Trading Model'!$E$13),IF(AND(E2344&lt;E2343,E2343&gt;=H2343),E2344*(1+'Trading Model'!$E$13),H2343))</f>
        <v>39.921000000000006</v>
      </c>
      <c r="I2344" s="198">
        <f>IF(K2344&gt;0,E2344*(1-'Trading Model'!E2354),IF(E2344&lt;I2343,I2343*(1-'Trading Model'!$E$14),I2343))</f>
        <v>15.284806974272236</v>
      </c>
      <c r="J2344" s="198">
        <f t="shared" si="295"/>
        <v>0</v>
      </c>
      <c r="K2344" s="198">
        <f t="shared" si="290"/>
        <v>0</v>
      </c>
      <c r="L2344" s="198">
        <f>COUNTIF(J2344:K2344,"&lt;&gt;0")*-'Trading Model'!$E$15</f>
        <v>0</v>
      </c>
      <c r="M2344" s="198">
        <f t="shared" si="288"/>
        <v>0</v>
      </c>
      <c r="N2344" s="75">
        <f t="shared" si="291"/>
        <v>71</v>
      </c>
      <c r="O2344" s="202">
        <f t="shared" si="292"/>
        <v>0</v>
      </c>
      <c r="P2344" s="199">
        <f t="shared" si="289"/>
        <v>0</v>
      </c>
      <c r="Q2344" s="203">
        <f t="shared" si="293"/>
        <v>-16.499999999998561</v>
      </c>
      <c r="R2344" s="203" t="s">
        <v>55</v>
      </c>
      <c r="S2344" s="201">
        <f t="shared" si="294"/>
        <v>2.1074815595363283E-3</v>
      </c>
    </row>
    <row r="2345" spans="1:19">
      <c r="A2345" s="196">
        <v>43369</v>
      </c>
      <c r="B2345" s="122">
        <v>18.989999999999998</v>
      </c>
      <c r="C2345" s="122">
        <v>19.27</v>
      </c>
      <c r="D2345" s="122">
        <v>18.5</v>
      </c>
      <c r="E2345" s="122">
        <v>18.690000999999999</v>
      </c>
      <c r="F2345" s="122">
        <v>18.209876999999999</v>
      </c>
      <c r="G2345" s="197">
        <v>233800</v>
      </c>
      <c r="H2345" s="198">
        <f>IF(AND(E2344&gt;=H2344,E2345&gt;=E2344),E2344*(1+'Trading Model'!$E$13),IF(AND(E2345&lt;E2344,E2344&gt;=H2344),E2345*(1+'Trading Model'!$E$13),H2344))</f>
        <v>39.921000000000006</v>
      </c>
      <c r="I2345" s="198">
        <f>IF(K2345&gt;0,E2345*(1-'Trading Model'!E2355),IF(E2345&lt;I2344,I2344*(1-'Trading Model'!$E$14),I2344))</f>
        <v>15.284806974272236</v>
      </c>
      <c r="J2345" s="198">
        <f t="shared" si="295"/>
        <v>0</v>
      </c>
      <c r="K2345" s="198">
        <f t="shared" si="290"/>
        <v>0</v>
      </c>
      <c r="L2345" s="198">
        <f>COUNTIF(J2345:K2345,"&lt;&gt;0")*-'Trading Model'!$E$15</f>
        <v>0</v>
      </c>
      <c r="M2345" s="198">
        <f t="shared" si="288"/>
        <v>0</v>
      </c>
      <c r="N2345" s="75">
        <f t="shared" si="291"/>
        <v>71</v>
      </c>
      <c r="O2345" s="202">
        <f t="shared" si="292"/>
        <v>0</v>
      </c>
      <c r="P2345" s="199">
        <f t="shared" si="289"/>
        <v>0</v>
      </c>
      <c r="Q2345" s="203">
        <f t="shared" si="293"/>
        <v>-16.599999999998563</v>
      </c>
      <c r="R2345" s="203" t="s">
        <v>55</v>
      </c>
      <c r="S2345" s="201">
        <f t="shared" si="294"/>
        <v>-1.7350105152471151E-2</v>
      </c>
    </row>
    <row r="2346" spans="1:19">
      <c r="A2346" s="196">
        <v>43370</v>
      </c>
      <c r="B2346" s="122">
        <v>18.579999999999998</v>
      </c>
      <c r="C2346" s="122">
        <v>19.639999</v>
      </c>
      <c r="D2346" s="122">
        <v>18.32</v>
      </c>
      <c r="E2346" s="122">
        <v>18.34</v>
      </c>
      <c r="F2346" s="122">
        <v>17.868867999999999</v>
      </c>
      <c r="G2346" s="197">
        <v>180300</v>
      </c>
      <c r="H2346" s="198">
        <f>IF(AND(E2345&gt;=H2345,E2346&gt;=E2345),E2345*(1+'Trading Model'!$E$13),IF(AND(E2346&lt;E2345,E2345&gt;=H2345),E2346*(1+'Trading Model'!$E$13),H2345))</f>
        <v>39.921000000000006</v>
      </c>
      <c r="I2346" s="198">
        <f>IF(K2346&gt;0,E2346*(1-'Trading Model'!E2356),IF(E2346&lt;I2345,I2345*(1-'Trading Model'!$E$14),I2345))</f>
        <v>15.284806974272236</v>
      </c>
      <c r="J2346" s="198">
        <f t="shared" si="295"/>
        <v>0</v>
      </c>
      <c r="K2346" s="198">
        <f t="shared" si="290"/>
        <v>0</v>
      </c>
      <c r="L2346" s="198">
        <f>COUNTIF(J2346:K2346,"&lt;&gt;0")*-'Trading Model'!$E$15</f>
        <v>0</v>
      </c>
      <c r="M2346" s="198">
        <f t="shared" si="288"/>
        <v>0</v>
      </c>
      <c r="N2346" s="75">
        <f t="shared" si="291"/>
        <v>71</v>
      </c>
      <c r="O2346" s="202">
        <f t="shared" si="292"/>
        <v>0</v>
      </c>
      <c r="P2346" s="199">
        <f t="shared" si="289"/>
        <v>0</v>
      </c>
      <c r="Q2346" s="203">
        <f t="shared" si="293"/>
        <v>-16.699999999998564</v>
      </c>
      <c r="R2346" s="203" t="s">
        <v>55</v>
      </c>
      <c r="S2346" s="201">
        <f t="shared" si="294"/>
        <v>-1.8726644262886838E-2</v>
      </c>
    </row>
    <row r="2347" spans="1:19">
      <c r="A2347" s="196">
        <v>43371</v>
      </c>
      <c r="B2347" s="122">
        <v>17.98</v>
      </c>
      <c r="C2347" s="122">
        <v>17.98</v>
      </c>
      <c r="D2347" s="122">
        <v>17.209999</v>
      </c>
      <c r="E2347" s="122">
        <v>17.420000000000002</v>
      </c>
      <c r="F2347" s="122">
        <v>16.972501999999999</v>
      </c>
      <c r="G2347" s="197">
        <v>443900</v>
      </c>
      <c r="H2347" s="198">
        <f>IF(AND(E2346&gt;=H2346,E2347&gt;=E2346),E2346*(1+'Trading Model'!$E$13),IF(AND(E2347&lt;E2346,E2346&gt;=H2346),E2347*(1+'Trading Model'!$E$13),H2346))</f>
        <v>39.921000000000006</v>
      </c>
      <c r="I2347" s="198">
        <f>IF(K2347&gt;0,E2347*(1-'Trading Model'!E2357),IF(E2347&lt;I2346,I2346*(1-'Trading Model'!$E$14),I2346))</f>
        <v>15.284806974272236</v>
      </c>
      <c r="J2347" s="198">
        <f t="shared" si="295"/>
        <v>0</v>
      </c>
      <c r="K2347" s="198">
        <f t="shared" si="290"/>
        <v>0</v>
      </c>
      <c r="L2347" s="198">
        <f>COUNTIF(J2347:K2347,"&lt;&gt;0")*-'Trading Model'!$E$15</f>
        <v>0</v>
      </c>
      <c r="M2347" s="198">
        <f t="shared" si="288"/>
        <v>0</v>
      </c>
      <c r="N2347" s="75">
        <f t="shared" si="291"/>
        <v>71</v>
      </c>
      <c r="O2347" s="202">
        <f t="shared" si="292"/>
        <v>0</v>
      </c>
      <c r="P2347" s="199">
        <f t="shared" si="289"/>
        <v>0</v>
      </c>
      <c r="Q2347" s="203">
        <f t="shared" si="293"/>
        <v>-16.799999999998565</v>
      </c>
      <c r="R2347" s="201">
        <f>E2347/B2343-1</f>
        <v>-0.11438739196746317</v>
      </c>
      <c r="S2347" s="201">
        <f t="shared" si="294"/>
        <v>-5.0163576881134042E-2</v>
      </c>
    </row>
    <row r="2348" spans="1:19">
      <c r="A2348" s="196">
        <v>43374</v>
      </c>
      <c r="B2348" s="122">
        <v>17.530000999999999</v>
      </c>
      <c r="C2348" s="122">
        <v>17.870000999999998</v>
      </c>
      <c r="D2348" s="122">
        <v>17.41</v>
      </c>
      <c r="E2348" s="122">
        <v>17.799999</v>
      </c>
      <c r="F2348" s="122">
        <v>17.342739000000002</v>
      </c>
      <c r="G2348" s="197">
        <v>153100</v>
      </c>
      <c r="H2348" s="198">
        <f>IF(AND(E2347&gt;=H2347,E2348&gt;=E2347),E2347*(1+'Trading Model'!$E$13),IF(AND(E2348&lt;E2347,E2347&gt;=H2347),E2348*(1+'Trading Model'!$E$13),H2347))</f>
        <v>39.921000000000006</v>
      </c>
      <c r="I2348" s="198">
        <f>IF(K2348&gt;0,E2348*(1-'Trading Model'!E2358),IF(E2348&lt;I2347,I2347*(1-'Trading Model'!$E$14),I2347))</f>
        <v>15.284806974272236</v>
      </c>
      <c r="J2348" s="198">
        <f t="shared" si="295"/>
        <v>0</v>
      </c>
      <c r="K2348" s="198">
        <f t="shared" si="290"/>
        <v>0</v>
      </c>
      <c r="L2348" s="198">
        <f>COUNTIF(J2348:K2348,"&lt;&gt;0")*-'Trading Model'!$E$15</f>
        <v>0</v>
      </c>
      <c r="M2348" s="198">
        <f t="shared" si="288"/>
        <v>0</v>
      </c>
      <c r="N2348" s="75">
        <f t="shared" si="291"/>
        <v>71</v>
      </c>
      <c r="O2348" s="202">
        <f t="shared" si="292"/>
        <v>0</v>
      </c>
      <c r="P2348" s="199">
        <f t="shared" si="289"/>
        <v>0</v>
      </c>
      <c r="Q2348" s="203">
        <f t="shared" si="293"/>
        <v>-16.799999999998565</v>
      </c>
      <c r="R2348" s="160" t="s">
        <v>55</v>
      </c>
      <c r="S2348" s="201">
        <f t="shared" si="294"/>
        <v>2.1813949483352246E-2</v>
      </c>
    </row>
    <row r="2349" spans="1:19">
      <c r="A2349" s="196">
        <v>43375</v>
      </c>
      <c r="B2349" s="122">
        <v>17.899999999999999</v>
      </c>
      <c r="C2349" s="122">
        <v>18.489999999999998</v>
      </c>
      <c r="D2349" s="122">
        <v>17.899999999999999</v>
      </c>
      <c r="E2349" s="122">
        <v>18.440000999999999</v>
      </c>
      <c r="F2349" s="122">
        <v>17.966298999999999</v>
      </c>
      <c r="G2349" s="197">
        <v>181400</v>
      </c>
      <c r="H2349" s="198">
        <f>IF(AND(E2348&gt;=H2348,E2349&gt;=E2348),E2348*(1+'Trading Model'!$E$13),IF(AND(E2349&lt;E2348,E2348&gt;=H2348),E2349*(1+'Trading Model'!$E$13),H2348))</f>
        <v>39.921000000000006</v>
      </c>
      <c r="I2349" s="198">
        <f>IF(K2349&gt;0,E2349*(1-'Trading Model'!E2359),IF(E2349&lt;I2348,I2348*(1-'Trading Model'!$E$14),I2348))</f>
        <v>15.284806974272236</v>
      </c>
      <c r="J2349" s="198">
        <f t="shared" si="295"/>
        <v>0</v>
      </c>
      <c r="K2349" s="198">
        <f t="shared" si="290"/>
        <v>0</v>
      </c>
      <c r="L2349" s="198">
        <f>COUNTIF(J2349:K2349,"&lt;&gt;0")*-'Trading Model'!$E$15</f>
        <v>0</v>
      </c>
      <c r="M2349" s="198">
        <f t="shared" si="288"/>
        <v>0</v>
      </c>
      <c r="N2349" s="75">
        <f t="shared" si="291"/>
        <v>71</v>
      </c>
      <c r="O2349" s="202">
        <f t="shared" si="292"/>
        <v>0</v>
      </c>
      <c r="P2349" s="199">
        <f t="shared" si="289"/>
        <v>0</v>
      </c>
      <c r="Q2349" s="203">
        <f t="shared" si="293"/>
        <v>-16.799999999998565</v>
      </c>
      <c r="R2349" s="203" t="s">
        <v>55</v>
      </c>
      <c r="S2349" s="201">
        <f t="shared" si="294"/>
        <v>3.5955170559279104E-2</v>
      </c>
    </row>
    <row r="2350" spans="1:19">
      <c r="A2350" s="196">
        <v>43376</v>
      </c>
      <c r="B2350" s="122">
        <v>18.610001</v>
      </c>
      <c r="C2350" s="122">
        <v>19.370000999999998</v>
      </c>
      <c r="D2350" s="122">
        <v>18.25</v>
      </c>
      <c r="E2350" s="122">
        <v>18.52</v>
      </c>
      <c r="F2350" s="122">
        <v>18.044245</v>
      </c>
      <c r="G2350" s="197">
        <v>455500</v>
      </c>
      <c r="H2350" s="198">
        <f>IF(AND(E2349&gt;=H2349,E2350&gt;=E2349),E2349*(1+'Trading Model'!$E$13),IF(AND(E2350&lt;E2349,E2349&gt;=H2349),E2350*(1+'Trading Model'!$E$13),H2349))</f>
        <v>39.921000000000006</v>
      </c>
      <c r="I2350" s="198">
        <f>IF(K2350&gt;0,E2350*(1-'Trading Model'!E2360),IF(E2350&lt;I2349,I2349*(1-'Trading Model'!$E$14),I2349))</f>
        <v>15.284806974272236</v>
      </c>
      <c r="J2350" s="198">
        <f t="shared" si="295"/>
        <v>0</v>
      </c>
      <c r="K2350" s="198">
        <f t="shared" si="290"/>
        <v>0</v>
      </c>
      <c r="L2350" s="198">
        <f>COUNTIF(J2350:K2350,"&lt;&gt;0")*-'Trading Model'!$E$15</f>
        <v>0</v>
      </c>
      <c r="M2350" s="198">
        <f t="shared" si="288"/>
        <v>0</v>
      </c>
      <c r="N2350" s="75">
        <f t="shared" si="291"/>
        <v>71</v>
      </c>
      <c r="O2350" s="202">
        <f t="shared" si="292"/>
        <v>0</v>
      </c>
      <c r="P2350" s="199">
        <f t="shared" si="289"/>
        <v>0</v>
      </c>
      <c r="Q2350" s="203">
        <f t="shared" si="293"/>
        <v>-16.799999999998565</v>
      </c>
      <c r="R2350" s="203" t="s">
        <v>55</v>
      </c>
      <c r="S2350" s="201">
        <f t="shared" si="294"/>
        <v>4.3383403287233779E-3</v>
      </c>
    </row>
    <row r="2351" spans="1:19">
      <c r="A2351" s="196">
        <v>43377</v>
      </c>
      <c r="B2351" s="122">
        <v>18.209999</v>
      </c>
      <c r="C2351" s="122">
        <v>18.329999999999998</v>
      </c>
      <c r="D2351" s="122">
        <v>17.91</v>
      </c>
      <c r="E2351" s="122">
        <v>18.23</v>
      </c>
      <c r="F2351" s="122">
        <v>17.761693999999999</v>
      </c>
      <c r="G2351" s="197">
        <v>243600</v>
      </c>
      <c r="H2351" s="198">
        <f>IF(AND(E2350&gt;=H2350,E2351&gt;=E2350),E2350*(1+'Trading Model'!$E$13),IF(AND(E2351&lt;E2350,E2350&gt;=H2350),E2351*(1+'Trading Model'!$E$13),H2350))</f>
        <v>39.921000000000006</v>
      </c>
      <c r="I2351" s="198">
        <f>IF(K2351&gt;0,E2351*(1-'Trading Model'!E2361),IF(E2351&lt;I2350,I2350*(1-'Trading Model'!$E$14),I2350))</f>
        <v>15.284806974272236</v>
      </c>
      <c r="J2351" s="198">
        <f t="shared" si="295"/>
        <v>0</v>
      </c>
      <c r="K2351" s="198">
        <f t="shared" si="290"/>
        <v>0</v>
      </c>
      <c r="L2351" s="198">
        <f>COUNTIF(J2351:K2351,"&lt;&gt;0")*-'Trading Model'!$E$15</f>
        <v>0</v>
      </c>
      <c r="M2351" s="198">
        <f t="shared" si="288"/>
        <v>0</v>
      </c>
      <c r="N2351" s="75">
        <f t="shared" si="291"/>
        <v>71</v>
      </c>
      <c r="O2351" s="202">
        <f t="shared" si="292"/>
        <v>0</v>
      </c>
      <c r="P2351" s="199">
        <f t="shared" si="289"/>
        <v>0</v>
      </c>
      <c r="Q2351" s="203">
        <f t="shared" si="293"/>
        <v>-16.899999999998567</v>
      </c>
      <c r="R2351" s="203" t="s">
        <v>55</v>
      </c>
      <c r="S2351" s="201">
        <f t="shared" si="294"/>
        <v>-1.5658747300215992E-2</v>
      </c>
    </row>
    <row r="2352" spans="1:19">
      <c r="A2352" s="196">
        <v>43378</v>
      </c>
      <c r="B2352" s="122">
        <v>18.280000999999999</v>
      </c>
      <c r="C2352" s="122">
        <v>18.59</v>
      </c>
      <c r="D2352" s="122">
        <v>18.100000000000001</v>
      </c>
      <c r="E2352" s="122">
        <v>18.34</v>
      </c>
      <c r="F2352" s="122">
        <v>17.868867999999999</v>
      </c>
      <c r="G2352" s="197">
        <v>105000</v>
      </c>
      <c r="H2352" s="198">
        <f>IF(AND(E2351&gt;=H2351,E2352&gt;=E2351),E2351*(1+'Trading Model'!$E$13),IF(AND(E2352&lt;E2351,E2351&gt;=H2351),E2352*(1+'Trading Model'!$E$13),H2351))</f>
        <v>39.921000000000006</v>
      </c>
      <c r="I2352" s="198">
        <f>IF(K2352&gt;0,E2352*(1-'Trading Model'!E2362),IF(E2352&lt;I2351,I2351*(1-'Trading Model'!$E$14),I2351))</f>
        <v>15.284806974272236</v>
      </c>
      <c r="J2352" s="198">
        <f t="shared" si="295"/>
        <v>0</v>
      </c>
      <c r="K2352" s="198">
        <f t="shared" si="290"/>
        <v>0</v>
      </c>
      <c r="L2352" s="198">
        <f>COUNTIF(J2352:K2352,"&lt;&gt;0")*-'Trading Model'!$E$15</f>
        <v>0</v>
      </c>
      <c r="M2352" s="198">
        <f t="shared" si="288"/>
        <v>0</v>
      </c>
      <c r="N2352" s="75">
        <f t="shared" si="291"/>
        <v>71</v>
      </c>
      <c r="O2352" s="202">
        <f t="shared" si="292"/>
        <v>0</v>
      </c>
      <c r="P2352" s="199">
        <f t="shared" si="289"/>
        <v>0</v>
      </c>
      <c r="Q2352" s="203">
        <f t="shared" si="293"/>
        <v>-16.899999999998567</v>
      </c>
      <c r="R2352" s="201">
        <f>E2352/B2348-1</f>
        <v>4.620644345656344E-2</v>
      </c>
      <c r="S2352" s="201">
        <f t="shared" si="294"/>
        <v>6.0340098738342896E-3</v>
      </c>
    </row>
    <row r="2353" spans="1:19">
      <c r="A2353" s="196">
        <v>43381</v>
      </c>
      <c r="B2353" s="122">
        <v>18.629999000000002</v>
      </c>
      <c r="C2353" s="122">
        <v>18.879999000000002</v>
      </c>
      <c r="D2353" s="122">
        <v>18.52</v>
      </c>
      <c r="E2353" s="122">
        <v>18.709999</v>
      </c>
      <c r="F2353" s="122">
        <v>18.229361999999998</v>
      </c>
      <c r="G2353" s="197">
        <v>105500</v>
      </c>
      <c r="H2353" s="198">
        <f>IF(AND(E2352&gt;=H2352,E2353&gt;=E2352),E2352*(1+'Trading Model'!$E$13),IF(AND(E2353&lt;E2352,E2352&gt;=H2352),E2353*(1+'Trading Model'!$E$13),H2352))</f>
        <v>39.921000000000006</v>
      </c>
      <c r="I2353" s="198">
        <f>IF(K2353&gt;0,E2353*(1-'Trading Model'!E2363),IF(E2353&lt;I2352,I2352*(1-'Trading Model'!$E$14),I2352))</f>
        <v>15.284806974272236</v>
      </c>
      <c r="J2353" s="198">
        <f t="shared" si="295"/>
        <v>0</v>
      </c>
      <c r="K2353" s="198">
        <f t="shared" si="290"/>
        <v>0</v>
      </c>
      <c r="L2353" s="198">
        <f>COUNTIF(J2353:K2353,"&lt;&gt;0")*-'Trading Model'!$E$15</f>
        <v>0</v>
      </c>
      <c r="M2353" s="198">
        <f t="shared" si="288"/>
        <v>0</v>
      </c>
      <c r="N2353" s="75">
        <f t="shared" si="291"/>
        <v>71</v>
      </c>
      <c r="O2353" s="202">
        <f t="shared" si="292"/>
        <v>0</v>
      </c>
      <c r="P2353" s="199">
        <f t="shared" si="289"/>
        <v>0</v>
      </c>
      <c r="Q2353" s="203">
        <f t="shared" si="293"/>
        <v>-16.899999999998567</v>
      </c>
      <c r="R2353" s="160" t="s">
        <v>55</v>
      </c>
      <c r="S2353" s="201">
        <f t="shared" si="294"/>
        <v>2.0174427480916135E-2</v>
      </c>
    </row>
    <row r="2354" spans="1:19">
      <c r="A2354" s="196">
        <v>43382</v>
      </c>
      <c r="B2354" s="122">
        <v>18.600000000000001</v>
      </c>
      <c r="C2354" s="122">
        <v>19.079999999999998</v>
      </c>
      <c r="D2354" s="122">
        <v>18.579999999999998</v>
      </c>
      <c r="E2354" s="122">
        <v>18.649999999999999</v>
      </c>
      <c r="F2354" s="122">
        <v>18.170904</v>
      </c>
      <c r="G2354" s="197">
        <v>167000</v>
      </c>
      <c r="H2354" s="198">
        <f>IF(AND(E2353&gt;=H2353,E2354&gt;=E2353),E2353*(1+'Trading Model'!$E$13),IF(AND(E2354&lt;E2353,E2353&gt;=H2353),E2354*(1+'Trading Model'!$E$13),H2353))</f>
        <v>39.921000000000006</v>
      </c>
      <c r="I2354" s="198">
        <f>IF(K2354&gt;0,E2354*(1-'Trading Model'!E2364),IF(E2354&lt;I2353,I2353*(1-'Trading Model'!$E$14),I2353))</f>
        <v>15.284806974272236</v>
      </c>
      <c r="J2354" s="198">
        <f t="shared" si="295"/>
        <v>0</v>
      </c>
      <c r="K2354" s="198">
        <f t="shared" si="290"/>
        <v>0</v>
      </c>
      <c r="L2354" s="198">
        <f>COUNTIF(J2354:K2354,"&lt;&gt;0")*-'Trading Model'!$E$15</f>
        <v>0</v>
      </c>
      <c r="M2354" s="198">
        <f t="shared" si="288"/>
        <v>0</v>
      </c>
      <c r="N2354" s="75">
        <f t="shared" si="291"/>
        <v>71</v>
      </c>
      <c r="O2354" s="202">
        <f t="shared" si="292"/>
        <v>0</v>
      </c>
      <c r="P2354" s="199">
        <f t="shared" si="289"/>
        <v>0</v>
      </c>
      <c r="Q2354" s="203">
        <f t="shared" si="293"/>
        <v>-16.999999999998568</v>
      </c>
      <c r="R2354" s="203" t="s">
        <v>55</v>
      </c>
      <c r="S2354" s="201">
        <f t="shared" si="294"/>
        <v>-3.2067879853976411E-3</v>
      </c>
    </row>
    <row r="2355" spans="1:19">
      <c r="A2355" s="196">
        <v>43383</v>
      </c>
      <c r="B2355" s="122">
        <v>18.459999</v>
      </c>
      <c r="C2355" s="122">
        <v>18.790001</v>
      </c>
      <c r="D2355" s="122">
        <v>17.93</v>
      </c>
      <c r="E2355" s="122">
        <v>17.98</v>
      </c>
      <c r="F2355" s="122">
        <v>17.518115999999999</v>
      </c>
      <c r="G2355" s="197">
        <v>116400</v>
      </c>
      <c r="H2355" s="198">
        <f>IF(AND(E2354&gt;=H2354,E2355&gt;=E2354),E2354*(1+'Trading Model'!$E$13),IF(AND(E2355&lt;E2354,E2354&gt;=H2354),E2355*(1+'Trading Model'!$E$13),H2354))</f>
        <v>39.921000000000006</v>
      </c>
      <c r="I2355" s="198">
        <f>IF(K2355&gt;0,E2355*(1-'Trading Model'!E2365),IF(E2355&lt;I2354,I2354*(1-'Trading Model'!$E$14),I2354))</f>
        <v>15.284806974272236</v>
      </c>
      <c r="J2355" s="198">
        <f t="shared" si="295"/>
        <v>0</v>
      </c>
      <c r="K2355" s="198">
        <f t="shared" si="290"/>
        <v>0</v>
      </c>
      <c r="L2355" s="198">
        <f>COUNTIF(J2355:K2355,"&lt;&gt;0")*-'Trading Model'!$E$15</f>
        <v>0</v>
      </c>
      <c r="M2355" s="198">
        <f t="shared" si="288"/>
        <v>0</v>
      </c>
      <c r="N2355" s="75">
        <f t="shared" si="291"/>
        <v>71</v>
      </c>
      <c r="O2355" s="202">
        <f t="shared" si="292"/>
        <v>0</v>
      </c>
      <c r="P2355" s="199">
        <f t="shared" si="289"/>
        <v>0</v>
      </c>
      <c r="Q2355" s="203">
        <f t="shared" si="293"/>
        <v>-17.09999999999857</v>
      </c>
      <c r="R2355" s="203" t="s">
        <v>55</v>
      </c>
      <c r="S2355" s="201">
        <f t="shared" si="294"/>
        <v>-3.5924932975871182E-2</v>
      </c>
    </row>
    <row r="2356" spans="1:19">
      <c r="A2356" s="196">
        <v>43384</v>
      </c>
      <c r="B2356" s="122">
        <v>17.920000000000002</v>
      </c>
      <c r="C2356" s="122">
        <v>18.07</v>
      </c>
      <c r="D2356" s="122">
        <v>17.129999000000002</v>
      </c>
      <c r="E2356" s="122">
        <v>17.600000000000001</v>
      </c>
      <c r="F2356" s="122">
        <v>17.147879</v>
      </c>
      <c r="G2356" s="197">
        <v>242600</v>
      </c>
      <c r="H2356" s="198">
        <f>IF(AND(E2355&gt;=H2355,E2356&gt;=E2355),E2355*(1+'Trading Model'!$E$13),IF(AND(E2356&lt;E2355,E2355&gt;=H2355),E2356*(1+'Trading Model'!$E$13),H2355))</f>
        <v>39.921000000000006</v>
      </c>
      <c r="I2356" s="198">
        <f>IF(K2356&gt;0,E2356*(1-'Trading Model'!E2366),IF(E2356&lt;I2355,I2355*(1-'Trading Model'!$E$14),I2355))</f>
        <v>15.284806974272236</v>
      </c>
      <c r="J2356" s="198">
        <f t="shared" si="295"/>
        <v>0</v>
      </c>
      <c r="K2356" s="198">
        <f t="shared" si="290"/>
        <v>0</v>
      </c>
      <c r="L2356" s="198">
        <f>COUNTIF(J2356:K2356,"&lt;&gt;0")*-'Trading Model'!$E$15</f>
        <v>0</v>
      </c>
      <c r="M2356" s="198">
        <f t="shared" si="288"/>
        <v>0</v>
      </c>
      <c r="N2356" s="75">
        <f t="shared" si="291"/>
        <v>71</v>
      </c>
      <c r="O2356" s="202">
        <f t="shared" si="292"/>
        <v>0</v>
      </c>
      <c r="P2356" s="199">
        <f t="shared" si="289"/>
        <v>0</v>
      </c>
      <c r="Q2356" s="203">
        <f t="shared" si="293"/>
        <v>-17.199999999998571</v>
      </c>
      <c r="R2356" s="203" t="s">
        <v>55</v>
      </c>
      <c r="S2356" s="201">
        <f t="shared" si="294"/>
        <v>-2.1134593993325845E-2</v>
      </c>
    </row>
    <row r="2357" spans="1:19">
      <c r="A2357" s="196">
        <v>43385</v>
      </c>
      <c r="B2357" s="122">
        <v>17.600000000000001</v>
      </c>
      <c r="C2357" s="122">
        <v>17.98</v>
      </c>
      <c r="D2357" s="122">
        <v>17.59</v>
      </c>
      <c r="E2357" s="122">
        <v>17.700001</v>
      </c>
      <c r="F2357" s="122">
        <v>17.24531</v>
      </c>
      <c r="G2357" s="197">
        <v>166900</v>
      </c>
      <c r="H2357" s="198">
        <f>IF(AND(E2356&gt;=H2356,E2357&gt;=E2356),E2356*(1+'Trading Model'!$E$13),IF(AND(E2357&lt;E2356,E2356&gt;=H2356),E2357*(1+'Trading Model'!$E$13),H2356))</f>
        <v>39.921000000000006</v>
      </c>
      <c r="I2357" s="198">
        <f>IF(K2357&gt;0,E2357*(1-'Trading Model'!E2367),IF(E2357&lt;I2356,I2356*(1-'Trading Model'!$E$14),I2356))</f>
        <v>15.284806974272236</v>
      </c>
      <c r="J2357" s="198">
        <f t="shared" si="295"/>
        <v>0</v>
      </c>
      <c r="K2357" s="198">
        <f t="shared" si="290"/>
        <v>0</v>
      </c>
      <c r="L2357" s="198">
        <f>COUNTIF(J2357:K2357,"&lt;&gt;0")*-'Trading Model'!$E$15</f>
        <v>0</v>
      </c>
      <c r="M2357" s="198">
        <f t="shared" si="288"/>
        <v>0</v>
      </c>
      <c r="N2357" s="75">
        <f t="shared" si="291"/>
        <v>71</v>
      </c>
      <c r="O2357" s="202">
        <f t="shared" si="292"/>
        <v>0</v>
      </c>
      <c r="P2357" s="199">
        <f t="shared" si="289"/>
        <v>0</v>
      </c>
      <c r="Q2357" s="203">
        <f t="shared" si="293"/>
        <v>-17.199999999998571</v>
      </c>
      <c r="R2357" s="201">
        <f>E2357/B2353-1</f>
        <v>-4.9919380027878768E-2</v>
      </c>
      <c r="S2357" s="201">
        <f t="shared" si="294"/>
        <v>5.6818749999998364E-3</v>
      </c>
    </row>
    <row r="2358" spans="1:19">
      <c r="A2358" s="196">
        <v>43388</v>
      </c>
      <c r="B2358" s="122">
        <v>17.73</v>
      </c>
      <c r="C2358" s="122">
        <v>18.530000999999999</v>
      </c>
      <c r="D2358" s="122">
        <v>17.73</v>
      </c>
      <c r="E2358" s="122">
        <v>17.899999999999999</v>
      </c>
      <c r="F2358" s="122">
        <v>17.440169999999998</v>
      </c>
      <c r="G2358" s="197">
        <v>87700</v>
      </c>
      <c r="H2358" s="198">
        <f>IF(AND(E2357&gt;=H2357,E2358&gt;=E2357),E2357*(1+'Trading Model'!$E$13),IF(AND(E2358&lt;E2357,E2357&gt;=H2357),E2358*(1+'Trading Model'!$E$13),H2357))</f>
        <v>39.921000000000006</v>
      </c>
      <c r="I2358" s="198">
        <f>IF(K2358&gt;0,E2358*(1-'Trading Model'!E2368),IF(E2358&lt;I2357,I2357*(1-'Trading Model'!$E$14),I2357))</f>
        <v>15.284806974272236</v>
      </c>
      <c r="J2358" s="198">
        <f t="shared" si="295"/>
        <v>0</v>
      </c>
      <c r="K2358" s="198">
        <f t="shared" si="290"/>
        <v>0</v>
      </c>
      <c r="L2358" s="198">
        <f>COUNTIF(J2358:K2358,"&lt;&gt;0")*-'Trading Model'!$E$15</f>
        <v>0</v>
      </c>
      <c r="M2358" s="198">
        <f t="shared" si="288"/>
        <v>0</v>
      </c>
      <c r="N2358" s="75">
        <f t="shared" si="291"/>
        <v>71</v>
      </c>
      <c r="O2358" s="202">
        <f t="shared" si="292"/>
        <v>0</v>
      </c>
      <c r="P2358" s="199">
        <f t="shared" si="289"/>
        <v>0</v>
      </c>
      <c r="Q2358" s="203">
        <f t="shared" si="293"/>
        <v>-17.199999999998571</v>
      </c>
      <c r="R2358" s="160" t="s">
        <v>55</v>
      </c>
      <c r="S2358" s="201">
        <f t="shared" si="294"/>
        <v>1.1299377892690421E-2</v>
      </c>
    </row>
    <row r="2359" spans="1:19">
      <c r="A2359" s="196">
        <v>43389</v>
      </c>
      <c r="B2359" s="122">
        <v>17.969999000000001</v>
      </c>
      <c r="C2359" s="122">
        <v>18.360001</v>
      </c>
      <c r="D2359" s="122">
        <v>17.649999999999999</v>
      </c>
      <c r="E2359" s="122">
        <v>17.91</v>
      </c>
      <c r="F2359" s="122">
        <v>17.449915000000001</v>
      </c>
      <c r="G2359" s="197">
        <v>137300</v>
      </c>
      <c r="H2359" s="198">
        <f>IF(AND(E2358&gt;=H2358,E2359&gt;=E2358),E2358*(1+'Trading Model'!$E$13),IF(AND(E2359&lt;E2358,E2358&gt;=H2358),E2359*(1+'Trading Model'!$E$13),H2358))</f>
        <v>39.921000000000006</v>
      </c>
      <c r="I2359" s="198">
        <f>IF(K2359&gt;0,E2359*(1-'Trading Model'!E2369),IF(E2359&lt;I2358,I2358*(1-'Trading Model'!$E$14),I2358))</f>
        <v>15.284806974272236</v>
      </c>
      <c r="J2359" s="198">
        <f t="shared" si="295"/>
        <v>0</v>
      </c>
      <c r="K2359" s="198">
        <f t="shared" si="290"/>
        <v>0</v>
      </c>
      <c r="L2359" s="198">
        <f>COUNTIF(J2359:K2359,"&lt;&gt;0")*-'Trading Model'!$E$15</f>
        <v>0</v>
      </c>
      <c r="M2359" s="198">
        <f t="shared" si="288"/>
        <v>0</v>
      </c>
      <c r="N2359" s="75">
        <f t="shared" si="291"/>
        <v>71</v>
      </c>
      <c r="O2359" s="202">
        <f t="shared" si="292"/>
        <v>0</v>
      </c>
      <c r="P2359" s="199">
        <f t="shared" si="289"/>
        <v>0</v>
      </c>
      <c r="Q2359" s="203">
        <f t="shared" si="293"/>
        <v>-17.199999999998571</v>
      </c>
      <c r="R2359" s="203" t="s">
        <v>55</v>
      </c>
      <c r="S2359" s="201">
        <f t="shared" si="294"/>
        <v>5.5865921787723316E-4</v>
      </c>
    </row>
    <row r="2360" spans="1:19">
      <c r="A2360" s="196">
        <v>43390</v>
      </c>
      <c r="B2360" s="122">
        <v>17.799999</v>
      </c>
      <c r="C2360" s="122">
        <v>17.920000000000002</v>
      </c>
      <c r="D2360" s="122">
        <v>17.66</v>
      </c>
      <c r="E2360" s="122">
        <v>17.68</v>
      </c>
      <c r="F2360" s="122">
        <v>17.225822000000001</v>
      </c>
      <c r="G2360" s="197">
        <v>92800</v>
      </c>
      <c r="H2360" s="198">
        <f>IF(AND(E2359&gt;=H2359,E2360&gt;=E2359),E2359*(1+'Trading Model'!$E$13),IF(AND(E2360&lt;E2359,E2359&gt;=H2359),E2360*(1+'Trading Model'!$E$13),H2359))</f>
        <v>39.921000000000006</v>
      </c>
      <c r="I2360" s="198">
        <f>IF(K2360&gt;0,E2360*(1-'Trading Model'!E2370),IF(E2360&lt;I2359,I2359*(1-'Trading Model'!$E$14),I2359))</f>
        <v>15.284806974272236</v>
      </c>
      <c r="J2360" s="198">
        <f t="shared" si="295"/>
        <v>0</v>
      </c>
      <c r="K2360" s="198">
        <f t="shared" si="290"/>
        <v>0</v>
      </c>
      <c r="L2360" s="198">
        <f>COUNTIF(J2360:K2360,"&lt;&gt;0")*-'Trading Model'!$E$15</f>
        <v>0</v>
      </c>
      <c r="M2360" s="198">
        <f t="shared" si="288"/>
        <v>0</v>
      </c>
      <c r="N2360" s="75">
        <f t="shared" si="291"/>
        <v>71</v>
      </c>
      <c r="O2360" s="202">
        <f t="shared" si="292"/>
        <v>0</v>
      </c>
      <c r="P2360" s="199">
        <f t="shared" si="289"/>
        <v>0</v>
      </c>
      <c r="Q2360" s="203">
        <f t="shared" si="293"/>
        <v>-17.299999999998573</v>
      </c>
      <c r="R2360" s="203" t="s">
        <v>55</v>
      </c>
      <c r="S2360" s="201">
        <f t="shared" si="294"/>
        <v>-1.2841987716359582E-2</v>
      </c>
    </row>
    <row r="2361" spans="1:19">
      <c r="A2361" s="196">
        <v>43391</v>
      </c>
      <c r="B2361" s="122">
        <v>17.649999999999999</v>
      </c>
      <c r="C2361" s="122">
        <v>17.66</v>
      </c>
      <c r="D2361" s="122">
        <v>16.870000999999998</v>
      </c>
      <c r="E2361" s="122">
        <v>17.309999000000001</v>
      </c>
      <c r="F2361" s="122">
        <v>16.865328000000002</v>
      </c>
      <c r="G2361" s="197">
        <v>138100</v>
      </c>
      <c r="H2361" s="198">
        <f>IF(AND(E2360&gt;=H2360,E2361&gt;=E2360),E2360*(1+'Trading Model'!$E$13),IF(AND(E2361&lt;E2360,E2360&gt;=H2360),E2361*(1+'Trading Model'!$E$13),H2360))</f>
        <v>39.921000000000006</v>
      </c>
      <c r="I2361" s="198">
        <f>IF(K2361&gt;0,E2361*(1-'Trading Model'!E2371),IF(E2361&lt;I2360,I2360*(1-'Trading Model'!$E$14),I2360))</f>
        <v>15.284806974272236</v>
      </c>
      <c r="J2361" s="198">
        <f t="shared" si="295"/>
        <v>0</v>
      </c>
      <c r="K2361" s="198">
        <f t="shared" si="290"/>
        <v>0</v>
      </c>
      <c r="L2361" s="198">
        <f>COUNTIF(J2361:K2361,"&lt;&gt;0")*-'Trading Model'!$E$15</f>
        <v>0</v>
      </c>
      <c r="M2361" s="198">
        <f t="shared" si="288"/>
        <v>0</v>
      </c>
      <c r="N2361" s="75">
        <f t="shared" si="291"/>
        <v>71</v>
      </c>
      <c r="O2361" s="202">
        <f t="shared" si="292"/>
        <v>0</v>
      </c>
      <c r="P2361" s="199">
        <f t="shared" si="289"/>
        <v>0</v>
      </c>
      <c r="Q2361" s="203">
        <f t="shared" si="293"/>
        <v>-17.399999999998574</v>
      </c>
      <c r="R2361" s="203" t="s">
        <v>55</v>
      </c>
      <c r="S2361" s="201">
        <f t="shared" si="294"/>
        <v>-2.0927658371040603E-2</v>
      </c>
    </row>
    <row r="2362" spans="1:19">
      <c r="A2362" s="196">
        <v>43392</v>
      </c>
      <c r="B2362" s="122">
        <v>17.290001</v>
      </c>
      <c r="C2362" s="122">
        <v>17.600000000000001</v>
      </c>
      <c r="D2362" s="122">
        <v>16.32</v>
      </c>
      <c r="E2362" s="122">
        <v>17.41</v>
      </c>
      <c r="F2362" s="122">
        <v>16.962758999999998</v>
      </c>
      <c r="G2362" s="197">
        <v>321200</v>
      </c>
      <c r="H2362" s="198">
        <f>IF(AND(E2361&gt;=H2361,E2362&gt;=E2361),E2361*(1+'Trading Model'!$E$13),IF(AND(E2362&lt;E2361,E2361&gt;=H2361),E2362*(1+'Trading Model'!$E$13),H2361))</f>
        <v>39.921000000000006</v>
      </c>
      <c r="I2362" s="198">
        <f>IF(K2362&gt;0,E2362*(1-'Trading Model'!E2372),IF(E2362&lt;I2361,I2361*(1-'Trading Model'!$E$14),I2361))</f>
        <v>15.284806974272236</v>
      </c>
      <c r="J2362" s="198">
        <f t="shared" si="295"/>
        <v>0</v>
      </c>
      <c r="K2362" s="198">
        <f t="shared" si="290"/>
        <v>0</v>
      </c>
      <c r="L2362" s="198">
        <f>COUNTIF(J2362:K2362,"&lt;&gt;0")*-'Trading Model'!$E$15</f>
        <v>0</v>
      </c>
      <c r="M2362" s="198">
        <f t="shared" si="288"/>
        <v>0</v>
      </c>
      <c r="N2362" s="75">
        <f t="shared" si="291"/>
        <v>71</v>
      </c>
      <c r="O2362" s="202">
        <f t="shared" si="292"/>
        <v>0</v>
      </c>
      <c r="P2362" s="199">
        <f t="shared" si="289"/>
        <v>0</v>
      </c>
      <c r="Q2362" s="203">
        <f t="shared" si="293"/>
        <v>-17.399999999998574</v>
      </c>
      <c r="R2362" s="201">
        <f>E2362/B2358-1</f>
        <v>-1.8048505358150058E-2</v>
      </c>
      <c r="S2362" s="201">
        <f t="shared" si="294"/>
        <v>5.7770656139262133E-3</v>
      </c>
    </row>
    <row r="2363" spans="1:19">
      <c r="A2363" s="196">
        <v>43395</v>
      </c>
      <c r="B2363" s="122">
        <v>17.48</v>
      </c>
      <c r="C2363" s="122">
        <v>17.670000000000002</v>
      </c>
      <c r="D2363" s="122">
        <v>16.799999</v>
      </c>
      <c r="E2363" s="122">
        <v>17.129999000000002</v>
      </c>
      <c r="F2363" s="122">
        <v>16.689951000000001</v>
      </c>
      <c r="G2363" s="197">
        <v>247000</v>
      </c>
      <c r="H2363" s="198">
        <f>IF(AND(E2362&gt;=H2362,E2363&gt;=E2362),E2362*(1+'Trading Model'!$E$13),IF(AND(E2363&lt;E2362,E2362&gt;=H2362),E2363*(1+'Trading Model'!$E$13),H2362))</f>
        <v>39.921000000000006</v>
      </c>
      <c r="I2363" s="198">
        <f>IF(K2363&gt;0,E2363*(1-'Trading Model'!E2373),IF(E2363&lt;I2362,I2362*(1-'Trading Model'!$E$14),I2362))</f>
        <v>15.284806974272236</v>
      </c>
      <c r="J2363" s="198">
        <f t="shared" si="295"/>
        <v>0</v>
      </c>
      <c r="K2363" s="198">
        <f t="shared" si="290"/>
        <v>0</v>
      </c>
      <c r="L2363" s="198">
        <f>COUNTIF(J2363:K2363,"&lt;&gt;0")*-'Trading Model'!$E$15</f>
        <v>0</v>
      </c>
      <c r="M2363" s="198">
        <f t="shared" si="288"/>
        <v>0</v>
      </c>
      <c r="N2363" s="75">
        <f t="shared" si="291"/>
        <v>71</v>
      </c>
      <c r="O2363" s="202">
        <f t="shared" si="292"/>
        <v>0</v>
      </c>
      <c r="P2363" s="199">
        <f t="shared" si="289"/>
        <v>0</v>
      </c>
      <c r="Q2363" s="203">
        <f t="shared" si="293"/>
        <v>-17.499999999998575</v>
      </c>
      <c r="R2363" s="160" t="s">
        <v>55</v>
      </c>
      <c r="S2363" s="201">
        <f t="shared" si="294"/>
        <v>-1.6082768523836832E-2</v>
      </c>
    </row>
    <row r="2364" spans="1:19">
      <c r="A2364" s="196">
        <v>43396</v>
      </c>
      <c r="B2364" s="122">
        <v>16.899999999999999</v>
      </c>
      <c r="C2364" s="122">
        <v>17</v>
      </c>
      <c r="D2364" s="122">
        <v>16.559999000000001</v>
      </c>
      <c r="E2364" s="122">
        <v>16.950001</v>
      </c>
      <c r="F2364" s="122">
        <v>16.514576000000002</v>
      </c>
      <c r="G2364" s="197">
        <v>130000</v>
      </c>
      <c r="H2364" s="198">
        <f>IF(AND(E2363&gt;=H2363,E2364&gt;=E2363),E2363*(1+'Trading Model'!$E$13),IF(AND(E2364&lt;E2363,E2363&gt;=H2363),E2364*(1+'Trading Model'!$E$13),H2363))</f>
        <v>39.921000000000006</v>
      </c>
      <c r="I2364" s="198">
        <f>IF(K2364&gt;0,E2364*(1-'Trading Model'!E2374),IF(E2364&lt;I2363,I2363*(1-'Trading Model'!$E$14),I2363))</f>
        <v>15.284806974272236</v>
      </c>
      <c r="J2364" s="198">
        <f t="shared" si="295"/>
        <v>0</v>
      </c>
      <c r="K2364" s="198">
        <f t="shared" si="290"/>
        <v>0</v>
      </c>
      <c r="L2364" s="198">
        <f>COUNTIF(J2364:K2364,"&lt;&gt;0")*-'Trading Model'!$E$15</f>
        <v>0</v>
      </c>
      <c r="M2364" s="198">
        <f t="shared" si="288"/>
        <v>0</v>
      </c>
      <c r="N2364" s="75">
        <f t="shared" si="291"/>
        <v>71</v>
      </c>
      <c r="O2364" s="202">
        <f t="shared" si="292"/>
        <v>0</v>
      </c>
      <c r="P2364" s="199">
        <f t="shared" si="289"/>
        <v>0</v>
      </c>
      <c r="Q2364" s="203">
        <f t="shared" si="293"/>
        <v>-17.599999999998577</v>
      </c>
      <c r="R2364" s="203" t="s">
        <v>55</v>
      </c>
      <c r="S2364" s="201">
        <f t="shared" si="294"/>
        <v>-1.0507764769863703E-2</v>
      </c>
    </row>
    <row r="2365" spans="1:19">
      <c r="A2365" s="196">
        <v>43397</v>
      </c>
      <c r="B2365" s="122">
        <v>16.940000999999999</v>
      </c>
      <c r="C2365" s="122">
        <v>16.989999999999998</v>
      </c>
      <c r="D2365" s="122">
        <v>16.27</v>
      </c>
      <c r="E2365" s="122">
        <v>16.5</v>
      </c>
      <c r="F2365" s="122">
        <v>16.076136000000002</v>
      </c>
      <c r="G2365" s="197">
        <v>257100</v>
      </c>
      <c r="H2365" s="198">
        <f>IF(AND(E2364&gt;=H2364,E2365&gt;=E2364),E2364*(1+'Trading Model'!$E$13),IF(AND(E2365&lt;E2364,E2364&gt;=H2364),E2365*(1+'Trading Model'!$E$13),H2364))</f>
        <v>39.921000000000006</v>
      </c>
      <c r="I2365" s="198">
        <f>IF(K2365&gt;0,E2365*(1-'Trading Model'!E2375),IF(E2365&lt;I2364,I2364*(1-'Trading Model'!$E$14),I2364))</f>
        <v>15.284806974272236</v>
      </c>
      <c r="J2365" s="198">
        <f t="shared" si="295"/>
        <v>0</v>
      </c>
      <c r="K2365" s="198">
        <f t="shared" si="290"/>
        <v>0</v>
      </c>
      <c r="L2365" s="198">
        <f>COUNTIF(J2365:K2365,"&lt;&gt;0")*-'Trading Model'!$E$15</f>
        <v>0</v>
      </c>
      <c r="M2365" s="198">
        <f t="shared" si="288"/>
        <v>0</v>
      </c>
      <c r="N2365" s="75">
        <f t="shared" si="291"/>
        <v>71</v>
      </c>
      <c r="O2365" s="202">
        <f t="shared" si="292"/>
        <v>0</v>
      </c>
      <c r="P2365" s="199">
        <f t="shared" si="289"/>
        <v>0</v>
      </c>
      <c r="Q2365" s="203">
        <f t="shared" si="293"/>
        <v>-17.699999999998578</v>
      </c>
      <c r="R2365" s="203" t="s">
        <v>55</v>
      </c>
      <c r="S2365" s="201">
        <f t="shared" si="294"/>
        <v>-2.6548729997125098E-2</v>
      </c>
    </row>
    <row r="2366" spans="1:19">
      <c r="A2366" s="196">
        <v>43398</v>
      </c>
      <c r="B2366" s="122">
        <v>16.510000000000002</v>
      </c>
      <c r="C2366" s="122">
        <v>17.02</v>
      </c>
      <c r="D2366" s="122">
        <v>16.299999</v>
      </c>
      <c r="E2366" s="122">
        <v>16.899999999999999</v>
      </c>
      <c r="F2366" s="122">
        <v>16.465859999999999</v>
      </c>
      <c r="G2366" s="197">
        <v>220600</v>
      </c>
      <c r="H2366" s="198">
        <f>IF(AND(E2365&gt;=H2365,E2366&gt;=E2365),E2365*(1+'Trading Model'!$E$13),IF(AND(E2366&lt;E2365,E2365&gt;=H2365),E2366*(1+'Trading Model'!$E$13),H2365))</f>
        <v>39.921000000000006</v>
      </c>
      <c r="I2366" s="198">
        <f>IF(K2366&gt;0,E2366*(1-'Trading Model'!E2376),IF(E2366&lt;I2365,I2365*(1-'Trading Model'!$E$14),I2365))</f>
        <v>15.284806974272236</v>
      </c>
      <c r="J2366" s="198">
        <f t="shared" si="295"/>
        <v>0</v>
      </c>
      <c r="K2366" s="198">
        <f t="shared" si="290"/>
        <v>0</v>
      </c>
      <c r="L2366" s="198">
        <f>COUNTIF(J2366:K2366,"&lt;&gt;0")*-'Trading Model'!$E$15</f>
        <v>0</v>
      </c>
      <c r="M2366" s="198">
        <f t="shared" si="288"/>
        <v>0</v>
      </c>
      <c r="N2366" s="75">
        <f t="shared" si="291"/>
        <v>71</v>
      </c>
      <c r="O2366" s="202">
        <f t="shared" si="292"/>
        <v>0</v>
      </c>
      <c r="P2366" s="199">
        <f t="shared" si="289"/>
        <v>0</v>
      </c>
      <c r="Q2366" s="203">
        <f t="shared" si="293"/>
        <v>-17.699999999998578</v>
      </c>
      <c r="R2366" s="203" t="s">
        <v>55</v>
      </c>
      <c r="S2366" s="201">
        <f t="shared" si="294"/>
        <v>2.4242424242424176E-2</v>
      </c>
    </row>
    <row r="2367" spans="1:19">
      <c r="A2367" s="196">
        <v>43399</v>
      </c>
      <c r="B2367" s="122">
        <v>16.700001</v>
      </c>
      <c r="C2367" s="122">
        <v>17.889999</v>
      </c>
      <c r="D2367" s="122">
        <v>16.360001</v>
      </c>
      <c r="E2367" s="122">
        <v>17.540001</v>
      </c>
      <c r="F2367" s="122">
        <v>17.08942</v>
      </c>
      <c r="G2367" s="197">
        <v>366400</v>
      </c>
      <c r="H2367" s="198">
        <f>IF(AND(E2366&gt;=H2366,E2367&gt;=E2366),E2366*(1+'Trading Model'!$E$13),IF(AND(E2367&lt;E2366,E2366&gt;=H2366),E2367*(1+'Trading Model'!$E$13),H2366))</f>
        <v>39.921000000000006</v>
      </c>
      <c r="I2367" s="198">
        <f>IF(K2367&gt;0,E2367*(1-'Trading Model'!E2377),IF(E2367&lt;I2366,I2366*(1-'Trading Model'!$E$14),I2366))</f>
        <v>15.284806974272236</v>
      </c>
      <c r="J2367" s="198">
        <f t="shared" si="295"/>
        <v>0</v>
      </c>
      <c r="K2367" s="198">
        <f t="shared" si="290"/>
        <v>0</v>
      </c>
      <c r="L2367" s="198">
        <f>COUNTIF(J2367:K2367,"&lt;&gt;0")*-'Trading Model'!$E$15</f>
        <v>0</v>
      </c>
      <c r="M2367" s="198">
        <f t="shared" si="288"/>
        <v>0</v>
      </c>
      <c r="N2367" s="75">
        <f t="shared" si="291"/>
        <v>71</v>
      </c>
      <c r="O2367" s="202">
        <f t="shared" si="292"/>
        <v>0</v>
      </c>
      <c r="P2367" s="199">
        <f t="shared" si="289"/>
        <v>0</v>
      </c>
      <c r="Q2367" s="203">
        <f t="shared" si="293"/>
        <v>-17.699999999998578</v>
      </c>
      <c r="R2367" s="201">
        <f>E2367/B2363-1</f>
        <v>3.4325514874142815E-3</v>
      </c>
      <c r="S2367" s="201">
        <f t="shared" si="294"/>
        <v>3.7869881656804827E-2</v>
      </c>
    </row>
    <row r="2368" spans="1:19">
      <c r="A2368" s="196">
        <v>43402</v>
      </c>
      <c r="B2368" s="122">
        <v>17.600000000000001</v>
      </c>
      <c r="C2368" s="122">
        <v>18.100000000000001</v>
      </c>
      <c r="D2368" s="122">
        <v>17.18</v>
      </c>
      <c r="E2368" s="122">
        <v>17.420000000000002</v>
      </c>
      <c r="F2368" s="122">
        <v>16.972501999999999</v>
      </c>
      <c r="G2368" s="197">
        <v>272000</v>
      </c>
      <c r="H2368" s="198">
        <f>IF(AND(E2367&gt;=H2367,E2368&gt;=E2367),E2367*(1+'Trading Model'!$E$13),IF(AND(E2368&lt;E2367,E2367&gt;=H2367),E2368*(1+'Trading Model'!$E$13),H2367))</f>
        <v>39.921000000000006</v>
      </c>
      <c r="I2368" s="198">
        <f>IF(K2368&gt;0,E2368*(1-'Trading Model'!E2378),IF(E2368&lt;I2367,I2367*(1-'Trading Model'!$E$14),I2367))</f>
        <v>15.284806974272236</v>
      </c>
      <c r="J2368" s="198">
        <f t="shared" si="295"/>
        <v>0</v>
      </c>
      <c r="K2368" s="198">
        <f t="shared" si="290"/>
        <v>0</v>
      </c>
      <c r="L2368" s="198">
        <f>COUNTIF(J2368:K2368,"&lt;&gt;0")*-'Trading Model'!$E$15</f>
        <v>0</v>
      </c>
      <c r="M2368" s="198">
        <f t="shared" si="288"/>
        <v>0</v>
      </c>
      <c r="N2368" s="75">
        <f t="shared" si="291"/>
        <v>71</v>
      </c>
      <c r="O2368" s="202">
        <f t="shared" si="292"/>
        <v>0</v>
      </c>
      <c r="P2368" s="199">
        <f t="shared" si="289"/>
        <v>0</v>
      </c>
      <c r="Q2368" s="203">
        <f t="shared" si="293"/>
        <v>-17.79999999999858</v>
      </c>
      <c r="R2368" s="160" t="s">
        <v>55</v>
      </c>
      <c r="S2368" s="201">
        <f t="shared" si="294"/>
        <v>-6.8415617536167206E-3</v>
      </c>
    </row>
    <row r="2369" spans="1:19">
      <c r="A2369" s="196">
        <v>43403</v>
      </c>
      <c r="B2369" s="122">
        <v>17.350000000000001</v>
      </c>
      <c r="C2369" s="122">
        <v>18</v>
      </c>
      <c r="D2369" s="122">
        <v>17.350000000000001</v>
      </c>
      <c r="E2369" s="122">
        <v>17.709999</v>
      </c>
      <c r="F2369" s="122">
        <v>17.255051000000002</v>
      </c>
      <c r="G2369" s="197">
        <v>63400</v>
      </c>
      <c r="H2369" s="198">
        <f>IF(AND(E2368&gt;=H2368,E2369&gt;=E2368),E2368*(1+'Trading Model'!$E$13),IF(AND(E2369&lt;E2368,E2368&gt;=H2368),E2369*(1+'Trading Model'!$E$13),H2368))</f>
        <v>39.921000000000006</v>
      </c>
      <c r="I2369" s="198">
        <f>IF(K2369&gt;0,E2369*(1-'Trading Model'!E2379),IF(E2369&lt;I2368,I2368*(1-'Trading Model'!$E$14),I2368))</f>
        <v>15.284806974272236</v>
      </c>
      <c r="J2369" s="198">
        <f t="shared" si="295"/>
        <v>0</v>
      </c>
      <c r="K2369" s="198">
        <f t="shared" si="290"/>
        <v>0</v>
      </c>
      <c r="L2369" s="198">
        <f>COUNTIF(J2369:K2369,"&lt;&gt;0")*-'Trading Model'!$E$15</f>
        <v>0</v>
      </c>
      <c r="M2369" s="198">
        <f t="shared" si="288"/>
        <v>0</v>
      </c>
      <c r="N2369" s="75">
        <f t="shared" si="291"/>
        <v>71</v>
      </c>
      <c r="O2369" s="202">
        <f t="shared" si="292"/>
        <v>0</v>
      </c>
      <c r="P2369" s="199">
        <f t="shared" si="289"/>
        <v>0</v>
      </c>
      <c r="Q2369" s="203">
        <f t="shared" si="293"/>
        <v>-17.79999999999858</v>
      </c>
      <c r="R2369" s="203" t="s">
        <v>55</v>
      </c>
      <c r="S2369" s="201">
        <f t="shared" si="294"/>
        <v>1.6647474167623244E-2</v>
      </c>
    </row>
    <row r="2370" spans="1:19">
      <c r="A2370" s="196">
        <v>43404</v>
      </c>
      <c r="B2370" s="122">
        <v>17.719999000000001</v>
      </c>
      <c r="C2370" s="122">
        <v>18.23</v>
      </c>
      <c r="D2370" s="122">
        <v>17.540001</v>
      </c>
      <c r="E2370" s="122">
        <v>18.110001</v>
      </c>
      <c r="F2370" s="122">
        <v>17.644777000000001</v>
      </c>
      <c r="G2370" s="197">
        <v>167900</v>
      </c>
      <c r="H2370" s="198">
        <f>IF(AND(E2369&gt;=H2369,E2370&gt;=E2369),E2369*(1+'Trading Model'!$E$13),IF(AND(E2370&lt;E2369,E2369&gt;=H2369),E2370*(1+'Trading Model'!$E$13),H2369))</f>
        <v>39.921000000000006</v>
      </c>
      <c r="I2370" s="198">
        <f>IF(K2370&gt;0,E2370*(1-'Trading Model'!E2380),IF(E2370&lt;I2369,I2369*(1-'Trading Model'!$E$14),I2369))</f>
        <v>15.284806974272236</v>
      </c>
      <c r="J2370" s="198">
        <f t="shared" si="295"/>
        <v>0</v>
      </c>
      <c r="K2370" s="198">
        <f t="shared" si="290"/>
        <v>0</v>
      </c>
      <c r="L2370" s="198">
        <f>COUNTIF(J2370:K2370,"&lt;&gt;0")*-'Trading Model'!$E$15</f>
        <v>0</v>
      </c>
      <c r="M2370" s="198">
        <f t="shared" si="288"/>
        <v>0</v>
      </c>
      <c r="N2370" s="75">
        <f t="shared" si="291"/>
        <v>71</v>
      </c>
      <c r="O2370" s="202">
        <f t="shared" si="292"/>
        <v>0</v>
      </c>
      <c r="P2370" s="199">
        <f t="shared" si="289"/>
        <v>0</v>
      </c>
      <c r="Q2370" s="203">
        <f t="shared" si="293"/>
        <v>-17.79999999999858</v>
      </c>
      <c r="R2370" s="203" t="s">
        <v>55</v>
      </c>
      <c r="S2370" s="201">
        <f t="shared" si="294"/>
        <v>2.2586223748516376E-2</v>
      </c>
    </row>
    <row r="2371" spans="1:19">
      <c r="A2371" s="196">
        <v>43405</v>
      </c>
      <c r="B2371" s="122">
        <v>18.329999999999998</v>
      </c>
      <c r="C2371" s="122">
        <v>19.139999</v>
      </c>
      <c r="D2371" s="122">
        <v>18.23</v>
      </c>
      <c r="E2371" s="122">
        <v>18.870000999999998</v>
      </c>
      <c r="F2371" s="122">
        <v>18.385254</v>
      </c>
      <c r="G2371" s="197">
        <v>124700</v>
      </c>
      <c r="H2371" s="198">
        <f>IF(AND(E2370&gt;=H2370,E2371&gt;=E2370),E2370*(1+'Trading Model'!$E$13),IF(AND(E2371&lt;E2370,E2370&gt;=H2370),E2371*(1+'Trading Model'!$E$13),H2370))</f>
        <v>39.921000000000006</v>
      </c>
      <c r="I2371" s="198">
        <f>IF(K2371&gt;0,E2371*(1-'Trading Model'!E2381),IF(E2371&lt;I2370,I2370*(1-'Trading Model'!$E$14),I2370))</f>
        <v>15.284806974272236</v>
      </c>
      <c r="J2371" s="198">
        <f t="shared" si="295"/>
        <v>0</v>
      </c>
      <c r="K2371" s="198">
        <f t="shared" si="290"/>
        <v>0</v>
      </c>
      <c r="L2371" s="198">
        <f>COUNTIF(J2371:K2371,"&lt;&gt;0")*-'Trading Model'!$E$15</f>
        <v>0</v>
      </c>
      <c r="M2371" s="198">
        <f t="shared" ref="M2371:M2434" si="296">SUM(J2371:L2371)</f>
        <v>0</v>
      </c>
      <c r="N2371" s="75">
        <f t="shared" si="291"/>
        <v>71</v>
      </c>
      <c r="O2371" s="202">
        <f t="shared" si="292"/>
        <v>0</v>
      </c>
      <c r="P2371" s="199">
        <f t="shared" ref="P2371:P2434" si="297">IFERROR(VLOOKUP(A2371,Dividends,2,FALSE),$U$1)</f>
        <v>0</v>
      </c>
      <c r="Q2371" s="203">
        <f t="shared" si="293"/>
        <v>-17.79999999999858</v>
      </c>
      <c r="R2371" s="203" t="s">
        <v>55</v>
      </c>
      <c r="S2371" s="201">
        <f t="shared" si="294"/>
        <v>4.1965762453574529E-2</v>
      </c>
    </row>
    <row r="2372" spans="1:19">
      <c r="A2372" s="196">
        <v>43406</v>
      </c>
      <c r="B2372" s="122">
        <v>18.950001</v>
      </c>
      <c r="C2372" s="122">
        <v>19.360001</v>
      </c>
      <c r="D2372" s="122">
        <v>18.649999999999999</v>
      </c>
      <c r="E2372" s="122">
        <v>18.950001</v>
      </c>
      <c r="F2372" s="122">
        <v>18.463197999999998</v>
      </c>
      <c r="G2372" s="197">
        <v>131500</v>
      </c>
      <c r="H2372" s="198">
        <f>IF(AND(E2371&gt;=H2371,E2372&gt;=E2371),E2371*(1+'Trading Model'!$E$13),IF(AND(E2372&lt;E2371,E2371&gt;=H2371),E2372*(1+'Trading Model'!$E$13),H2371))</f>
        <v>39.921000000000006</v>
      </c>
      <c r="I2372" s="198">
        <f>IF(K2372&gt;0,E2372*(1-'Trading Model'!E2382),IF(E2372&lt;I2371,I2371*(1-'Trading Model'!$E$14),I2371))</f>
        <v>15.284806974272236</v>
      </c>
      <c r="J2372" s="198">
        <f t="shared" si="295"/>
        <v>0</v>
      </c>
      <c r="K2372" s="198">
        <f t="shared" ref="K2372:K2435" si="298">IF(E2372&gt;=H2372,E2372,0)</f>
        <v>0</v>
      </c>
      <c r="L2372" s="198">
        <f>COUNTIF(J2372:K2372,"&lt;&gt;0")*-'Trading Model'!$E$15</f>
        <v>0</v>
      </c>
      <c r="M2372" s="198">
        <f t="shared" si="296"/>
        <v>0</v>
      </c>
      <c r="N2372" s="75">
        <f t="shared" ref="N2372:N2435" si="299">IF(AND(J2372&lt;0,K2372&gt;0),N2371,(IF(J2372&lt;0,N2371+1,IF(K2372&gt;0,N2371+1,N2371))))</f>
        <v>71</v>
      </c>
      <c r="O2372" s="202">
        <f t="shared" ref="O2372:O2435" si="300">P2372</f>
        <v>0</v>
      </c>
      <c r="P2372" s="199">
        <f t="shared" si="297"/>
        <v>0</v>
      </c>
      <c r="Q2372" s="203">
        <f t="shared" ref="Q2372:Q2435" si="301">IF(E2372&lt;E2371,Q2371-0.1,Q2371)</f>
        <v>-17.79999999999858</v>
      </c>
      <c r="R2372" s="201">
        <f>E2372/B2368-1</f>
        <v>7.6704602272727129E-2</v>
      </c>
      <c r="S2372" s="201">
        <f t="shared" ref="S2372:S2435" si="302">E2372/E2371-1</f>
        <v>4.2395334266278617E-3</v>
      </c>
    </row>
    <row r="2373" spans="1:19">
      <c r="A2373" s="196">
        <v>43409</v>
      </c>
      <c r="B2373" s="122">
        <v>18.73</v>
      </c>
      <c r="C2373" s="122">
        <v>19.260000000000002</v>
      </c>
      <c r="D2373" s="122">
        <v>18.600000000000001</v>
      </c>
      <c r="E2373" s="122">
        <v>18.899999999999999</v>
      </c>
      <c r="F2373" s="122">
        <v>18.414482</v>
      </c>
      <c r="G2373" s="197">
        <v>102700</v>
      </c>
      <c r="H2373" s="198">
        <f>IF(AND(E2372&gt;=H2372,E2373&gt;=E2372),E2372*(1+'Trading Model'!$E$13),IF(AND(E2373&lt;E2372,E2372&gt;=H2372),E2373*(1+'Trading Model'!$E$13),H2372))</f>
        <v>39.921000000000006</v>
      </c>
      <c r="I2373" s="198">
        <f>IF(K2373&gt;0,E2373*(1-'Trading Model'!E2383),IF(E2373&lt;I2372,I2372*(1-'Trading Model'!$E$14),I2372))</f>
        <v>15.284806974272236</v>
      </c>
      <c r="J2373" s="198">
        <f t="shared" ref="J2373:J2436" si="303">IF(E2373&gt;=H2373,-E2373,IF(E2373&lt;=I2372,-E2373,0))</f>
        <v>0</v>
      </c>
      <c r="K2373" s="198">
        <f t="shared" si="298"/>
        <v>0</v>
      </c>
      <c r="L2373" s="198">
        <f>COUNTIF(J2373:K2373,"&lt;&gt;0")*-'Trading Model'!$E$15</f>
        <v>0</v>
      </c>
      <c r="M2373" s="198">
        <f t="shared" si="296"/>
        <v>0</v>
      </c>
      <c r="N2373" s="75">
        <f t="shared" si="299"/>
        <v>71</v>
      </c>
      <c r="O2373" s="202">
        <f t="shared" si="300"/>
        <v>0</v>
      </c>
      <c r="P2373" s="199">
        <f t="shared" si="297"/>
        <v>0</v>
      </c>
      <c r="Q2373" s="203">
        <f t="shared" si="301"/>
        <v>-17.899999999998581</v>
      </c>
      <c r="R2373" s="160" t="s">
        <v>55</v>
      </c>
      <c r="S2373" s="201">
        <f t="shared" si="302"/>
        <v>-2.6385750586505052E-3</v>
      </c>
    </row>
    <row r="2374" spans="1:19">
      <c r="A2374" s="196">
        <v>43410</v>
      </c>
      <c r="B2374" s="122">
        <v>18.75</v>
      </c>
      <c r="C2374" s="122">
        <v>19.309999000000001</v>
      </c>
      <c r="D2374" s="122">
        <v>18.73</v>
      </c>
      <c r="E2374" s="122">
        <v>18.77</v>
      </c>
      <c r="F2374" s="122">
        <v>18.287822999999999</v>
      </c>
      <c r="G2374" s="197">
        <v>63700</v>
      </c>
      <c r="H2374" s="198">
        <f>IF(AND(E2373&gt;=H2373,E2374&gt;=E2373),E2373*(1+'Trading Model'!$E$13),IF(AND(E2374&lt;E2373,E2373&gt;=H2373),E2374*(1+'Trading Model'!$E$13),H2373))</f>
        <v>39.921000000000006</v>
      </c>
      <c r="I2374" s="198">
        <f>IF(K2374&gt;0,E2374*(1-'Trading Model'!E2384),IF(E2374&lt;I2373,I2373*(1-'Trading Model'!$E$14),I2373))</f>
        <v>15.284806974272236</v>
      </c>
      <c r="J2374" s="198">
        <f t="shared" si="303"/>
        <v>0</v>
      </c>
      <c r="K2374" s="198">
        <f t="shared" si="298"/>
        <v>0</v>
      </c>
      <c r="L2374" s="198">
        <f>COUNTIF(J2374:K2374,"&lt;&gt;0")*-'Trading Model'!$E$15</f>
        <v>0</v>
      </c>
      <c r="M2374" s="198">
        <f t="shared" si="296"/>
        <v>0</v>
      </c>
      <c r="N2374" s="75">
        <f t="shared" si="299"/>
        <v>71</v>
      </c>
      <c r="O2374" s="202">
        <f t="shared" si="300"/>
        <v>0</v>
      </c>
      <c r="P2374" s="199">
        <f t="shared" si="297"/>
        <v>0</v>
      </c>
      <c r="Q2374" s="203">
        <f t="shared" si="301"/>
        <v>-17.999999999998582</v>
      </c>
      <c r="R2374" s="203" t="s">
        <v>55</v>
      </c>
      <c r="S2374" s="201">
        <f t="shared" si="302"/>
        <v>-6.8783068783068169E-3</v>
      </c>
    </row>
    <row r="2375" spans="1:19">
      <c r="A2375" s="196">
        <v>43411</v>
      </c>
      <c r="B2375" s="122">
        <v>18.77</v>
      </c>
      <c r="C2375" s="122">
        <v>19.309999000000001</v>
      </c>
      <c r="D2375" s="122">
        <v>18.57</v>
      </c>
      <c r="E2375" s="122">
        <v>18.809999000000001</v>
      </c>
      <c r="F2375" s="122">
        <v>18.326794</v>
      </c>
      <c r="G2375" s="197">
        <v>175700</v>
      </c>
      <c r="H2375" s="198">
        <f>IF(AND(E2374&gt;=H2374,E2375&gt;=E2374),E2374*(1+'Trading Model'!$E$13),IF(AND(E2375&lt;E2374,E2374&gt;=H2374),E2375*(1+'Trading Model'!$E$13),H2374))</f>
        <v>39.921000000000006</v>
      </c>
      <c r="I2375" s="198">
        <f>IF(K2375&gt;0,E2375*(1-'Trading Model'!E2385),IF(E2375&lt;I2374,I2374*(1-'Trading Model'!$E$14),I2374))</f>
        <v>15.284806974272236</v>
      </c>
      <c r="J2375" s="198">
        <f t="shared" si="303"/>
        <v>0</v>
      </c>
      <c r="K2375" s="198">
        <f t="shared" si="298"/>
        <v>0</v>
      </c>
      <c r="L2375" s="198">
        <f>COUNTIF(J2375:K2375,"&lt;&gt;0")*-'Trading Model'!$E$15</f>
        <v>0</v>
      </c>
      <c r="M2375" s="198">
        <f t="shared" si="296"/>
        <v>0</v>
      </c>
      <c r="N2375" s="75">
        <f t="shared" si="299"/>
        <v>71</v>
      </c>
      <c r="O2375" s="202">
        <f t="shared" si="300"/>
        <v>0</v>
      </c>
      <c r="P2375" s="199">
        <f t="shared" si="297"/>
        <v>0</v>
      </c>
      <c r="Q2375" s="203">
        <f t="shared" si="301"/>
        <v>-17.999999999998582</v>
      </c>
      <c r="R2375" s="203" t="s">
        <v>55</v>
      </c>
      <c r="S2375" s="201">
        <f t="shared" si="302"/>
        <v>2.1310069259456998E-3</v>
      </c>
    </row>
    <row r="2376" spans="1:19">
      <c r="A2376" s="196">
        <v>43412</v>
      </c>
      <c r="B2376" s="122">
        <v>18.649999999999999</v>
      </c>
      <c r="C2376" s="122">
        <v>19.209999</v>
      </c>
      <c r="D2376" s="122">
        <v>18.399999999999999</v>
      </c>
      <c r="E2376" s="122">
        <v>18.489999999999998</v>
      </c>
      <c r="F2376" s="122">
        <v>18.015014999999998</v>
      </c>
      <c r="G2376" s="197">
        <v>151500</v>
      </c>
      <c r="H2376" s="198">
        <f>IF(AND(E2375&gt;=H2375,E2376&gt;=E2375),E2375*(1+'Trading Model'!$E$13),IF(AND(E2376&lt;E2375,E2375&gt;=H2375),E2376*(1+'Trading Model'!$E$13),H2375))</f>
        <v>39.921000000000006</v>
      </c>
      <c r="I2376" s="198">
        <f>IF(K2376&gt;0,E2376*(1-'Trading Model'!E2386),IF(E2376&lt;I2375,I2375*(1-'Trading Model'!$E$14),I2375))</f>
        <v>15.284806974272236</v>
      </c>
      <c r="J2376" s="198">
        <f t="shared" si="303"/>
        <v>0</v>
      </c>
      <c r="K2376" s="198">
        <f t="shared" si="298"/>
        <v>0</v>
      </c>
      <c r="L2376" s="198">
        <f>COUNTIF(J2376:K2376,"&lt;&gt;0")*-'Trading Model'!$E$15</f>
        <v>0</v>
      </c>
      <c r="M2376" s="198">
        <f t="shared" si="296"/>
        <v>0</v>
      </c>
      <c r="N2376" s="75">
        <f t="shared" si="299"/>
        <v>71</v>
      </c>
      <c r="O2376" s="202">
        <f t="shared" si="300"/>
        <v>0</v>
      </c>
      <c r="P2376" s="199">
        <f t="shared" si="297"/>
        <v>0</v>
      </c>
      <c r="Q2376" s="203">
        <f t="shared" si="301"/>
        <v>-18.099999999998584</v>
      </c>
      <c r="R2376" s="203" t="s">
        <v>55</v>
      </c>
      <c r="S2376" s="201">
        <f t="shared" si="302"/>
        <v>-1.7012175279754294E-2</v>
      </c>
    </row>
    <row r="2377" spans="1:19">
      <c r="A2377" s="196">
        <v>43413</v>
      </c>
      <c r="B2377" s="122">
        <v>18.440000999999999</v>
      </c>
      <c r="C2377" s="122">
        <v>18.440000999999999</v>
      </c>
      <c r="D2377" s="122">
        <v>17.780000999999999</v>
      </c>
      <c r="E2377" s="122">
        <v>17.959999</v>
      </c>
      <c r="F2377" s="122">
        <v>17.498629000000001</v>
      </c>
      <c r="G2377" s="197">
        <v>115800</v>
      </c>
      <c r="H2377" s="198">
        <f>IF(AND(E2376&gt;=H2376,E2377&gt;=E2376),E2376*(1+'Trading Model'!$E$13),IF(AND(E2377&lt;E2376,E2376&gt;=H2376),E2377*(1+'Trading Model'!$E$13),H2376))</f>
        <v>39.921000000000006</v>
      </c>
      <c r="I2377" s="198">
        <f>IF(K2377&gt;0,E2377*(1-'Trading Model'!E2387),IF(E2377&lt;I2376,I2376*(1-'Trading Model'!$E$14),I2376))</f>
        <v>15.284806974272236</v>
      </c>
      <c r="J2377" s="198">
        <f t="shared" si="303"/>
        <v>0</v>
      </c>
      <c r="K2377" s="198">
        <f t="shared" si="298"/>
        <v>0</v>
      </c>
      <c r="L2377" s="198">
        <f>COUNTIF(J2377:K2377,"&lt;&gt;0")*-'Trading Model'!$E$15</f>
        <v>0</v>
      </c>
      <c r="M2377" s="198">
        <f t="shared" si="296"/>
        <v>0</v>
      </c>
      <c r="N2377" s="75">
        <f t="shared" si="299"/>
        <v>71</v>
      </c>
      <c r="O2377" s="202">
        <f t="shared" si="300"/>
        <v>0</v>
      </c>
      <c r="P2377" s="199">
        <f t="shared" si="297"/>
        <v>0</v>
      </c>
      <c r="Q2377" s="203">
        <f t="shared" si="301"/>
        <v>-18.199999999998585</v>
      </c>
      <c r="R2377" s="201">
        <f>E2377/B2373-1</f>
        <v>-4.1110571276027796E-2</v>
      </c>
      <c r="S2377" s="201">
        <f t="shared" si="302"/>
        <v>-2.8664196863169233E-2</v>
      </c>
    </row>
    <row r="2378" spans="1:19">
      <c r="A2378" s="196">
        <v>43416</v>
      </c>
      <c r="B2378" s="122">
        <v>17.690000999999999</v>
      </c>
      <c r="C2378" s="122">
        <v>17.799999</v>
      </c>
      <c r="D2378" s="122">
        <v>16.75</v>
      </c>
      <c r="E2378" s="122">
        <v>17.149999999999999</v>
      </c>
      <c r="F2378" s="122">
        <v>16.709436</v>
      </c>
      <c r="G2378" s="197">
        <v>302900</v>
      </c>
      <c r="H2378" s="198">
        <f>IF(AND(E2377&gt;=H2377,E2378&gt;=E2377),E2377*(1+'Trading Model'!$E$13),IF(AND(E2378&lt;E2377,E2377&gt;=H2377),E2378*(1+'Trading Model'!$E$13),H2377))</f>
        <v>39.921000000000006</v>
      </c>
      <c r="I2378" s="198">
        <f>IF(K2378&gt;0,E2378*(1-'Trading Model'!E2388),IF(E2378&lt;I2377,I2377*(1-'Trading Model'!$E$14),I2377))</f>
        <v>15.284806974272236</v>
      </c>
      <c r="J2378" s="198">
        <f t="shared" si="303"/>
        <v>0</v>
      </c>
      <c r="K2378" s="198">
        <f t="shared" si="298"/>
        <v>0</v>
      </c>
      <c r="L2378" s="198">
        <f>COUNTIF(J2378:K2378,"&lt;&gt;0")*-'Trading Model'!$E$15</f>
        <v>0</v>
      </c>
      <c r="M2378" s="198">
        <f t="shared" si="296"/>
        <v>0</v>
      </c>
      <c r="N2378" s="75">
        <f t="shared" si="299"/>
        <v>71</v>
      </c>
      <c r="O2378" s="202">
        <f t="shared" si="300"/>
        <v>0</v>
      </c>
      <c r="P2378" s="199">
        <f t="shared" si="297"/>
        <v>0</v>
      </c>
      <c r="Q2378" s="203">
        <f t="shared" si="301"/>
        <v>-18.299999999998587</v>
      </c>
      <c r="R2378" s="160" t="s">
        <v>55</v>
      </c>
      <c r="S2378" s="201">
        <f t="shared" si="302"/>
        <v>-4.5100169549007307E-2</v>
      </c>
    </row>
    <row r="2379" spans="1:19">
      <c r="A2379" s="196">
        <v>43417</v>
      </c>
      <c r="B2379" s="122">
        <v>17.16</v>
      </c>
      <c r="C2379" s="122">
        <v>17.25</v>
      </c>
      <c r="D2379" s="122">
        <v>16.780000999999999</v>
      </c>
      <c r="E2379" s="122">
        <v>16.920000000000002</v>
      </c>
      <c r="F2379" s="122">
        <v>16.485346</v>
      </c>
      <c r="G2379" s="197">
        <v>283300</v>
      </c>
      <c r="H2379" s="198">
        <f>IF(AND(E2378&gt;=H2378,E2379&gt;=E2378),E2378*(1+'Trading Model'!$E$13),IF(AND(E2379&lt;E2378,E2378&gt;=H2378),E2379*(1+'Trading Model'!$E$13),H2378))</f>
        <v>39.921000000000006</v>
      </c>
      <c r="I2379" s="198">
        <f>IF(K2379&gt;0,E2379*(1-'Trading Model'!E2389),IF(E2379&lt;I2378,I2378*(1-'Trading Model'!$E$14),I2378))</f>
        <v>15.284806974272236</v>
      </c>
      <c r="J2379" s="198">
        <f t="shared" si="303"/>
        <v>0</v>
      </c>
      <c r="K2379" s="198">
        <f t="shared" si="298"/>
        <v>0</v>
      </c>
      <c r="L2379" s="198">
        <f>COUNTIF(J2379:K2379,"&lt;&gt;0")*-'Trading Model'!$E$15</f>
        <v>0</v>
      </c>
      <c r="M2379" s="198">
        <f t="shared" si="296"/>
        <v>0</v>
      </c>
      <c r="N2379" s="75">
        <f t="shared" si="299"/>
        <v>71</v>
      </c>
      <c r="O2379" s="202">
        <f t="shared" si="300"/>
        <v>0</v>
      </c>
      <c r="P2379" s="199">
        <f t="shared" si="297"/>
        <v>0</v>
      </c>
      <c r="Q2379" s="203">
        <f t="shared" si="301"/>
        <v>-18.399999999998588</v>
      </c>
      <c r="R2379" s="203" t="s">
        <v>55</v>
      </c>
      <c r="S2379" s="201">
        <f t="shared" si="302"/>
        <v>-1.341107871720093E-2</v>
      </c>
    </row>
    <row r="2380" spans="1:19">
      <c r="A2380" s="196">
        <v>43418</v>
      </c>
      <c r="B2380" s="122">
        <v>16.920000000000002</v>
      </c>
      <c r="C2380" s="122">
        <v>17.829999999999998</v>
      </c>
      <c r="D2380" s="122">
        <v>16.549999</v>
      </c>
      <c r="E2380" s="122">
        <v>17.639999</v>
      </c>
      <c r="F2380" s="122">
        <v>17.18685</v>
      </c>
      <c r="G2380" s="197">
        <v>269300</v>
      </c>
      <c r="H2380" s="198">
        <f>IF(AND(E2379&gt;=H2379,E2380&gt;=E2379),E2379*(1+'Trading Model'!$E$13),IF(AND(E2380&lt;E2379,E2379&gt;=H2379),E2380*(1+'Trading Model'!$E$13),H2379))</f>
        <v>39.921000000000006</v>
      </c>
      <c r="I2380" s="198">
        <f>IF(K2380&gt;0,E2380*(1-'Trading Model'!E2390),IF(E2380&lt;I2379,I2379*(1-'Trading Model'!$E$14),I2379))</f>
        <v>15.284806974272236</v>
      </c>
      <c r="J2380" s="198">
        <f t="shared" si="303"/>
        <v>0</v>
      </c>
      <c r="K2380" s="198">
        <f t="shared" si="298"/>
        <v>0</v>
      </c>
      <c r="L2380" s="198">
        <f>COUNTIF(J2380:K2380,"&lt;&gt;0")*-'Trading Model'!$E$15</f>
        <v>0</v>
      </c>
      <c r="M2380" s="198">
        <f t="shared" si="296"/>
        <v>0</v>
      </c>
      <c r="N2380" s="75">
        <f t="shared" si="299"/>
        <v>71</v>
      </c>
      <c r="O2380" s="202">
        <f t="shared" si="300"/>
        <v>0</v>
      </c>
      <c r="P2380" s="199">
        <f t="shared" si="297"/>
        <v>0</v>
      </c>
      <c r="Q2380" s="203">
        <f t="shared" si="301"/>
        <v>-18.399999999998588</v>
      </c>
      <c r="R2380" s="203" t="s">
        <v>55</v>
      </c>
      <c r="S2380" s="201">
        <f t="shared" si="302"/>
        <v>4.2553132387706638E-2</v>
      </c>
    </row>
    <row r="2381" spans="1:19">
      <c r="A2381" s="196">
        <v>43419</v>
      </c>
      <c r="B2381" s="122">
        <v>17.510000000000002</v>
      </c>
      <c r="C2381" s="122">
        <v>18.02</v>
      </c>
      <c r="D2381" s="122">
        <v>17.040001</v>
      </c>
      <c r="E2381" s="122">
        <v>17.66</v>
      </c>
      <c r="F2381" s="122">
        <v>17.206337000000001</v>
      </c>
      <c r="G2381" s="197">
        <v>185500</v>
      </c>
      <c r="H2381" s="198">
        <f>IF(AND(E2380&gt;=H2380,E2381&gt;=E2380),E2380*(1+'Trading Model'!$E$13),IF(AND(E2381&lt;E2380,E2380&gt;=H2380),E2381*(1+'Trading Model'!$E$13),H2380))</f>
        <v>39.921000000000006</v>
      </c>
      <c r="I2381" s="198">
        <f>IF(K2381&gt;0,E2381*(1-'Trading Model'!E2391),IF(E2381&lt;I2380,I2380*(1-'Trading Model'!$E$14),I2380))</f>
        <v>15.284806974272236</v>
      </c>
      <c r="J2381" s="198">
        <f t="shared" si="303"/>
        <v>0</v>
      </c>
      <c r="K2381" s="198">
        <f t="shared" si="298"/>
        <v>0</v>
      </c>
      <c r="L2381" s="198">
        <f>COUNTIF(J2381:K2381,"&lt;&gt;0")*-'Trading Model'!$E$15</f>
        <v>0</v>
      </c>
      <c r="M2381" s="198">
        <f t="shared" si="296"/>
        <v>0</v>
      </c>
      <c r="N2381" s="75">
        <f t="shared" si="299"/>
        <v>71</v>
      </c>
      <c r="O2381" s="202">
        <f t="shared" si="300"/>
        <v>0</v>
      </c>
      <c r="P2381" s="199">
        <f t="shared" si="297"/>
        <v>0</v>
      </c>
      <c r="Q2381" s="203">
        <f t="shared" si="301"/>
        <v>-18.399999999998588</v>
      </c>
      <c r="R2381" s="203" t="s">
        <v>55</v>
      </c>
      <c r="S2381" s="201">
        <f t="shared" si="302"/>
        <v>1.1338436016918862E-3</v>
      </c>
    </row>
    <row r="2382" spans="1:19">
      <c r="A2382" s="196">
        <v>43420</v>
      </c>
      <c r="B2382" s="122">
        <v>17.620000999999998</v>
      </c>
      <c r="C2382" s="122">
        <v>17.829999999999998</v>
      </c>
      <c r="D2382" s="122">
        <v>17.16</v>
      </c>
      <c r="E2382" s="122">
        <v>17.23</v>
      </c>
      <c r="F2382" s="122">
        <v>16.787382000000001</v>
      </c>
      <c r="G2382" s="197">
        <v>123800</v>
      </c>
      <c r="H2382" s="198">
        <f>IF(AND(E2381&gt;=H2381,E2382&gt;=E2381),E2381*(1+'Trading Model'!$E$13),IF(AND(E2382&lt;E2381,E2381&gt;=H2381),E2382*(1+'Trading Model'!$E$13),H2381))</f>
        <v>39.921000000000006</v>
      </c>
      <c r="I2382" s="198">
        <f>IF(K2382&gt;0,E2382*(1-'Trading Model'!E2392),IF(E2382&lt;I2381,I2381*(1-'Trading Model'!$E$14),I2381))</f>
        <v>15.284806974272236</v>
      </c>
      <c r="J2382" s="198">
        <f t="shared" si="303"/>
        <v>0</v>
      </c>
      <c r="K2382" s="198">
        <f t="shared" si="298"/>
        <v>0</v>
      </c>
      <c r="L2382" s="198">
        <f>COUNTIF(J2382:K2382,"&lt;&gt;0")*-'Trading Model'!$E$15</f>
        <v>0</v>
      </c>
      <c r="M2382" s="198">
        <f t="shared" si="296"/>
        <v>0</v>
      </c>
      <c r="N2382" s="75">
        <f t="shared" si="299"/>
        <v>71</v>
      </c>
      <c r="O2382" s="202">
        <f t="shared" si="300"/>
        <v>0</v>
      </c>
      <c r="P2382" s="199">
        <f t="shared" si="297"/>
        <v>0</v>
      </c>
      <c r="Q2382" s="203">
        <f t="shared" si="301"/>
        <v>-18.49999999999859</v>
      </c>
      <c r="R2382" s="201">
        <f>E2382/B2378-1</f>
        <v>-2.6003446805910158E-2</v>
      </c>
      <c r="S2382" s="201">
        <f t="shared" si="302"/>
        <v>-2.4348810872027116E-2</v>
      </c>
    </row>
    <row r="2383" spans="1:19">
      <c r="A2383" s="196">
        <v>43423</v>
      </c>
      <c r="B2383" s="122">
        <v>17.139999</v>
      </c>
      <c r="C2383" s="122">
        <v>17.200001</v>
      </c>
      <c r="D2383" s="122">
        <v>16.809999000000001</v>
      </c>
      <c r="E2383" s="122">
        <v>17.100000000000001</v>
      </c>
      <c r="F2383" s="122">
        <v>16.660723000000001</v>
      </c>
      <c r="G2383" s="197">
        <v>135500</v>
      </c>
      <c r="H2383" s="198">
        <f>IF(AND(E2382&gt;=H2382,E2383&gt;=E2382),E2382*(1+'Trading Model'!$E$13),IF(AND(E2383&lt;E2382,E2382&gt;=H2382),E2383*(1+'Trading Model'!$E$13),H2382))</f>
        <v>39.921000000000006</v>
      </c>
      <c r="I2383" s="198">
        <f>IF(K2383&gt;0,E2383*(1-'Trading Model'!E2393),IF(E2383&lt;I2382,I2382*(1-'Trading Model'!$E$14),I2382))</f>
        <v>15.284806974272236</v>
      </c>
      <c r="J2383" s="198">
        <f t="shared" si="303"/>
        <v>0</v>
      </c>
      <c r="K2383" s="198">
        <f t="shared" si="298"/>
        <v>0</v>
      </c>
      <c r="L2383" s="198">
        <f>COUNTIF(J2383:K2383,"&lt;&gt;0")*-'Trading Model'!$E$15</f>
        <v>0</v>
      </c>
      <c r="M2383" s="198">
        <f t="shared" si="296"/>
        <v>0</v>
      </c>
      <c r="N2383" s="75">
        <f t="shared" si="299"/>
        <v>71</v>
      </c>
      <c r="O2383" s="202">
        <f t="shared" si="300"/>
        <v>0</v>
      </c>
      <c r="P2383" s="199">
        <f t="shared" si="297"/>
        <v>0</v>
      </c>
      <c r="Q2383" s="203">
        <f t="shared" si="301"/>
        <v>-18.599999999998591</v>
      </c>
      <c r="R2383" s="160" t="s">
        <v>55</v>
      </c>
      <c r="S2383" s="201">
        <f t="shared" si="302"/>
        <v>-7.5449796865930674E-3</v>
      </c>
    </row>
    <row r="2384" spans="1:19">
      <c r="A2384" s="196">
        <v>43424</v>
      </c>
      <c r="B2384" s="122">
        <v>16.93</v>
      </c>
      <c r="C2384" s="122">
        <v>17.440000999999999</v>
      </c>
      <c r="D2384" s="122">
        <v>16.27</v>
      </c>
      <c r="E2384" s="122">
        <v>17.010000000000002</v>
      </c>
      <c r="F2384" s="122">
        <v>16.573034</v>
      </c>
      <c r="G2384" s="197">
        <v>181000</v>
      </c>
      <c r="H2384" s="198">
        <f>IF(AND(E2383&gt;=H2383,E2384&gt;=E2383),E2383*(1+'Trading Model'!$E$13),IF(AND(E2384&lt;E2383,E2383&gt;=H2383),E2384*(1+'Trading Model'!$E$13),H2383))</f>
        <v>39.921000000000006</v>
      </c>
      <c r="I2384" s="198">
        <f>IF(K2384&gt;0,E2384*(1-'Trading Model'!E2394),IF(E2384&lt;I2383,I2383*(1-'Trading Model'!$E$14),I2383))</f>
        <v>15.284806974272236</v>
      </c>
      <c r="J2384" s="198">
        <f t="shared" si="303"/>
        <v>0</v>
      </c>
      <c r="K2384" s="198">
        <f t="shared" si="298"/>
        <v>0</v>
      </c>
      <c r="L2384" s="198">
        <f>COUNTIF(J2384:K2384,"&lt;&gt;0")*-'Trading Model'!$E$15</f>
        <v>0</v>
      </c>
      <c r="M2384" s="198">
        <f t="shared" si="296"/>
        <v>0</v>
      </c>
      <c r="N2384" s="75">
        <f t="shared" si="299"/>
        <v>71</v>
      </c>
      <c r="O2384" s="202">
        <f t="shared" si="300"/>
        <v>0</v>
      </c>
      <c r="P2384" s="199">
        <f t="shared" si="297"/>
        <v>0</v>
      </c>
      <c r="Q2384" s="203">
        <f t="shared" si="301"/>
        <v>-18.699999999998592</v>
      </c>
      <c r="R2384" s="203" t="s">
        <v>55</v>
      </c>
      <c r="S2384" s="201">
        <f t="shared" si="302"/>
        <v>-5.2631578947368585E-3</v>
      </c>
    </row>
    <row r="2385" spans="1:19">
      <c r="A2385" s="196">
        <v>43425</v>
      </c>
      <c r="B2385" s="122">
        <v>17.049999</v>
      </c>
      <c r="C2385" s="122">
        <v>17.600000000000001</v>
      </c>
      <c r="D2385" s="122">
        <v>17.040001</v>
      </c>
      <c r="E2385" s="122">
        <v>17.16</v>
      </c>
      <c r="F2385" s="122">
        <v>16.719180999999999</v>
      </c>
      <c r="G2385" s="197">
        <v>113700</v>
      </c>
      <c r="H2385" s="198">
        <f>IF(AND(E2384&gt;=H2384,E2385&gt;=E2384),E2384*(1+'Trading Model'!$E$13),IF(AND(E2385&lt;E2384,E2384&gt;=H2384),E2385*(1+'Trading Model'!$E$13),H2384))</f>
        <v>39.921000000000006</v>
      </c>
      <c r="I2385" s="198">
        <f>IF(K2385&gt;0,E2385*(1-'Trading Model'!E2395),IF(E2385&lt;I2384,I2384*(1-'Trading Model'!$E$14),I2384))</f>
        <v>15.284806974272236</v>
      </c>
      <c r="J2385" s="198">
        <f t="shared" si="303"/>
        <v>0</v>
      </c>
      <c r="K2385" s="198">
        <f t="shared" si="298"/>
        <v>0</v>
      </c>
      <c r="L2385" s="198">
        <f>COUNTIF(J2385:K2385,"&lt;&gt;0")*-'Trading Model'!$E$15</f>
        <v>0</v>
      </c>
      <c r="M2385" s="198">
        <f t="shared" si="296"/>
        <v>0</v>
      </c>
      <c r="N2385" s="75">
        <f t="shared" si="299"/>
        <v>71</v>
      </c>
      <c r="O2385" s="202">
        <f t="shared" si="300"/>
        <v>0</v>
      </c>
      <c r="P2385" s="199">
        <f t="shared" si="297"/>
        <v>0</v>
      </c>
      <c r="Q2385" s="203">
        <f t="shared" si="301"/>
        <v>-18.699999999998592</v>
      </c>
      <c r="R2385" s="203" t="s">
        <v>55</v>
      </c>
      <c r="S2385" s="201">
        <f t="shared" si="302"/>
        <v>8.818342151675429E-3</v>
      </c>
    </row>
    <row r="2386" spans="1:19">
      <c r="A2386" s="196">
        <v>43427</v>
      </c>
      <c r="B2386" s="122">
        <v>17.010000000000002</v>
      </c>
      <c r="C2386" s="122">
        <v>17.299999</v>
      </c>
      <c r="D2386" s="122">
        <v>16.620000999999998</v>
      </c>
      <c r="E2386" s="122">
        <v>16.82</v>
      </c>
      <c r="F2386" s="122">
        <v>16.387915</v>
      </c>
      <c r="G2386" s="197">
        <v>59300</v>
      </c>
      <c r="H2386" s="198">
        <f>IF(AND(E2385&gt;=H2385,E2386&gt;=E2385),E2385*(1+'Trading Model'!$E$13),IF(AND(E2386&lt;E2385,E2385&gt;=H2385),E2386*(1+'Trading Model'!$E$13),H2385))</f>
        <v>39.921000000000006</v>
      </c>
      <c r="I2386" s="198">
        <f>IF(K2386&gt;0,E2386*(1-'Trading Model'!E2396),IF(E2386&lt;I2385,I2385*(1-'Trading Model'!$E$14),I2385))</f>
        <v>15.284806974272236</v>
      </c>
      <c r="J2386" s="198">
        <f t="shared" si="303"/>
        <v>0</v>
      </c>
      <c r="K2386" s="198">
        <f t="shared" si="298"/>
        <v>0</v>
      </c>
      <c r="L2386" s="198">
        <f>COUNTIF(J2386:K2386,"&lt;&gt;0")*-'Trading Model'!$E$15</f>
        <v>0</v>
      </c>
      <c r="M2386" s="198">
        <f t="shared" si="296"/>
        <v>0</v>
      </c>
      <c r="N2386" s="75">
        <f t="shared" si="299"/>
        <v>71</v>
      </c>
      <c r="O2386" s="202">
        <f t="shared" si="300"/>
        <v>0</v>
      </c>
      <c r="P2386" s="199">
        <f t="shared" si="297"/>
        <v>0</v>
      </c>
      <c r="Q2386" s="203">
        <f t="shared" si="301"/>
        <v>-18.799999999998594</v>
      </c>
      <c r="R2386" s="203" t="s">
        <v>55</v>
      </c>
      <c r="S2386" s="201">
        <f t="shared" si="302"/>
        <v>-1.9813519813519753E-2</v>
      </c>
    </row>
    <row r="2387" spans="1:19">
      <c r="A2387" s="196">
        <v>43430</v>
      </c>
      <c r="B2387" s="122">
        <v>16.790001</v>
      </c>
      <c r="C2387" s="122">
        <v>17.579999999999998</v>
      </c>
      <c r="D2387" s="122">
        <v>16.5</v>
      </c>
      <c r="E2387" s="122">
        <v>17.510000000000002</v>
      </c>
      <c r="F2387" s="122">
        <v>17.060189999999999</v>
      </c>
      <c r="G2387" s="197">
        <v>217100</v>
      </c>
      <c r="H2387" s="198">
        <f>IF(AND(E2386&gt;=H2386,E2387&gt;=E2386),E2386*(1+'Trading Model'!$E$13),IF(AND(E2387&lt;E2386,E2386&gt;=H2386),E2387*(1+'Trading Model'!$E$13),H2386))</f>
        <v>39.921000000000006</v>
      </c>
      <c r="I2387" s="198">
        <f>IF(K2387&gt;0,E2387*(1-'Trading Model'!E2397),IF(E2387&lt;I2386,I2386*(1-'Trading Model'!$E$14),I2386))</f>
        <v>15.284806974272236</v>
      </c>
      <c r="J2387" s="198">
        <f t="shared" si="303"/>
        <v>0</v>
      </c>
      <c r="K2387" s="198">
        <f t="shared" si="298"/>
        <v>0</v>
      </c>
      <c r="L2387" s="198">
        <f>COUNTIF(J2387:K2387,"&lt;&gt;0")*-'Trading Model'!$E$15</f>
        <v>0</v>
      </c>
      <c r="M2387" s="198">
        <f t="shared" si="296"/>
        <v>0</v>
      </c>
      <c r="N2387" s="75">
        <f t="shared" si="299"/>
        <v>71</v>
      </c>
      <c r="O2387" s="202">
        <f t="shared" si="300"/>
        <v>0</v>
      </c>
      <c r="P2387" s="199">
        <f t="shared" si="297"/>
        <v>0</v>
      </c>
      <c r="Q2387" s="203">
        <f t="shared" si="301"/>
        <v>-18.799999999998594</v>
      </c>
      <c r="R2387" s="201">
        <f>E2387/B2383-1</f>
        <v>2.1586990757700875E-2</v>
      </c>
      <c r="S2387" s="201">
        <f t="shared" si="302"/>
        <v>4.1022592152199833E-2</v>
      </c>
    </row>
    <row r="2388" spans="1:19">
      <c r="A2388" s="196">
        <v>43431</v>
      </c>
      <c r="B2388" s="122">
        <v>17.440000999999999</v>
      </c>
      <c r="C2388" s="122">
        <v>17.579999999999998</v>
      </c>
      <c r="D2388" s="122">
        <v>17.209999</v>
      </c>
      <c r="E2388" s="122">
        <v>17.32</v>
      </c>
      <c r="F2388" s="122">
        <v>16.875070999999998</v>
      </c>
      <c r="G2388" s="197">
        <v>87200</v>
      </c>
      <c r="H2388" s="198">
        <f>IF(AND(E2387&gt;=H2387,E2388&gt;=E2387),E2387*(1+'Trading Model'!$E$13),IF(AND(E2388&lt;E2387,E2387&gt;=H2387),E2388*(1+'Trading Model'!$E$13),H2387))</f>
        <v>39.921000000000006</v>
      </c>
      <c r="I2388" s="198">
        <f>IF(K2388&gt;0,E2388*(1-'Trading Model'!E2398),IF(E2388&lt;I2387,I2387*(1-'Trading Model'!$E$14),I2387))</f>
        <v>15.284806974272236</v>
      </c>
      <c r="J2388" s="198">
        <f t="shared" si="303"/>
        <v>0</v>
      </c>
      <c r="K2388" s="198">
        <f t="shared" si="298"/>
        <v>0</v>
      </c>
      <c r="L2388" s="198">
        <f>COUNTIF(J2388:K2388,"&lt;&gt;0")*-'Trading Model'!$E$15</f>
        <v>0</v>
      </c>
      <c r="M2388" s="198">
        <f t="shared" si="296"/>
        <v>0</v>
      </c>
      <c r="N2388" s="75">
        <f t="shared" si="299"/>
        <v>71</v>
      </c>
      <c r="O2388" s="202">
        <f t="shared" si="300"/>
        <v>0</v>
      </c>
      <c r="P2388" s="199">
        <f t="shared" si="297"/>
        <v>0</v>
      </c>
      <c r="Q2388" s="203">
        <f t="shared" si="301"/>
        <v>-18.899999999998595</v>
      </c>
      <c r="R2388" s="160" t="s">
        <v>55</v>
      </c>
      <c r="S2388" s="201">
        <f t="shared" si="302"/>
        <v>-1.0850942318675116E-2</v>
      </c>
    </row>
    <row r="2389" spans="1:19">
      <c r="A2389" s="196">
        <v>43432</v>
      </c>
      <c r="B2389" s="122">
        <v>17.290001</v>
      </c>
      <c r="C2389" s="122">
        <v>17.59</v>
      </c>
      <c r="D2389" s="122">
        <v>16.77</v>
      </c>
      <c r="E2389" s="122">
        <v>17.510000000000002</v>
      </c>
      <c r="F2389" s="122">
        <v>17.060189999999999</v>
      </c>
      <c r="G2389" s="197">
        <v>84800</v>
      </c>
      <c r="H2389" s="198">
        <f>IF(AND(E2388&gt;=H2388,E2389&gt;=E2388),E2388*(1+'Trading Model'!$E$13),IF(AND(E2389&lt;E2388,E2388&gt;=H2388),E2389*(1+'Trading Model'!$E$13),H2388))</f>
        <v>39.921000000000006</v>
      </c>
      <c r="I2389" s="198">
        <f>IF(K2389&gt;0,E2389*(1-'Trading Model'!E2399),IF(E2389&lt;I2388,I2388*(1-'Trading Model'!$E$14),I2388))</f>
        <v>15.284806974272236</v>
      </c>
      <c r="J2389" s="198">
        <f t="shared" si="303"/>
        <v>0</v>
      </c>
      <c r="K2389" s="198">
        <f t="shared" si="298"/>
        <v>0</v>
      </c>
      <c r="L2389" s="198">
        <f>COUNTIF(J2389:K2389,"&lt;&gt;0")*-'Trading Model'!$E$15</f>
        <v>0</v>
      </c>
      <c r="M2389" s="198">
        <f t="shared" si="296"/>
        <v>0</v>
      </c>
      <c r="N2389" s="75">
        <f t="shared" si="299"/>
        <v>71</v>
      </c>
      <c r="O2389" s="202">
        <f t="shared" si="300"/>
        <v>0</v>
      </c>
      <c r="P2389" s="199">
        <f t="shared" si="297"/>
        <v>0</v>
      </c>
      <c r="Q2389" s="203">
        <f t="shared" si="301"/>
        <v>-18.899999999998595</v>
      </c>
      <c r="R2389" s="203" t="s">
        <v>55</v>
      </c>
      <c r="S2389" s="201">
        <f t="shared" si="302"/>
        <v>1.0969976905311762E-2</v>
      </c>
    </row>
    <row r="2390" spans="1:19">
      <c r="A2390" s="196">
        <v>43433</v>
      </c>
      <c r="B2390" s="122">
        <v>17.350000000000001</v>
      </c>
      <c r="C2390" s="122">
        <v>17.649999999999999</v>
      </c>
      <c r="D2390" s="122">
        <v>17.139999</v>
      </c>
      <c r="E2390" s="122">
        <v>17.200001</v>
      </c>
      <c r="F2390" s="122">
        <v>16.758154000000001</v>
      </c>
      <c r="G2390" s="197">
        <v>185100</v>
      </c>
      <c r="H2390" s="198">
        <f>IF(AND(E2389&gt;=H2389,E2390&gt;=E2389),E2389*(1+'Trading Model'!$E$13),IF(AND(E2390&lt;E2389,E2389&gt;=H2389),E2390*(1+'Trading Model'!$E$13),H2389))</f>
        <v>39.921000000000006</v>
      </c>
      <c r="I2390" s="198">
        <f>IF(K2390&gt;0,E2390*(1-'Trading Model'!E2400),IF(E2390&lt;I2389,I2389*(1-'Trading Model'!$E$14),I2389))</f>
        <v>15.284806974272236</v>
      </c>
      <c r="J2390" s="198">
        <f t="shared" si="303"/>
        <v>0</v>
      </c>
      <c r="K2390" s="198">
        <f t="shared" si="298"/>
        <v>0</v>
      </c>
      <c r="L2390" s="198">
        <f>COUNTIF(J2390:K2390,"&lt;&gt;0")*-'Trading Model'!$E$15</f>
        <v>0</v>
      </c>
      <c r="M2390" s="198">
        <f t="shared" si="296"/>
        <v>0</v>
      </c>
      <c r="N2390" s="75">
        <f t="shared" si="299"/>
        <v>71</v>
      </c>
      <c r="O2390" s="202">
        <f t="shared" si="300"/>
        <v>0</v>
      </c>
      <c r="P2390" s="199">
        <f t="shared" si="297"/>
        <v>0</v>
      </c>
      <c r="Q2390" s="203">
        <f t="shared" si="301"/>
        <v>-18.999999999998597</v>
      </c>
      <c r="R2390" s="203" t="s">
        <v>55</v>
      </c>
      <c r="S2390" s="201">
        <f t="shared" si="302"/>
        <v>-1.7704111936036604E-2</v>
      </c>
    </row>
    <row r="2391" spans="1:19">
      <c r="A2391" s="196">
        <v>43434</v>
      </c>
      <c r="B2391" s="122">
        <v>17.049999</v>
      </c>
      <c r="C2391" s="122">
        <v>17.530000999999999</v>
      </c>
      <c r="D2391" s="122">
        <v>17.049999</v>
      </c>
      <c r="E2391" s="122">
        <v>17.18</v>
      </c>
      <c r="F2391" s="122">
        <v>16.738667</v>
      </c>
      <c r="G2391" s="197">
        <v>81600</v>
      </c>
      <c r="H2391" s="198">
        <f>IF(AND(E2390&gt;=H2390,E2391&gt;=E2390),E2390*(1+'Trading Model'!$E$13),IF(AND(E2391&lt;E2390,E2390&gt;=H2390),E2391*(1+'Trading Model'!$E$13),H2390))</f>
        <v>39.921000000000006</v>
      </c>
      <c r="I2391" s="198">
        <f>IF(K2391&gt;0,E2391*(1-'Trading Model'!E2401),IF(E2391&lt;I2390,I2390*(1-'Trading Model'!$E$14),I2390))</f>
        <v>15.284806974272236</v>
      </c>
      <c r="J2391" s="198">
        <f t="shared" si="303"/>
        <v>0</v>
      </c>
      <c r="K2391" s="198">
        <f t="shared" si="298"/>
        <v>0</v>
      </c>
      <c r="L2391" s="198">
        <f>COUNTIF(J2391:K2391,"&lt;&gt;0")*-'Trading Model'!$E$15</f>
        <v>0</v>
      </c>
      <c r="M2391" s="198">
        <f t="shared" si="296"/>
        <v>0</v>
      </c>
      <c r="N2391" s="75">
        <f t="shared" si="299"/>
        <v>71</v>
      </c>
      <c r="O2391" s="202">
        <f t="shared" si="300"/>
        <v>0</v>
      </c>
      <c r="P2391" s="199">
        <f t="shared" si="297"/>
        <v>0</v>
      </c>
      <c r="Q2391" s="203">
        <f t="shared" si="301"/>
        <v>-19.099999999998598</v>
      </c>
      <c r="R2391" s="203" t="s">
        <v>55</v>
      </c>
      <c r="S2391" s="201">
        <f t="shared" si="302"/>
        <v>-1.1628487696018208E-3</v>
      </c>
    </row>
    <row r="2392" spans="1:19">
      <c r="A2392" s="196">
        <v>43437</v>
      </c>
      <c r="B2392" s="122">
        <v>17.290001</v>
      </c>
      <c r="C2392" s="122">
        <v>17.530000999999999</v>
      </c>
      <c r="D2392" s="122">
        <v>16.530000999999999</v>
      </c>
      <c r="E2392" s="122">
        <v>17</v>
      </c>
      <c r="F2392" s="122">
        <v>16.563292000000001</v>
      </c>
      <c r="G2392" s="197">
        <v>245000</v>
      </c>
      <c r="H2392" s="198">
        <f>IF(AND(E2391&gt;=H2391,E2392&gt;=E2391),E2391*(1+'Trading Model'!$E$13),IF(AND(E2392&lt;E2391,E2391&gt;=H2391),E2392*(1+'Trading Model'!$E$13),H2391))</f>
        <v>39.921000000000006</v>
      </c>
      <c r="I2392" s="198">
        <f>IF(K2392&gt;0,E2392*(1-'Trading Model'!E2402),IF(E2392&lt;I2391,I2391*(1-'Trading Model'!$E$14),I2391))</f>
        <v>15.284806974272236</v>
      </c>
      <c r="J2392" s="198">
        <f t="shared" si="303"/>
        <v>0</v>
      </c>
      <c r="K2392" s="198">
        <f t="shared" si="298"/>
        <v>0</v>
      </c>
      <c r="L2392" s="198">
        <f>COUNTIF(J2392:K2392,"&lt;&gt;0")*-'Trading Model'!$E$15</f>
        <v>0</v>
      </c>
      <c r="M2392" s="198">
        <f t="shared" si="296"/>
        <v>0</v>
      </c>
      <c r="N2392" s="75">
        <f t="shared" si="299"/>
        <v>71</v>
      </c>
      <c r="O2392" s="202">
        <f t="shared" si="300"/>
        <v>0</v>
      </c>
      <c r="P2392" s="199">
        <f t="shared" si="297"/>
        <v>0</v>
      </c>
      <c r="Q2392" s="203">
        <f t="shared" si="301"/>
        <v>-19.1999999999986</v>
      </c>
      <c r="R2392" s="201">
        <f>E2392/B2388-1</f>
        <v>-2.5229413690973868E-2</v>
      </c>
      <c r="S2392" s="201">
        <f t="shared" si="302"/>
        <v>-1.0477299185098987E-2</v>
      </c>
    </row>
    <row r="2393" spans="1:19">
      <c r="A2393" s="196">
        <v>43438</v>
      </c>
      <c r="B2393" s="122">
        <v>16.940000999999999</v>
      </c>
      <c r="C2393" s="122">
        <v>17.149999999999999</v>
      </c>
      <c r="D2393" s="122">
        <v>16.52</v>
      </c>
      <c r="E2393" s="122">
        <v>16.639999</v>
      </c>
      <c r="F2393" s="122">
        <v>16.212537999999999</v>
      </c>
      <c r="G2393" s="197">
        <v>105800</v>
      </c>
      <c r="H2393" s="198">
        <f>IF(AND(E2392&gt;=H2392,E2393&gt;=E2392),E2392*(1+'Trading Model'!$E$13),IF(AND(E2393&lt;E2392,E2392&gt;=H2392),E2393*(1+'Trading Model'!$E$13),H2392))</f>
        <v>39.921000000000006</v>
      </c>
      <c r="I2393" s="198">
        <f>IF(K2393&gt;0,E2393*(1-'Trading Model'!E2403),IF(E2393&lt;I2392,I2392*(1-'Trading Model'!$E$14),I2392))</f>
        <v>15.284806974272236</v>
      </c>
      <c r="J2393" s="198">
        <f t="shared" si="303"/>
        <v>0</v>
      </c>
      <c r="K2393" s="198">
        <f t="shared" si="298"/>
        <v>0</v>
      </c>
      <c r="L2393" s="198">
        <f>COUNTIF(J2393:K2393,"&lt;&gt;0")*-'Trading Model'!$E$15</f>
        <v>0</v>
      </c>
      <c r="M2393" s="198">
        <f t="shared" si="296"/>
        <v>0</v>
      </c>
      <c r="N2393" s="75">
        <f t="shared" si="299"/>
        <v>71</v>
      </c>
      <c r="O2393" s="202">
        <f t="shared" si="300"/>
        <v>0</v>
      </c>
      <c r="P2393" s="199">
        <f t="shared" si="297"/>
        <v>0</v>
      </c>
      <c r="Q2393" s="203">
        <f t="shared" si="301"/>
        <v>-19.299999999998601</v>
      </c>
      <c r="R2393" s="160" t="s">
        <v>55</v>
      </c>
      <c r="S2393" s="201">
        <f t="shared" si="302"/>
        <v>-2.1176529411764733E-2</v>
      </c>
    </row>
    <row r="2394" spans="1:19">
      <c r="A2394" s="196">
        <v>43440</v>
      </c>
      <c r="B2394" s="122">
        <v>16.32</v>
      </c>
      <c r="C2394" s="122">
        <v>17.389999</v>
      </c>
      <c r="D2394" s="122">
        <v>16.32</v>
      </c>
      <c r="E2394" s="122">
        <v>16.950001</v>
      </c>
      <c r="F2394" s="122">
        <v>16.514576000000002</v>
      </c>
      <c r="G2394" s="197">
        <v>332400</v>
      </c>
      <c r="H2394" s="198">
        <f>IF(AND(E2393&gt;=H2393,E2394&gt;=E2393),E2393*(1+'Trading Model'!$E$13),IF(AND(E2394&lt;E2393,E2393&gt;=H2393),E2394*(1+'Trading Model'!$E$13),H2393))</f>
        <v>39.921000000000006</v>
      </c>
      <c r="I2394" s="198">
        <f>IF(K2394&gt;0,E2394*(1-'Trading Model'!E2404),IF(E2394&lt;I2393,I2393*(1-'Trading Model'!$E$14),I2393))</f>
        <v>15.284806974272236</v>
      </c>
      <c r="J2394" s="198">
        <f t="shared" si="303"/>
        <v>0</v>
      </c>
      <c r="K2394" s="198">
        <f t="shared" si="298"/>
        <v>0</v>
      </c>
      <c r="L2394" s="198">
        <f>COUNTIF(J2394:K2394,"&lt;&gt;0")*-'Trading Model'!$E$15</f>
        <v>0</v>
      </c>
      <c r="M2394" s="198">
        <f t="shared" si="296"/>
        <v>0</v>
      </c>
      <c r="N2394" s="75">
        <f t="shared" si="299"/>
        <v>71</v>
      </c>
      <c r="O2394" s="202">
        <f t="shared" si="300"/>
        <v>0</v>
      </c>
      <c r="P2394" s="199">
        <f t="shared" si="297"/>
        <v>0</v>
      </c>
      <c r="Q2394" s="203">
        <f t="shared" si="301"/>
        <v>-19.299999999998601</v>
      </c>
      <c r="R2394" s="203" t="s">
        <v>55</v>
      </c>
      <c r="S2394" s="201">
        <f t="shared" si="302"/>
        <v>1.8629929004202461E-2</v>
      </c>
    </row>
    <row r="2395" spans="1:19">
      <c r="A2395" s="196">
        <v>43441</v>
      </c>
      <c r="B2395" s="122">
        <v>16.93</v>
      </c>
      <c r="C2395" s="122">
        <v>17.209999</v>
      </c>
      <c r="D2395" s="122">
        <v>16.290001</v>
      </c>
      <c r="E2395" s="122">
        <v>16.43</v>
      </c>
      <c r="F2395" s="122">
        <v>16.007935</v>
      </c>
      <c r="G2395" s="197">
        <v>72500</v>
      </c>
      <c r="H2395" s="198">
        <f>IF(AND(E2394&gt;=H2394,E2395&gt;=E2394),E2394*(1+'Trading Model'!$E$13),IF(AND(E2395&lt;E2394,E2394&gt;=H2394),E2395*(1+'Trading Model'!$E$13),H2394))</f>
        <v>39.921000000000006</v>
      </c>
      <c r="I2395" s="198">
        <f>IF(K2395&gt;0,E2395*(1-'Trading Model'!E2405),IF(E2395&lt;I2394,I2394*(1-'Trading Model'!$E$14),I2394))</f>
        <v>15.284806974272236</v>
      </c>
      <c r="J2395" s="198">
        <f t="shared" si="303"/>
        <v>0</v>
      </c>
      <c r="K2395" s="198">
        <f t="shared" si="298"/>
        <v>0</v>
      </c>
      <c r="L2395" s="198">
        <f>COUNTIF(J2395:K2395,"&lt;&gt;0")*-'Trading Model'!$E$15</f>
        <v>0</v>
      </c>
      <c r="M2395" s="198">
        <f t="shared" si="296"/>
        <v>0</v>
      </c>
      <c r="N2395" s="75">
        <f t="shared" si="299"/>
        <v>71</v>
      </c>
      <c r="O2395" s="202">
        <f t="shared" si="300"/>
        <v>0</v>
      </c>
      <c r="P2395" s="199">
        <f t="shared" si="297"/>
        <v>0</v>
      </c>
      <c r="Q2395" s="203">
        <f t="shared" si="301"/>
        <v>-19.399999999998602</v>
      </c>
      <c r="R2395" s="203" t="s">
        <v>55</v>
      </c>
      <c r="S2395" s="201">
        <f t="shared" si="302"/>
        <v>-3.0678523263803936E-2</v>
      </c>
    </row>
    <row r="2396" spans="1:19">
      <c r="A2396" s="196">
        <v>43444</v>
      </c>
      <c r="B2396" s="122">
        <v>16.219999000000001</v>
      </c>
      <c r="C2396" s="122">
        <v>16.59</v>
      </c>
      <c r="D2396" s="122">
        <v>16.030000999999999</v>
      </c>
      <c r="E2396" s="122">
        <v>16.209999</v>
      </c>
      <c r="F2396" s="122">
        <v>15.793583999999999</v>
      </c>
      <c r="G2396" s="197">
        <v>136800</v>
      </c>
      <c r="H2396" s="198">
        <f>IF(AND(E2395&gt;=H2395,E2396&gt;=E2395),E2395*(1+'Trading Model'!$E$13),IF(AND(E2396&lt;E2395,E2395&gt;=H2395),E2396*(1+'Trading Model'!$E$13),H2395))</f>
        <v>39.921000000000006</v>
      </c>
      <c r="I2396" s="198">
        <f>IF(K2396&gt;0,E2396*(1-'Trading Model'!E2406),IF(E2396&lt;I2395,I2395*(1-'Trading Model'!$E$14),I2395))</f>
        <v>15.284806974272236</v>
      </c>
      <c r="J2396" s="198">
        <f t="shared" si="303"/>
        <v>0</v>
      </c>
      <c r="K2396" s="198">
        <f t="shared" si="298"/>
        <v>0</v>
      </c>
      <c r="L2396" s="198">
        <f>COUNTIF(J2396:K2396,"&lt;&gt;0")*-'Trading Model'!$E$15</f>
        <v>0</v>
      </c>
      <c r="M2396" s="198">
        <f t="shared" si="296"/>
        <v>0</v>
      </c>
      <c r="N2396" s="75">
        <f t="shared" si="299"/>
        <v>71</v>
      </c>
      <c r="O2396" s="202">
        <f t="shared" si="300"/>
        <v>0</v>
      </c>
      <c r="P2396" s="199">
        <f t="shared" si="297"/>
        <v>0</v>
      </c>
      <c r="Q2396" s="203">
        <f t="shared" si="301"/>
        <v>-19.499999999998604</v>
      </c>
      <c r="R2396" s="203" t="s">
        <v>55</v>
      </c>
      <c r="S2396" s="201">
        <f t="shared" si="302"/>
        <v>-1.3390200852099854E-2</v>
      </c>
    </row>
    <row r="2397" spans="1:19">
      <c r="A2397" s="196">
        <v>43445</v>
      </c>
      <c r="B2397" s="122">
        <v>16.309999000000001</v>
      </c>
      <c r="C2397" s="122">
        <v>17.040001</v>
      </c>
      <c r="D2397" s="122">
        <v>16.09</v>
      </c>
      <c r="E2397" s="122">
        <v>16.879999000000002</v>
      </c>
      <c r="F2397" s="122">
        <v>16.446373000000001</v>
      </c>
      <c r="G2397" s="197">
        <v>136500</v>
      </c>
      <c r="H2397" s="198">
        <f>IF(AND(E2396&gt;=H2396,E2397&gt;=E2396),E2396*(1+'Trading Model'!$E$13),IF(AND(E2397&lt;E2396,E2396&gt;=H2396),E2397*(1+'Trading Model'!$E$13),H2396))</f>
        <v>39.921000000000006</v>
      </c>
      <c r="I2397" s="198">
        <f>IF(K2397&gt;0,E2397*(1-'Trading Model'!E2407),IF(E2397&lt;I2396,I2396*(1-'Trading Model'!$E$14),I2396))</f>
        <v>15.284806974272236</v>
      </c>
      <c r="J2397" s="198">
        <f t="shared" si="303"/>
        <v>0</v>
      </c>
      <c r="K2397" s="198">
        <f t="shared" si="298"/>
        <v>0</v>
      </c>
      <c r="L2397" s="198">
        <f>COUNTIF(J2397:K2397,"&lt;&gt;0")*-'Trading Model'!$E$15</f>
        <v>0</v>
      </c>
      <c r="M2397" s="198">
        <f t="shared" si="296"/>
        <v>0</v>
      </c>
      <c r="N2397" s="75">
        <f t="shared" si="299"/>
        <v>71</v>
      </c>
      <c r="O2397" s="202">
        <f t="shared" si="300"/>
        <v>0</v>
      </c>
      <c r="P2397" s="199">
        <f t="shared" si="297"/>
        <v>0</v>
      </c>
      <c r="Q2397" s="203">
        <f t="shared" si="301"/>
        <v>-19.499999999998604</v>
      </c>
      <c r="R2397" s="201">
        <f>E2397/B2393-1</f>
        <v>-3.5420304874832498E-3</v>
      </c>
      <c r="S2397" s="201">
        <f t="shared" si="302"/>
        <v>4.1332513345620825E-2</v>
      </c>
    </row>
    <row r="2398" spans="1:19">
      <c r="A2398" s="196">
        <v>43446</v>
      </c>
      <c r="B2398" s="122">
        <v>17.209999</v>
      </c>
      <c r="C2398" s="122">
        <v>17.389999</v>
      </c>
      <c r="D2398" s="122">
        <v>16.299999</v>
      </c>
      <c r="E2398" s="122">
        <v>16.649999999999999</v>
      </c>
      <c r="F2398" s="122">
        <v>16.222282</v>
      </c>
      <c r="G2398" s="197">
        <v>136400</v>
      </c>
      <c r="H2398" s="198">
        <f>IF(AND(E2397&gt;=H2397,E2398&gt;=E2397),E2397*(1+'Trading Model'!$E$13),IF(AND(E2398&lt;E2397,E2397&gt;=H2397),E2398*(1+'Trading Model'!$E$13),H2397))</f>
        <v>39.921000000000006</v>
      </c>
      <c r="I2398" s="198">
        <f>IF(K2398&gt;0,E2398*(1-'Trading Model'!E2408),IF(E2398&lt;I2397,I2397*(1-'Trading Model'!$E$14),I2397))</f>
        <v>15.284806974272236</v>
      </c>
      <c r="J2398" s="198">
        <f t="shared" si="303"/>
        <v>0</v>
      </c>
      <c r="K2398" s="198">
        <f t="shared" si="298"/>
        <v>0</v>
      </c>
      <c r="L2398" s="198">
        <f>COUNTIF(J2398:K2398,"&lt;&gt;0")*-'Trading Model'!$E$15</f>
        <v>0</v>
      </c>
      <c r="M2398" s="198">
        <f t="shared" si="296"/>
        <v>0</v>
      </c>
      <c r="N2398" s="75">
        <f t="shared" si="299"/>
        <v>71</v>
      </c>
      <c r="O2398" s="202">
        <f t="shared" si="300"/>
        <v>0</v>
      </c>
      <c r="P2398" s="199">
        <f t="shared" si="297"/>
        <v>0</v>
      </c>
      <c r="Q2398" s="203">
        <f t="shared" si="301"/>
        <v>-19.599999999998605</v>
      </c>
      <c r="R2398" s="160" t="s">
        <v>55</v>
      </c>
      <c r="S2398" s="201">
        <f t="shared" si="302"/>
        <v>-1.3625533982555504E-2</v>
      </c>
    </row>
    <row r="2399" spans="1:19">
      <c r="A2399" s="196">
        <v>43447</v>
      </c>
      <c r="B2399" s="122">
        <v>16.52</v>
      </c>
      <c r="C2399" s="122">
        <v>16.59</v>
      </c>
      <c r="D2399" s="122">
        <v>16.170000000000002</v>
      </c>
      <c r="E2399" s="122">
        <v>16.379999000000002</v>
      </c>
      <c r="F2399" s="122">
        <v>15.959217000000001</v>
      </c>
      <c r="G2399" s="197">
        <v>78300</v>
      </c>
      <c r="H2399" s="198">
        <f>IF(AND(E2398&gt;=H2398,E2399&gt;=E2398),E2398*(1+'Trading Model'!$E$13),IF(AND(E2399&lt;E2398,E2398&gt;=H2398),E2399*(1+'Trading Model'!$E$13),H2398))</f>
        <v>39.921000000000006</v>
      </c>
      <c r="I2399" s="198">
        <f>IF(K2399&gt;0,E2399*(1-'Trading Model'!E2409),IF(E2399&lt;I2398,I2398*(1-'Trading Model'!$E$14),I2398))</f>
        <v>15.284806974272236</v>
      </c>
      <c r="J2399" s="198">
        <f t="shared" si="303"/>
        <v>0</v>
      </c>
      <c r="K2399" s="198">
        <f t="shared" si="298"/>
        <v>0</v>
      </c>
      <c r="L2399" s="198">
        <f>COUNTIF(J2399:K2399,"&lt;&gt;0")*-'Trading Model'!$E$15</f>
        <v>0</v>
      </c>
      <c r="M2399" s="198">
        <f t="shared" si="296"/>
        <v>0</v>
      </c>
      <c r="N2399" s="75">
        <f t="shared" si="299"/>
        <v>71</v>
      </c>
      <c r="O2399" s="202">
        <f t="shared" si="300"/>
        <v>0</v>
      </c>
      <c r="P2399" s="199">
        <f t="shared" si="297"/>
        <v>0</v>
      </c>
      <c r="Q2399" s="203">
        <f t="shared" si="301"/>
        <v>-19.699999999998607</v>
      </c>
      <c r="R2399" s="203" t="s">
        <v>55</v>
      </c>
      <c r="S2399" s="201">
        <f t="shared" si="302"/>
        <v>-1.6216276276276087E-2</v>
      </c>
    </row>
    <row r="2400" spans="1:19">
      <c r="A2400" s="196">
        <v>43448</v>
      </c>
      <c r="B2400" s="122">
        <v>16.139999</v>
      </c>
      <c r="C2400" s="122">
        <v>16.530000999999999</v>
      </c>
      <c r="D2400" s="122">
        <v>16.010000000000002</v>
      </c>
      <c r="E2400" s="122">
        <v>16.059999000000001</v>
      </c>
      <c r="F2400" s="122">
        <v>15.647437999999999</v>
      </c>
      <c r="G2400" s="197">
        <v>174900</v>
      </c>
      <c r="H2400" s="198">
        <f>IF(AND(E2399&gt;=H2399,E2400&gt;=E2399),E2399*(1+'Trading Model'!$E$13),IF(AND(E2400&lt;E2399,E2399&gt;=H2399),E2400*(1+'Trading Model'!$E$13),H2399))</f>
        <v>39.921000000000006</v>
      </c>
      <c r="I2400" s="198">
        <f>IF(K2400&gt;0,E2400*(1-'Trading Model'!E2410),IF(E2400&lt;I2399,I2399*(1-'Trading Model'!$E$14),I2399))</f>
        <v>15.284806974272236</v>
      </c>
      <c r="J2400" s="198">
        <f t="shared" si="303"/>
        <v>0</v>
      </c>
      <c r="K2400" s="198">
        <f t="shared" si="298"/>
        <v>0</v>
      </c>
      <c r="L2400" s="198">
        <f>COUNTIF(J2400:K2400,"&lt;&gt;0")*-'Trading Model'!$E$15</f>
        <v>0</v>
      </c>
      <c r="M2400" s="198">
        <f t="shared" si="296"/>
        <v>0</v>
      </c>
      <c r="N2400" s="75">
        <f t="shared" si="299"/>
        <v>71</v>
      </c>
      <c r="O2400" s="202">
        <f t="shared" si="300"/>
        <v>0</v>
      </c>
      <c r="P2400" s="199">
        <f t="shared" si="297"/>
        <v>0</v>
      </c>
      <c r="Q2400" s="203">
        <f t="shared" si="301"/>
        <v>-19.799999999998608</v>
      </c>
      <c r="R2400" s="203" t="s">
        <v>55</v>
      </c>
      <c r="S2400" s="201">
        <f t="shared" si="302"/>
        <v>-1.9536020728694758E-2</v>
      </c>
    </row>
    <row r="2401" spans="1:19">
      <c r="A2401" s="196">
        <v>43451</v>
      </c>
      <c r="B2401" s="122">
        <v>16</v>
      </c>
      <c r="C2401" s="122">
        <v>16.110001</v>
      </c>
      <c r="D2401" s="122">
        <v>15.33</v>
      </c>
      <c r="E2401" s="122">
        <v>15.7</v>
      </c>
      <c r="F2401" s="122">
        <v>15.296685999999999</v>
      </c>
      <c r="G2401" s="197">
        <v>341300</v>
      </c>
      <c r="H2401" s="198">
        <f>IF(AND(E2400&gt;=H2400,E2401&gt;=E2400),E2400*(1+'Trading Model'!$E$13),IF(AND(E2401&lt;E2400,E2400&gt;=H2400),E2401*(1+'Trading Model'!$E$13),H2400))</f>
        <v>39.921000000000006</v>
      </c>
      <c r="I2401" s="198">
        <f>IF(K2401&gt;0,E2401*(1-'Trading Model'!E2411),IF(E2401&lt;I2400,I2400*(1-'Trading Model'!$E$14),I2400))</f>
        <v>15.284806974272236</v>
      </c>
      <c r="J2401" s="198">
        <f t="shared" si="303"/>
        <v>0</v>
      </c>
      <c r="K2401" s="198">
        <f t="shared" si="298"/>
        <v>0</v>
      </c>
      <c r="L2401" s="198">
        <f>COUNTIF(J2401:K2401,"&lt;&gt;0")*-'Trading Model'!$E$15</f>
        <v>0</v>
      </c>
      <c r="M2401" s="198">
        <f t="shared" si="296"/>
        <v>0</v>
      </c>
      <c r="N2401" s="75">
        <f t="shared" si="299"/>
        <v>71</v>
      </c>
      <c r="O2401" s="202">
        <f t="shared" si="300"/>
        <v>0</v>
      </c>
      <c r="P2401" s="199">
        <f t="shared" si="297"/>
        <v>0</v>
      </c>
      <c r="Q2401" s="203">
        <f t="shared" si="301"/>
        <v>-19.899999999998609</v>
      </c>
      <c r="R2401" s="203" t="s">
        <v>55</v>
      </c>
      <c r="S2401" s="201">
        <f t="shared" si="302"/>
        <v>-2.2415879353417267E-2</v>
      </c>
    </row>
    <row r="2402" spans="1:19">
      <c r="A2402" s="196">
        <v>43452</v>
      </c>
      <c r="B2402" s="122">
        <v>15.59</v>
      </c>
      <c r="C2402" s="122">
        <v>16.16</v>
      </c>
      <c r="D2402" s="122">
        <v>15.54</v>
      </c>
      <c r="E2402" s="122">
        <v>15.83</v>
      </c>
      <c r="F2402" s="122">
        <v>15.423347</v>
      </c>
      <c r="G2402" s="197">
        <v>134600</v>
      </c>
      <c r="H2402" s="198">
        <f>IF(AND(E2401&gt;=H2401,E2402&gt;=E2401),E2401*(1+'Trading Model'!$E$13),IF(AND(E2402&lt;E2401,E2401&gt;=H2401),E2402*(1+'Trading Model'!$E$13),H2401))</f>
        <v>39.921000000000006</v>
      </c>
      <c r="I2402" s="198">
        <f>IF(K2402&gt;0,E2402*(1-'Trading Model'!E2412),IF(E2402&lt;I2401,I2401*(1-'Trading Model'!$E$14),I2401))</f>
        <v>15.284806974272236</v>
      </c>
      <c r="J2402" s="198">
        <f t="shared" si="303"/>
        <v>0</v>
      </c>
      <c r="K2402" s="198">
        <f t="shared" si="298"/>
        <v>0</v>
      </c>
      <c r="L2402" s="198">
        <f>COUNTIF(J2402:K2402,"&lt;&gt;0")*-'Trading Model'!$E$15</f>
        <v>0</v>
      </c>
      <c r="M2402" s="198">
        <f t="shared" si="296"/>
        <v>0</v>
      </c>
      <c r="N2402" s="75">
        <f t="shared" si="299"/>
        <v>71</v>
      </c>
      <c r="O2402" s="202">
        <f t="shared" si="300"/>
        <v>0</v>
      </c>
      <c r="P2402" s="199">
        <f t="shared" si="297"/>
        <v>0</v>
      </c>
      <c r="Q2402" s="203">
        <f t="shared" si="301"/>
        <v>-19.899999999998609</v>
      </c>
      <c r="R2402" s="201">
        <f>E2402/B2398-1</f>
        <v>-8.0185884961411102E-2</v>
      </c>
      <c r="S2402" s="201">
        <f t="shared" si="302"/>
        <v>8.2802547770701729E-3</v>
      </c>
    </row>
    <row r="2403" spans="1:19">
      <c r="A2403" s="196">
        <v>43453</v>
      </c>
      <c r="B2403" s="122">
        <v>15.78</v>
      </c>
      <c r="C2403" s="122">
        <v>16.100000000000001</v>
      </c>
      <c r="D2403" s="122">
        <v>14.7</v>
      </c>
      <c r="E2403" s="122">
        <v>14.91</v>
      </c>
      <c r="F2403" s="122">
        <v>14.52698</v>
      </c>
      <c r="G2403" s="197">
        <v>181000</v>
      </c>
      <c r="H2403" s="198">
        <f>IF(AND(E2402&gt;=H2402,E2403&gt;=E2402),E2402*(1+'Trading Model'!$E$13),IF(AND(E2403&lt;E2402,E2402&gt;=H2402),E2403*(1+'Trading Model'!$E$13),H2402))</f>
        <v>39.921000000000006</v>
      </c>
      <c r="I2403" s="198">
        <f>IF(K2403&gt;0,E2403*(1-'Trading Model'!E2413),IF(E2403&lt;I2402,I2402*(1-'Trading Model'!$E$14),I2402))</f>
        <v>14.520566625558624</v>
      </c>
      <c r="J2403" s="198">
        <f t="shared" si="303"/>
        <v>-14.91</v>
      </c>
      <c r="K2403" s="198">
        <f t="shared" si="298"/>
        <v>0</v>
      </c>
      <c r="L2403" s="198">
        <f>COUNTIF(J2403:K2403,"&lt;&gt;0")*-'Trading Model'!$E$15</f>
        <v>-0.1</v>
      </c>
      <c r="M2403" s="198">
        <f t="shared" si="296"/>
        <v>-15.01</v>
      </c>
      <c r="N2403" s="75">
        <f t="shared" si="299"/>
        <v>72</v>
      </c>
      <c r="O2403" s="202">
        <f t="shared" si="300"/>
        <v>0</v>
      </c>
      <c r="P2403" s="199">
        <f t="shared" si="297"/>
        <v>0</v>
      </c>
      <c r="Q2403" s="203">
        <f t="shared" si="301"/>
        <v>-19.999999999998611</v>
      </c>
      <c r="R2403" s="160" t="s">
        <v>55</v>
      </c>
      <c r="S2403" s="201">
        <f t="shared" si="302"/>
        <v>-5.8117498420720115E-2</v>
      </c>
    </row>
    <row r="2404" spans="1:19">
      <c r="A2404" s="196">
        <v>43454</v>
      </c>
      <c r="B2404" s="122">
        <v>15.02</v>
      </c>
      <c r="C2404" s="122">
        <v>15.19</v>
      </c>
      <c r="D2404" s="122">
        <v>14.56</v>
      </c>
      <c r="E2404" s="122">
        <v>14.8</v>
      </c>
      <c r="F2404" s="122">
        <v>14.419805999999999</v>
      </c>
      <c r="G2404" s="197">
        <v>390100</v>
      </c>
      <c r="H2404" s="198">
        <f>IF(AND(E2403&gt;=H2403,E2404&gt;=E2403),E2403*(1+'Trading Model'!$E$13),IF(AND(E2404&lt;E2403,E2403&gt;=H2403),E2404*(1+'Trading Model'!$E$13),H2403))</f>
        <v>39.921000000000006</v>
      </c>
      <c r="I2404" s="198">
        <f>IF(K2404&gt;0,E2404*(1-'Trading Model'!E2414),IF(E2404&lt;I2403,I2403*(1-'Trading Model'!$E$14),I2403))</f>
        <v>14.520566625558624</v>
      </c>
      <c r="J2404" s="198">
        <f t="shared" si="303"/>
        <v>0</v>
      </c>
      <c r="K2404" s="198">
        <f t="shared" si="298"/>
        <v>0</v>
      </c>
      <c r="L2404" s="198">
        <f>COUNTIF(J2404:K2404,"&lt;&gt;0")*-'Trading Model'!$E$15</f>
        <v>0</v>
      </c>
      <c r="M2404" s="198">
        <f t="shared" si="296"/>
        <v>0</v>
      </c>
      <c r="N2404" s="75">
        <f t="shared" si="299"/>
        <v>72</v>
      </c>
      <c r="O2404" s="202">
        <f t="shared" si="300"/>
        <v>0</v>
      </c>
      <c r="P2404" s="199">
        <f t="shared" si="297"/>
        <v>0</v>
      </c>
      <c r="Q2404" s="203">
        <f t="shared" si="301"/>
        <v>-20.099999999998612</v>
      </c>
      <c r="R2404" s="203" t="s">
        <v>55</v>
      </c>
      <c r="S2404" s="201">
        <f t="shared" si="302"/>
        <v>-7.3775989268947129E-3</v>
      </c>
    </row>
    <row r="2405" spans="1:19">
      <c r="A2405" s="196">
        <v>43455</v>
      </c>
      <c r="B2405" s="122">
        <v>15.03</v>
      </c>
      <c r="C2405" s="122">
        <v>15.03</v>
      </c>
      <c r="D2405" s="122">
        <v>14.35</v>
      </c>
      <c r="E2405" s="122">
        <v>14.39</v>
      </c>
      <c r="F2405" s="122">
        <v>14.020339</v>
      </c>
      <c r="G2405" s="197">
        <v>486200</v>
      </c>
      <c r="H2405" s="198">
        <f>IF(AND(E2404&gt;=H2404,E2405&gt;=E2404),E2404*(1+'Trading Model'!$E$13),IF(AND(E2405&lt;E2404,E2404&gt;=H2404),E2405*(1+'Trading Model'!$E$13),H2404))</f>
        <v>39.921000000000006</v>
      </c>
      <c r="I2405" s="198">
        <f>IF(K2405&gt;0,E2405*(1-'Trading Model'!E2415),IF(E2405&lt;I2404,I2404*(1-'Trading Model'!$E$14),I2404))</f>
        <v>13.794538294280692</v>
      </c>
      <c r="J2405" s="198">
        <f t="shared" si="303"/>
        <v>-14.39</v>
      </c>
      <c r="K2405" s="198">
        <f t="shared" si="298"/>
        <v>0</v>
      </c>
      <c r="L2405" s="198">
        <f>COUNTIF(J2405:K2405,"&lt;&gt;0")*-'Trading Model'!$E$15</f>
        <v>-0.1</v>
      </c>
      <c r="M2405" s="198">
        <f t="shared" si="296"/>
        <v>-14.49</v>
      </c>
      <c r="N2405" s="75">
        <f t="shared" si="299"/>
        <v>73</v>
      </c>
      <c r="O2405" s="202">
        <f t="shared" si="300"/>
        <v>0</v>
      </c>
      <c r="P2405" s="199">
        <f t="shared" si="297"/>
        <v>0</v>
      </c>
      <c r="Q2405" s="203">
        <f t="shared" si="301"/>
        <v>-20.199999999998614</v>
      </c>
      <c r="R2405" s="203" t="s">
        <v>55</v>
      </c>
      <c r="S2405" s="201">
        <f t="shared" si="302"/>
        <v>-2.7702702702702697E-2</v>
      </c>
    </row>
    <row r="2406" spans="1:19">
      <c r="A2406" s="196">
        <v>43458</v>
      </c>
      <c r="B2406" s="122">
        <v>14.19</v>
      </c>
      <c r="C2406" s="122">
        <v>14.92</v>
      </c>
      <c r="D2406" s="122">
        <v>14</v>
      </c>
      <c r="E2406" s="122">
        <v>14.2</v>
      </c>
      <c r="F2406" s="122">
        <v>13.835219</v>
      </c>
      <c r="G2406" s="197">
        <v>503000</v>
      </c>
      <c r="H2406" s="198">
        <f>IF(AND(E2405&gt;=H2405,E2406&gt;=E2405),E2405*(1+'Trading Model'!$E$13),IF(AND(E2406&lt;E2405,E2405&gt;=H2405),E2406*(1+'Trading Model'!$E$13),H2405))</f>
        <v>39.921000000000006</v>
      </c>
      <c r="I2406" s="198">
        <f>IF(K2406&gt;0,E2406*(1-'Trading Model'!E2416),IF(E2406&lt;I2405,I2405*(1-'Trading Model'!$E$14),I2405))</f>
        <v>13.794538294280692</v>
      </c>
      <c r="J2406" s="198">
        <f t="shared" si="303"/>
        <v>0</v>
      </c>
      <c r="K2406" s="198">
        <f t="shared" si="298"/>
        <v>0</v>
      </c>
      <c r="L2406" s="198">
        <f>COUNTIF(J2406:K2406,"&lt;&gt;0")*-'Trading Model'!$E$15</f>
        <v>0</v>
      </c>
      <c r="M2406" s="198">
        <f t="shared" si="296"/>
        <v>0</v>
      </c>
      <c r="N2406" s="75">
        <f t="shared" si="299"/>
        <v>73</v>
      </c>
      <c r="O2406" s="202">
        <f t="shared" si="300"/>
        <v>0</v>
      </c>
      <c r="P2406" s="199">
        <f t="shared" si="297"/>
        <v>0</v>
      </c>
      <c r="Q2406" s="203">
        <f t="shared" si="301"/>
        <v>-20.299999999998615</v>
      </c>
      <c r="R2406" s="203" t="s">
        <v>55</v>
      </c>
      <c r="S2406" s="201">
        <f t="shared" si="302"/>
        <v>-1.3203613620569876E-2</v>
      </c>
    </row>
    <row r="2407" spans="1:19">
      <c r="A2407" s="196">
        <v>43460</v>
      </c>
      <c r="B2407" s="122">
        <v>14.13</v>
      </c>
      <c r="C2407" s="122">
        <v>14.63</v>
      </c>
      <c r="D2407" s="122">
        <v>13.31</v>
      </c>
      <c r="E2407" s="122">
        <v>14.46</v>
      </c>
      <c r="F2407" s="122">
        <v>14.08854</v>
      </c>
      <c r="G2407" s="197">
        <v>268900</v>
      </c>
      <c r="H2407" s="198">
        <f>IF(AND(E2406&gt;=H2406,E2407&gt;=E2406),E2406*(1+'Trading Model'!$E$13),IF(AND(E2407&lt;E2406,E2406&gt;=H2406),E2407*(1+'Trading Model'!$E$13),H2406))</f>
        <v>39.921000000000006</v>
      </c>
      <c r="I2407" s="198">
        <f>IF(K2407&gt;0,E2407*(1-'Trading Model'!E2417),IF(E2407&lt;I2406,I2406*(1-'Trading Model'!$E$14),I2406))</f>
        <v>13.794538294280692</v>
      </c>
      <c r="J2407" s="198">
        <f t="shared" si="303"/>
        <v>0</v>
      </c>
      <c r="K2407" s="198">
        <f t="shared" si="298"/>
        <v>0</v>
      </c>
      <c r="L2407" s="198">
        <f>COUNTIF(J2407:K2407,"&lt;&gt;0")*-'Trading Model'!$E$15</f>
        <v>0</v>
      </c>
      <c r="M2407" s="198">
        <f t="shared" si="296"/>
        <v>0</v>
      </c>
      <c r="N2407" s="75">
        <f t="shared" si="299"/>
        <v>73</v>
      </c>
      <c r="O2407" s="202">
        <f t="shared" si="300"/>
        <v>0</v>
      </c>
      <c r="P2407" s="199">
        <f t="shared" si="297"/>
        <v>0</v>
      </c>
      <c r="Q2407" s="203">
        <f t="shared" si="301"/>
        <v>-20.299999999998615</v>
      </c>
      <c r="R2407" s="201">
        <f>E2407/B2403-1</f>
        <v>-8.3650190114068379E-2</v>
      </c>
      <c r="S2407" s="201">
        <f t="shared" si="302"/>
        <v>1.8309859154929775E-2</v>
      </c>
    </row>
    <row r="2408" spans="1:19">
      <c r="A2408" s="196">
        <v>43461</v>
      </c>
      <c r="B2408" s="122">
        <v>14.14</v>
      </c>
      <c r="C2408" s="122">
        <v>14.85</v>
      </c>
      <c r="D2408" s="122">
        <v>13.74</v>
      </c>
      <c r="E2408" s="122">
        <v>14.8</v>
      </c>
      <c r="F2408" s="122">
        <v>14.419805999999999</v>
      </c>
      <c r="G2408" s="197">
        <v>184700</v>
      </c>
      <c r="H2408" s="198">
        <f>IF(AND(E2407&gt;=H2407,E2408&gt;=E2407),E2407*(1+'Trading Model'!$E$13),IF(AND(E2408&lt;E2407,E2407&gt;=H2407),E2408*(1+'Trading Model'!$E$13),H2407))</f>
        <v>39.921000000000006</v>
      </c>
      <c r="I2408" s="198">
        <f>IF(K2408&gt;0,E2408*(1-'Trading Model'!E2418),IF(E2408&lt;I2407,I2407*(1-'Trading Model'!$E$14),I2407))</f>
        <v>13.794538294280692</v>
      </c>
      <c r="J2408" s="198">
        <f t="shared" si="303"/>
        <v>0</v>
      </c>
      <c r="K2408" s="198">
        <f t="shared" si="298"/>
        <v>0</v>
      </c>
      <c r="L2408" s="198">
        <f>COUNTIF(J2408:K2408,"&lt;&gt;0")*-'Trading Model'!$E$15</f>
        <v>0</v>
      </c>
      <c r="M2408" s="198">
        <f t="shared" si="296"/>
        <v>0</v>
      </c>
      <c r="N2408" s="75">
        <f t="shared" si="299"/>
        <v>73</v>
      </c>
      <c r="O2408" s="202">
        <f t="shared" si="300"/>
        <v>0</v>
      </c>
      <c r="P2408" s="199">
        <f t="shared" si="297"/>
        <v>0</v>
      </c>
      <c r="Q2408" s="203">
        <f t="shared" si="301"/>
        <v>-20.299999999998615</v>
      </c>
      <c r="R2408" s="160" t="s">
        <v>55</v>
      </c>
      <c r="S2408" s="201">
        <f t="shared" si="302"/>
        <v>2.3513139695712226E-2</v>
      </c>
    </row>
    <row r="2409" spans="1:19">
      <c r="A2409" s="196">
        <v>43462</v>
      </c>
      <c r="B2409" s="122">
        <v>14.76</v>
      </c>
      <c r="C2409" s="122">
        <v>15.45</v>
      </c>
      <c r="D2409" s="122">
        <v>14.51</v>
      </c>
      <c r="E2409" s="122">
        <v>14.97</v>
      </c>
      <c r="F2409" s="122">
        <v>14.58544</v>
      </c>
      <c r="G2409" s="197">
        <v>193900</v>
      </c>
      <c r="H2409" s="198">
        <f>IF(AND(E2408&gt;=H2408,E2409&gt;=E2408),E2408*(1+'Trading Model'!$E$13),IF(AND(E2409&lt;E2408,E2408&gt;=H2408),E2409*(1+'Trading Model'!$E$13),H2408))</f>
        <v>39.921000000000006</v>
      </c>
      <c r="I2409" s="198">
        <f>IF(K2409&gt;0,E2409*(1-'Trading Model'!E2419),IF(E2409&lt;I2408,I2408*(1-'Trading Model'!$E$14),I2408))</f>
        <v>13.794538294280692</v>
      </c>
      <c r="J2409" s="198">
        <f t="shared" si="303"/>
        <v>0</v>
      </c>
      <c r="K2409" s="198">
        <f t="shared" si="298"/>
        <v>0</v>
      </c>
      <c r="L2409" s="198">
        <f>COUNTIF(J2409:K2409,"&lt;&gt;0")*-'Trading Model'!$E$15</f>
        <v>0</v>
      </c>
      <c r="M2409" s="198">
        <f t="shared" si="296"/>
        <v>0</v>
      </c>
      <c r="N2409" s="75">
        <f t="shared" si="299"/>
        <v>73</v>
      </c>
      <c r="O2409" s="202">
        <f t="shared" si="300"/>
        <v>0</v>
      </c>
      <c r="P2409" s="199">
        <f t="shared" si="297"/>
        <v>0</v>
      </c>
      <c r="Q2409" s="203">
        <f t="shared" si="301"/>
        <v>-20.299999999998615</v>
      </c>
      <c r="R2409" s="203" t="s">
        <v>55</v>
      </c>
      <c r="S2409" s="201">
        <f t="shared" si="302"/>
        <v>1.1486486486486536E-2</v>
      </c>
    </row>
    <row r="2410" spans="1:19">
      <c r="A2410" s="196">
        <v>43465</v>
      </c>
      <c r="B2410" s="122">
        <v>14.98</v>
      </c>
      <c r="C2410" s="122">
        <v>16.040001</v>
      </c>
      <c r="D2410" s="122">
        <v>14.89</v>
      </c>
      <c r="E2410" s="122">
        <v>15.56</v>
      </c>
      <c r="F2410" s="122">
        <v>15.160283</v>
      </c>
      <c r="G2410" s="197">
        <v>146100</v>
      </c>
      <c r="H2410" s="198">
        <f>IF(AND(E2409&gt;=H2409,E2410&gt;=E2409),E2409*(1+'Trading Model'!$E$13),IF(AND(E2410&lt;E2409,E2409&gt;=H2409),E2410*(1+'Trading Model'!$E$13),H2409))</f>
        <v>39.921000000000006</v>
      </c>
      <c r="I2410" s="198">
        <f>IF(K2410&gt;0,E2410*(1-'Trading Model'!E2420),IF(E2410&lt;I2409,I2409*(1-'Trading Model'!$E$14),I2409))</f>
        <v>13.794538294280692</v>
      </c>
      <c r="J2410" s="198">
        <f t="shared" si="303"/>
        <v>0</v>
      </c>
      <c r="K2410" s="198">
        <f t="shared" si="298"/>
        <v>0</v>
      </c>
      <c r="L2410" s="198">
        <f>COUNTIF(J2410:K2410,"&lt;&gt;0")*-'Trading Model'!$E$15</f>
        <v>0</v>
      </c>
      <c r="M2410" s="198">
        <f t="shared" si="296"/>
        <v>0</v>
      </c>
      <c r="N2410" s="75">
        <f t="shared" si="299"/>
        <v>73</v>
      </c>
      <c r="O2410" s="202">
        <f t="shared" si="300"/>
        <v>0</v>
      </c>
      <c r="P2410" s="199">
        <f t="shared" si="297"/>
        <v>0</v>
      </c>
      <c r="Q2410" s="203">
        <f t="shared" si="301"/>
        <v>-20.299999999998615</v>
      </c>
      <c r="R2410" s="203" t="s">
        <v>55</v>
      </c>
      <c r="S2410" s="201">
        <f t="shared" si="302"/>
        <v>3.9412157648630597E-2</v>
      </c>
    </row>
    <row r="2411" spans="1:19">
      <c r="A2411" s="196">
        <v>43467</v>
      </c>
      <c r="B2411" s="122">
        <v>15.57</v>
      </c>
      <c r="C2411" s="122">
        <v>15.74</v>
      </c>
      <c r="D2411" s="122">
        <v>15.21</v>
      </c>
      <c r="E2411" s="122">
        <v>15.31</v>
      </c>
      <c r="F2411" s="122">
        <v>14.916705</v>
      </c>
      <c r="G2411" s="197">
        <v>160800</v>
      </c>
      <c r="H2411" s="198">
        <f>IF(AND(E2410&gt;=H2410,E2411&gt;=E2410),E2410*(1+'Trading Model'!$E$13),IF(AND(E2411&lt;E2410,E2410&gt;=H2410),E2411*(1+'Trading Model'!$E$13),H2410))</f>
        <v>39.921000000000006</v>
      </c>
      <c r="I2411" s="198">
        <f>IF(K2411&gt;0,E2411*(1-'Trading Model'!E2421),IF(E2411&lt;I2410,I2410*(1-'Trading Model'!$E$14),I2410))</f>
        <v>13.794538294280692</v>
      </c>
      <c r="J2411" s="198">
        <f t="shared" si="303"/>
        <v>0</v>
      </c>
      <c r="K2411" s="198">
        <f t="shared" si="298"/>
        <v>0</v>
      </c>
      <c r="L2411" s="198">
        <f>COUNTIF(J2411:K2411,"&lt;&gt;0")*-'Trading Model'!$E$15</f>
        <v>0</v>
      </c>
      <c r="M2411" s="198">
        <f t="shared" si="296"/>
        <v>0</v>
      </c>
      <c r="N2411" s="75">
        <f t="shared" si="299"/>
        <v>73</v>
      </c>
      <c r="O2411" s="202">
        <f t="shared" si="300"/>
        <v>0</v>
      </c>
      <c r="P2411" s="199">
        <f t="shared" si="297"/>
        <v>0</v>
      </c>
      <c r="Q2411" s="203">
        <f t="shared" si="301"/>
        <v>-20.399999999998617</v>
      </c>
      <c r="R2411" s="203" t="s">
        <v>55</v>
      </c>
      <c r="S2411" s="201">
        <f t="shared" si="302"/>
        <v>-1.6066838046272514E-2</v>
      </c>
    </row>
    <row r="2412" spans="1:19">
      <c r="A2412" s="196">
        <v>43468</v>
      </c>
      <c r="B2412" s="122">
        <v>15.3</v>
      </c>
      <c r="C2412" s="122">
        <v>15.3</v>
      </c>
      <c r="D2412" s="122">
        <v>14.62</v>
      </c>
      <c r="E2412" s="122">
        <v>14.79</v>
      </c>
      <c r="F2412" s="122">
        <v>14.410062999999999</v>
      </c>
      <c r="G2412" s="197">
        <v>168700</v>
      </c>
      <c r="H2412" s="198">
        <f>IF(AND(E2411&gt;=H2411,E2412&gt;=E2411),E2411*(1+'Trading Model'!$E$13),IF(AND(E2412&lt;E2411,E2411&gt;=H2411),E2412*(1+'Trading Model'!$E$13),H2411))</f>
        <v>39.921000000000006</v>
      </c>
      <c r="I2412" s="198">
        <f>IF(K2412&gt;0,E2412*(1-'Trading Model'!E2422),IF(E2412&lt;I2411,I2411*(1-'Trading Model'!$E$14),I2411))</f>
        <v>13.794538294280692</v>
      </c>
      <c r="J2412" s="198">
        <f t="shared" si="303"/>
        <v>0</v>
      </c>
      <c r="K2412" s="198">
        <f t="shared" si="298"/>
        <v>0</v>
      </c>
      <c r="L2412" s="198">
        <f>COUNTIF(J2412:K2412,"&lt;&gt;0")*-'Trading Model'!$E$15</f>
        <v>0</v>
      </c>
      <c r="M2412" s="198">
        <f t="shared" si="296"/>
        <v>0</v>
      </c>
      <c r="N2412" s="75">
        <f t="shared" si="299"/>
        <v>73</v>
      </c>
      <c r="O2412" s="202">
        <f t="shared" si="300"/>
        <v>0</v>
      </c>
      <c r="P2412" s="199">
        <f t="shared" si="297"/>
        <v>0</v>
      </c>
      <c r="Q2412" s="203">
        <f t="shared" si="301"/>
        <v>-20.499999999998618</v>
      </c>
      <c r="R2412" s="201">
        <f>E2412/B2408-1</f>
        <v>4.5968882602545946E-2</v>
      </c>
      <c r="S2412" s="201">
        <f t="shared" si="302"/>
        <v>-3.3964728935336419E-2</v>
      </c>
    </row>
    <row r="2413" spans="1:19">
      <c r="A2413" s="196">
        <v>43469</v>
      </c>
      <c r="B2413" s="122">
        <v>14.81</v>
      </c>
      <c r="C2413" s="122">
        <v>15.5</v>
      </c>
      <c r="D2413" s="122">
        <v>14.79</v>
      </c>
      <c r="E2413" s="122">
        <v>15.19</v>
      </c>
      <c r="F2413" s="122">
        <v>14.799787999999999</v>
      </c>
      <c r="G2413" s="197">
        <v>153100</v>
      </c>
      <c r="H2413" s="198">
        <f>IF(AND(E2412&gt;=H2412,E2413&gt;=E2412),E2412*(1+'Trading Model'!$E$13),IF(AND(E2413&lt;E2412,E2412&gt;=H2412),E2413*(1+'Trading Model'!$E$13),H2412))</f>
        <v>39.921000000000006</v>
      </c>
      <c r="I2413" s="198">
        <f>IF(K2413&gt;0,E2413*(1-'Trading Model'!E2423),IF(E2413&lt;I2412,I2412*(1-'Trading Model'!$E$14),I2412))</f>
        <v>13.794538294280692</v>
      </c>
      <c r="J2413" s="198">
        <f t="shared" si="303"/>
        <v>0</v>
      </c>
      <c r="K2413" s="198">
        <f t="shared" si="298"/>
        <v>0</v>
      </c>
      <c r="L2413" s="198">
        <f>COUNTIF(J2413:K2413,"&lt;&gt;0")*-'Trading Model'!$E$15</f>
        <v>0</v>
      </c>
      <c r="M2413" s="198">
        <f t="shared" si="296"/>
        <v>0</v>
      </c>
      <c r="N2413" s="75">
        <f t="shared" si="299"/>
        <v>73</v>
      </c>
      <c r="O2413" s="202">
        <f t="shared" si="300"/>
        <v>0</v>
      </c>
      <c r="P2413" s="199">
        <f t="shared" si="297"/>
        <v>0</v>
      </c>
      <c r="Q2413" s="203">
        <f t="shared" si="301"/>
        <v>-20.499999999998618</v>
      </c>
      <c r="R2413" s="160" t="s">
        <v>55</v>
      </c>
      <c r="S2413" s="201">
        <f t="shared" si="302"/>
        <v>2.7045300878972389E-2</v>
      </c>
    </row>
    <row r="2414" spans="1:19">
      <c r="A2414" s="196">
        <v>43472</v>
      </c>
      <c r="B2414" s="122">
        <v>15.27</v>
      </c>
      <c r="C2414" s="122">
        <v>15.49</v>
      </c>
      <c r="D2414" s="122">
        <v>14.54</v>
      </c>
      <c r="E2414" s="122">
        <v>14.95</v>
      </c>
      <c r="F2414" s="122">
        <v>14.565951999999999</v>
      </c>
      <c r="G2414" s="197">
        <v>343200</v>
      </c>
      <c r="H2414" s="198">
        <f>IF(AND(E2413&gt;=H2413,E2414&gt;=E2413),E2413*(1+'Trading Model'!$E$13),IF(AND(E2414&lt;E2413,E2413&gt;=H2413),E2414*(1+'Trading Model'!$E$13),H2413))</f>
        <v>39.921000000000006</v>
      </c>
      <c r="I2414" s="198">
        <f>IF(K2414&gt;0,E2414*(1-'Trading Model'!E2424),IF(E2414&lt;I2413,I2413*(1-'Trading Model'!$E$14),I2413))</f>
        <v>13.794538294280692</v>
      </c>
      <c r="J2414" s="198">
        <f t="shared" si="303"/>
        <v>0</v>
      </c>
      <c r="K2414" s="198">
        <f t="shared" si="298"/>
        <v>0</v>
      </c>
      <c r="L2414" s="198">
        <f>COUNTIF(J2414:K2414,"&lt;&gt;0")*-'Trading Model'!$E$15</f>
        <v>0</v>
      </c>
      <c r="M2414" s="198">
        <f t="shared" si="296"/>
        <v>0</v>
      </c>
      <c r="N2414" s="75">
        <f t="shared" si="299"/>
        <v>73</v>
      </c>
      <c r="O2414" s="202">
        <f t="shared" si="300"/>
        <v>0</v>
      </c>
      <c r="P2414" s="199">
        <f t="shared" si="297"/>
        <v>0</v>
      </c>
      <c r="Q2414" s="203">
        <f t="shared" si="301"/>
        <v>-20.599999999998619</v>
      </c>
      <c r="R2414" s="203" t="s">
        <v>55</v>
      </c>
      <c r="S2414" s="201">
        <f t="shared" si="302"/>
        <v>-1.5799868334430589E-2</v>
      </c>
    </row>
    <row r="2415" spans="1:19">
      <c r="A2415" s="196">
        <v>43473</v>
      </c>
      <c r="B2415" s="122">
        <v>14.96</v>
      </c>
      <c r="C2415" s="122">
        <v>15.5</v>
      </c>
      <c r="D2415" s="122">
        <v>14.49</v>
      </c>
      <c r="E2415" s="122">
        <v>15.23</v>
      </c>
      <c r="F2415" s="122">
        <v>14.838759</v>
      </c>
      <c r="G2415" s="197">
        <v>210900</v>
      </c>
      <c r="H2415" s="198">
        <f>IF(AND(E2414&gt;=H2414,E2415&gt;=E2414),E2414*(1+'Trading Model'!$E$13),IF(AND(E2415&lt;E2414,E2414&gt;=H2414),E2415*(1+'Trading Model'!$E$13),H2414))</f>
        <v>39.921000000000006</v>
      </c>
      <c r="I2415" s="198">
        <f>IF(K2415&gt;0,E2415*(1-'Trading Model'!E2425),IF(E2415&lt;I2414,I2414*(1-'Trading Model'!$E$14),I2414))</f>
        <v>13.794538294280692</v>
      </c>
      <c r="J2415" s="198">
        <f t="shared" si="303"/>
        <v>0</v>
      </c>
      <c r="K2415" s="198">
        <f t="shared" si="298"/>
        <v>0</v>
      </c>
      <c r="L2415" s="198">
        <f>COUNTIF(J2415:K2415,"&lt;&gt;0")*-'Trading Model'!$E$15</f>
        <v>0</v>
      </c>
      <c r="M2415" s="198">
        <f t="shared" si="296"/>
        <v>0</v>
      </c>
      <c r="N2415" s="75">
        <f t="shared" si="299"/>
        <v>73</v>
      </c>
      <c r="O2415" s="202">
        <f t="shared" si="300"/>
        <v>0</v>
      </c>
      <c r="P2415" s="199">
        <f t="shared" si="297"/>
        <v>0</v>
      </c>
      <c r="Q2415" s="203">
        <f t="shared" si="301"/>
        <v>-20.599999999998619</v>
      </c>
      <c r="R2415" s="203" t="s">
        <v>55</v>
      </c>
      <c r="S2415" s="201">
        <f t="shared" si="302"/>
        <v>1.872909698996672E-2</v>
      </c>
    </row>
    <row r="2416" spans="1:19">
      <c r="A2416" s="196">
        <v>43474</v>
      </c>
      <c r="B2416" s="122">
        <v>15.36</v>
      </c>
      <c r="C2416" s="122">
        <v>16.02</v>
      </c>
      <c r="D2416" s="122">
        <v>15.32</v>
      </c>
      <c r="E2416" s="122">
        <v>15.59</v>
      </c>
      <c r="F2416" s="122">
        <v>15.189512000000001</v>
      </c>
      <c r="G2416" s="197">
        <v>237200</v>
      </c>
      <c r="H2416" s="198">
        <f>IF(AND(E2415&gt;=H2415,E2416&gt;=E2415),E2415*(1+'Trading Model'!$E$13),IF(AND(E2416&lt;E2415,E2415&gt;=H2415),E2416*(1+'Trading Model'!$E$13),H2415))</f>
        <v>39.921000000000006</v>
      </c>
      <c r="I2416" s="198">
        <f>IF(K2416&gt;0,E2416*(1-'Trading Model'!E2426),IF(E2416&lt;I2415,I2415*(1-'Trading Model'!$E$14),I2415))</f>
        <v>13.794538294280692</v>
      </c>
      <c r="J2416" s="198">
        <f t="shared" si="303"/>
        <v>0</v>
      </c>
      <c r="K2416" s="198">
        <f t="shared" si="298"/>
        <v>0</v>
      </c>
      <c r="L2416" s="198">
        <f>COUNTIF(J2416:K2416,"&lt;&gt;0")*-'Trading Model'!$E$15</f>
        <v>0</v>
      </c>
      <c r="M2416" s="198">
        <f t="shared" si="296"/>
        <v>0</v>
      </c>
      <c r="N2416" s="75">
        <f t="shared" si="299"/>
        <v>73</v>
      </c>
      <c r="O2416" s="202">
        <f t="shared" si="300"/>
        <v>0</v>
      </c>
      <c r="P2416" s="199">
        <f t="shared" si="297"/>
        <v>0</v>
      </c>
      <c r="Q2416" s="203">
        <f t="shared" si="301"/>
        <v>-20.599999999998619</v>
      </c>
      <c r="R2416" s="203" t="s">
        <v>55</v>
      </c>
      <c r="S2416" s="201">
        <f t="shared" si="302"/>
        <v>2.3637557452396596E-2</v>
      </c>
    </row>
    <row r="2417" spans="1:19">
      <c r="A2417" s="196">
        <v>43475</v>
      </c>
      <c r="B2417" s="122">
        <v>15.52</v>
      </c>
      <c r="C2417" s="122">
        <v>16.209999</v>
      </c>
      <c r="D2417" s="122">
        <v>15.5</v>
      </c>
      <c r="E2417" s="122">
        <v>16.120000999999998</v>
      </c>
      <c r="F2417" s="122">
        <v>15.705897999999999</v>
      </c>
      <c r="G2417" s="197">
        <v>265600</v>
      </c>
      <c r="H2417" s="198">
        <f>IF(AND(E2416&gt;=H2416,E2417&gt;=E2416),E2416*(1+'Trading Model'!$E$13),IF(AND(E2417&lt;E2416,E2416&gt;=H2416),E2417*(1+'Trading Model'!$E$13),H2416))</f>
        <v>39.921000000000006</v>
      </c>
      <c r="I2417" s="198">
        <f>IF(K2417&gt;0,E2417*(1-'Trading Model'!E2427),IF(E2417&lt;I2416,I2416*(1-'Trading Model'!$E$14),I2416))</f>
        <v>13.794538294280692</v>
      </c>
      <c r="J2417" s="198">
        <f t="shared" si="303"/>
        <v>0</v>
      </c>
      <c r="K2417" s="198">
        <f t="shared" si="298"/>
        <v>0</v>
      </c>
      <c r="L2417" s="198">
        <f>COUNTIF(J2417:K2417,"&lt;&gt;0")*-'Trading Model'!$E$15</f>
        <v>0</v>
      </c>
      <c r="M2417" s="198">
        <f t="shared" si="296"/>
        <v>0</v>
      </c>
      <c r="N2417" s="75">
        <f t="shared" si="299"/>
        <v>73</v>
      </c>
      <c r="O2417" s="202">
        <f t="shared" si="300"/>
        <v>0</v>
      </c>
      <c r="P2417" s="199">
        <f t="shared" si="297"/>
        <v>0</v>
      </c>
      <c r="Q2417" s="203">
        <f t="shared" si="301"/>
        <v>-20.599999999998619</v>
      </c>
      <c r="R2417" s="201">
        <f>E2417/B2413-1</f>
        <v>8.8453814989871482E-2</v>
      </c>
      <c r="S2417" s="201">
        <f t="shared" si="302"/>
        <v>3.3996215522770878E-2</v>
      </c>
    </row>
    <row r="2418" spans="1:19">
      <c r="A2418" s="196">
        <v>43476</v>
      </c>
      <c r="B2418" s="122">
        <v>15.89</v>
      </c>
      <c r="C2418" s="122">
        <v>16.620000999999998</v>
      </c>
      <c r="D2418" s="122">
        <v>15.89</v>
      </c>
      <c r="E2418" s="122">
        <v>15.98</v>
      </c>
      <c r="F2418" s="122">
        <v>15.569493</v>
      </c>
      <c r="G2418" s="197">
        <v>106600</v>
      </c>
      <c r="H2418" s="198">
        <f>IF(AND(E2417&gt;=H2417,E2418&gt;=E2417),E2417*(1+'Trading Model'!$E$13),IF(AND(E2418&lt;E2417,E2417&gt;=H2417),E2418*(1+'Trading Model'!$E$13),H2417))</f>
        <v>39.921000000000006</v>
      </c>
      <c r="I2418" s="198">
        <f>IF(K2418&gt;0,E2418*(1-'Trading Model'!E2428),IF(E2418&lt;I2417,I2417*(1-'Trading Model'!$E$14),I2417))</f>
        <v>13.794538294280692</v>
      </c>
      <c r="J2418" s="198">
        <f t="shared" si="303"/>
        <v>0</v>
      </c>
      <c r="K2418" s="198">
        <f t="shared" si="298"/>
        <v>0</v>
      </c>
      <c r="L2418" s="198">
        <f>COUNTIF(J2418:K2418,"&lt;&gt;0")*-'Trading Model'!$E$15</f>
        <v>0</v>
      </c>
      <c r="M2418" s="198">
        <f t="shared" si="296"/>
        <v>0</v>
      </c>
      <c r="N2418" s="75">
        <f t="shared" si="299"/>
        <v>73</v>
      </c>
      <c r="O2418" s="202">
        <f t="shared" si="300"/>
        <v>0</v>
      </c>
      <c r="P2418" s="199">
        <f t="shared" si="297"/>
        <v>0</v>
      </c>
      <c r="Q2418" s="203">
        <f t="shared" si="301"/>
        <v>-20.699999999998621</v>
      </c>
      <c r="R2418" s="160" t="s">
        <v>55</v>
      </c>
      <c r="S2418" s="201">
        <f t="shared" si="302"/>
        <v>-8.6849250195454308E-3</v>
      </c>
    </row>
    <row r="2419" spans="1:19">
      <c r="A2419" s="196">
        <v>43479</v>
      </c>
      <c r="B2419" s="122">
        <v>15.87</v>
      </c>
      <c r="C2419" s="122">
        <v>16.469999000000001</v>
      </c>
      <c r="D2419" s="122">
        <v>15.87</v>
      </c>
      <c r="E2419" s="122">
        <v>16.200001</v>
      </c>
      <c r="F2419" s="122">
        <v>15.783842999999999</v>
      </c>
      <c r="G2419" s="197">
        <v>87100</v>
      </c>
      <c r="H2419" s="198">
        <f>IF(AND(E2418&gt;=H2418,E2419&gt;=E2418),E2418*(1+'Trading Model'!$E$13),IF(AND(E2419&lt;E2418,E2418&gt;=H2418),E2419*(1+'Trading Model'!$E$13),H2418))</f>
        <v>39.921000000000006</v>
      </c>
      <c r="I2419" s="198">
        <f>IF(K2419&gt;0,E2419*(1-'Trading Model'!E2429),IF(E2419&lt;I2418,I2418*(1-'Trading Model'!$E$14),I2418))</f>
        <v>13.794538294280692</v>
      </c>
      <c r="J2419" s="198">
        <f t="shared" si="303"/>
        <v>0</v>
      </c>
      <c r="K2419" s="198">
        <f t="shared" si="298"/>
        <v>0</v>
      </c>
      <c r="L2419" s="198">
        <f>COUNTIF(J2419:K2419,"&lt;&gt;0")*-'Trading Model'!$E$15</f>
        <v>0</v>
      </c>
      <c r="M2419" s="198">
        <f t="shared" si="296"/>
        <v>0</v>
      </c>
      <c r="N2419" s="75">
        <f t="shared" si="299"/>
        <v>73</v>
      </c>
      <c r="O2419" s="202">
        <f t="shared" si="300"/>
        <v>0</v>
      </c>
      <c r="P2419" s="199">
        <f t="shared" si="297"/>
        <v>0</v>
      </c>
      <c r="Q2419" s="203">
        <f t="shared" si="301"/>
        <v>-20.699999999998621</v>
      </c>
      <c r="R2419" s="203" t="s">
        <v>55</v>
      </c>
      <c r="S2419" s="201">
        <f t="shared" si="302"/>
        <v>1.3767271589486763E-2</v>
      </c>
    </row>
    <row r="2420" spans="1:19">
      <c r="A2420" s="196">
        <v>43480</v>
      </c>
      <c r="B2420" s="122">
        <v>16.170000000000002</v>
      </c>
      <c r="C2420" s="122">
        <v>16.350000000000001</v>
      </c>
      <c r="D2420" s="122">
        <v>15.88</v>
      </c>
      <c r="E2420" s="122">
        <v>16.290001</v>
      </c>
      <c r="F2420" s="122">
        <v>15.871530999999999</v>
      </c>
      <c r="G2420" s="197">
        <v>87000</v>
      </c>
      <c r="H2420" s="198">
        <f>IF(AND(E2419&gt;=H2419,E2420&gt;=E2419),E2419*(1+'Trading Model'!$E$13),IF(AND(E2420&lt;E2419,E2419&gt;=H2419),E2420*(1+'Trading Model'!$E$13),H2419))</f>
        <v>39.921000000000006</v>
      </c>
      <c r="I2420" s="198">
        <f>IF(K2420&gt;0,E2420*(1-'Trading Model'!E2430),IF(E2420&lt;I2419,I2419*(1-'Trading Model'!$E$14),I2419))</f>
        <v>13.794538294280692</v>
      </c>
      <c r="J2420" s="198">
        <f t="shared" si="303"/>
        <v>0</v>
      </c>
      <c r="K2420" s="198">
        <f t="shared" si="298"/>
        <v>0</v>
      </c>
      <c r="L2420" s="198">
        <f>COUNTIF(J2420:K2420,"&lt;&gt;0")*-'Trading Model'!$E$15</f>
        <v>0</v>
      </c>
      <c r="M2420" s="198">
        <f t="shared" si="296"/>
        <v>0</v>
      </c>
      <c r="N2420" s="75">
        <f t="shared" si="299"/>
        <v>73</v>
      </c>
      <c r="O2420" s="202">
        <f t="shared" si="300"/>
        <v>0</v>
      </c>
      <c r="P2420" s="199">
        <f t="shared" si="297"/>
        <v>0</v>
      </c>
      <c r="Q2420" s="203">
        <f t="shared" si="301"/>
        <v>-20.699999999998621</v>
      </c>
      <c r="R2420" s="203" t="s">
        <v>55</v>
      </c>
      <c r="S2420" s="201">
        <f t="shared" si="302"/>
        <v>5.555555212620078E-3</v>
      </c>
    </row>
    <row r="2421" spans="1:19">
      <c r="A2421" s="196">
        <v>43481</v>
      </c>
      <c r="B2421" s="122">
        <v>16.219999000000001</v>
      </c>
      <c r="C2421" s="122">
        <v>17.100000000000001</v>
      </c>
      <c r="D2421" s="122">
        <v>16.219999000000001</v>
      </c>
      <c r="E2421" s="122">
        <v>16.41</v>
      </c>
      <c r="F2421" s="122">
        <v>15.988447000000001</v>
      </c>
      <c r="G2421" s="197">
        <v>135600</v>
      </c>
      <c r="H2421" s="198">
        <f>IF(AND(E2420&gt;=H2420,E2421&gt;=E2420),E2420*(1+'Trading Model'!$E$13),IF(AND(E2421&lt;E2420,E2420&gt;=H2420),E2421*(1+'Trading Model'!$E$13),H2420))</f>
        <v>39.921000000000006</v>
      </c>
      <c r="I2421" s="198">
        <f>IF(K2421&gt;0,E2421*(1-'Trading Model'!E2431),IF(E2421&lt;I2420,I2420*(1-'Trading Model'!$E$14),I2420))</f>
        <v>13.794538294280692</v>
      </c>
      <c r="J2421" s="198">
        <f t="shared" si="303"/>
        <v>0</v>
      </c>
      <c r="K2421" s="198">
        <f t="shared" si="298"/>
        <v>0</v>
      </c>
      <c r="L2421" s="198">
        <f>COUNTIF(J2421:K2421,"&lt;&gt;0")*-'Trading Model'!$E$15</f>
        <v>0</v>
      </c>
      <c r="M2421" s="198">
        <f t="shared" si="296"/>
        <v>0</v>
      </c>
      <c r="N2421" s="75">
        <f t="shared" si="299"/>
        <v>73</v>
      </c>
      <c r="O2421" s="202">
        <f t="shared" si="300"/>
        <v>0</v>
      </c>
      <c r="P2421" s="199">
        <f t="shared" si="297"/>
        <v>0</v>
      </c>
      <c r="Q2421" s="203">
        <f t="shared" si="301"/>
        <v>-20.699999999998621</v>
      </c>
      <c r="R2421" s="203" t="s">
        <v>55</v>
      </c>
      <c r="S2421" s="201">
        <f t="shared" si="302"/>
        <v>7.3664206650447817E-3</v>
      </c>
    </row>
    <row r="2422" spans="1:19">
      <c r="A2422" s="196">
        <v>43482</v>
      </c>
      <c r="B2422" s="122">
        <v>16.280000999999999</v>
      </c>
      <c r="C2422" s="122">
        <v>16.829999999999998</v>
      </c>
      <c r="D2422" s="122">
        <v>16.120000999999998</v>
      </c>
      <c r="E2422" s="122">
        <v>16.5</v>
      </c>
      <c r="F2422" s="122">
        <v>16.076136000000002</v>
      </c>
      <c r="G2422" s="197">
        <v>130600</v>
      </c>
      <c r="H2422" s="198">
        <f>IF(AND(E2421&gt;=H2421,E2422&gt;=E2421),E2421*(1+'Trading Model'!$E$13),IF(AND(E2422&lt;E2421,E2421&gt;=H2421),E2422*(1+'Trading Model'!$E$13),H2421))</f>
        <v>39.921000000000006</v>
      </c>
      <c r="I2422" s="198">
        <f>IF(K2422&gt;0,E2422*(1-'Trading Model'!E2432),IF(E2422&lt;I2421,I2421*(1-'Trading Model'!$E$14),I2421))</f>
        <v>13.794538294280692</v>
      </c>
      <c r="J2422" s="198">
        <f t="shared" si="303"/>
        <v>0</v>
      </c>
      <c r="K2422" s="198">
        <f t="shared" si="298"/>
        <v>0</v>
      </c>
      <c r="L2422" s="198">
        <f>COUNTIF(J2422:K2422,"&lt;&gt;0")*-'Trading Model'!$E$15</f>
        <v>0</v>
      </c>
      <c r="M2422" s="198">
        <f t="shared" si="296"/>
        <v>0</v>
      </c>
      <c r="N2422" s="75">
        <f t="shared" si="299"/>
        <v>73</v>
      </c>
      <c r="O2422" s="202">
        <f t="shared" si="300"/>
        <v>0</v>
      </c>
      <c r="P2422" s="199">
        <f t="shared" si="297"/>
        <v>0</v>
      </c>
      <c r="Q2422" s="203">
        <f t="shared" si="301"/>
        <v>-20.699999999998621</v>
      </c>
      <c r="R2422" s="201">
        <f>E2422/B2418-1</f>
        <v>3.8388923851478962E-2</v>
      </c>
      <c r="S2422" s="201">
        <f t="shared" si="302"/>
        <v>5.4844606946984342E-3</v>
      </c>
    </row>
    <row r="2423" spans="1:19">
      <c r="A2423" s="196">
        <v>43483</v>
      </c>
      <c r="B2423" s="122">
        <v>16.549999</v>
      </c>
      <c r="C2423" s="122">
        <v>16.549999</v>
      </c>
      <c r="D2423" s="122">
        <v>16.350000000000001</v>
      </c>
      <c r="E2423" s="122">
        <v>16.41</v>
      </c>
      <c r="F2423" s="122">
        <v>15.988447000000001</v>
      </c>
      <c r="G2423" s="197">
        <v>158700</v>
      </c>
      <c r="H2423" s="198">
        <f>IF(AND(E2422&gt;=H2422,E2423&gt;=E2422),E2422*(1+'Trading Model'!$E$13),IF(AND(E2423&lt;E2422,E2422&gt;=H2422),E2423*(1+'Trading Model'!$E$13),H2422))</f>
        <v>39.921000000000006</v>
      </c>
      <c r="I2423" s="198">
        <f>IF(K2423&gt;0,E2423*(1-'Trading Model'!E2433),IF(E2423&lt;I2422,I2422*(1-'Trading Model'!$E$14),I2422))</f>
        <v>13.794538294280692</v>
      </c>
      <c r="J2423" s="198">
        <f t="shared" si="303"/>
        <v>0</v>
      </c>
      <c r="K2423" s="198">
        <f t="shared" si="298"/>
        <v>0</v>
      </c>
      <c r="L2423" s="198">
        <f>COUNTIF(J2423:K2423,"&lt;&gt;0")*-'Trading Model'!$E$15</f>
        <v>0</v>
      </c>
      <c r="M2423" s="198">
        <f t="shared" si="296"/>
        <v>0</v>
      </c>
      <c r="N2423" s="75">
        <f t="shared" si="299"/>
        <v>73</v>
      </c>
      <c r="O2423" s="202">
        <f t="shared" si="300"/>
        <v>0</v>
      </c>
      <c r="P2423" s="199">
        <f t="shared" si="297"/>
        <v>0</v>
      </c>
      <c r="Q2423" s="203">
        <f t="shared" si="301"/>
        <v>-20.799999999998622</v>
      </c>
      <c r="R2423" s="160" t="s">
        <v>55</v>
      </c>
      <c r="S2423" s="201">
        <f t="shared" si="302"/>
        <v>-5.4545454545454897E-3</v>
      </c>
    </row>
    <row r="2424" spans="1:19">
      <c r="A2424" s="196">
        <v>43487</v>
      </c>
      <c r="B2424" s="122">
        <v>16.290001</v>
      </c>
      <c r="C2424" s="122">
        <v>16.5</v>
      </c>
      <c r="D2424" s="122">
        <v>16.010000000000002</v>
      </c>
      <c r="E2424" s="122">
        <v>16.299999</v>
      </c>
      <c r="F2424" s="122">
        <v>15.881271999999999</v>
      </c>
      <c r="G2424" s="197">
        <v>106500</v>
      </c>
      <c r="H2424" s="198">
        <f>IF(AND(E2423&gt;=H2423,E2424&gt;=E2423),E2423*(1+'Trading Model'!$E$13),IF(AND(E2424&lt;E2423,E2423&gt;=H2423),E2424*(1+'Trading Model'!$E$13),H2423))</f>
        <v>39.921000000000006</v>
      </c>
      <c r="I2424" s="198">
        <f>IF(K2424&gt;0,E2424*(1-'Trading Model'!E2434),IF(E2424&lt;I2423,I2423*(1-'Trading Model'!$E$14),I2423))</f>
        <v>13.794538294280692</v>
      </c>
      <c r="J2424" s="198">
        <f t="shared" si="303"/>
        <v>0</v>
      </c>
      <c r="K2424" s="198">
        <f t="shared" si="298"/>
        <v>0</v>
      </c>
      <c r="L2424" s="198">
        <f>COUNTIF(J2424:K2424,"&lt;&gt;0")*-'Trading Model'!$E$15</f>
        <v>0</v>
      </c>
      <c r="M2424" s="198">
        <f t="shared" si="296"/>
        <v>0</v>
      </c>
      <c r="N2424" s="75">
        <f t="shared" si="299"/>
        <v>73</v>
      </c>
      <c r="O2424" s="202">
        <f t="shared" si="300"/>
        <v>0</v>
      </c>
      <c r="P2424" s="199">
        <f t="shared" si="297"/>
        <v>0</v>
      </c>
      <c r="Q2424" s="203">
        <f t="shared" si="301"/>
        <v>-20.899999999998624</v>
      </c>
      <c r="R2424" s="203" t="s">
        <v>55</v>
      </c>
      <c r="S2424" s="201">
        <f t="shared" si="302"/>
        <v>-6.7032906764168398E-3</v>
      </c>
    </row>
    <row r="2425" spans="1:19">
      <c r="A2425" s="196">
        <v>43488</v>
      </c>
      <c r="B2425" s="122">
        <v>16.450001</v>
      </c>
      <c r="C2425" s="122">
        <v>16.469999000000001</v>
      </c>
      <c r="D2425" s="122">
        <v>15.93</v>
      </c>
      <c r="E2425" s="122">
        <v>16.190000999999999</v>
      </c>
      <c r="F2425" s="122">
        <v>15.774099</v>
      </c>
      <c r="G2425" s="197">
        <v>235800</v>
      </c>
      <c r="H2425" s="198">
        <f>IF(AND(E2424&gt;=H2424,E2425&gt;=E2424),E2424*(1+'Trading Model'!$E$13),IF(AND(E2425&lt;E2424,E2424&gt;=H2424),E2425*(1+'Trading Model'!$E$13),H2424))</f>
        <v>39.921000000000006</v>
      </c>
      <c r="I2425" s="198">
        <f>IF(K2425&gt;0,E2425*(1-'Trading Model'!E2435),IF(E2425&lt;I2424,I2424*(1-'Trading Model'!$E$14),I2424))</f>
        <v>13.794538294280692</v>
      </c>
      <c r="J2425" s="198">
        <f t="shared" si="303"/>
        <v>0</v>
      </c>
      <c r="K2425" s="198">
        <f t="shared" si="298"/>
        <v>0</v>
      </c>
      <c r="L2425" s="198">
        <f>COUNTIF(J2425:K2425,"&lt;&gt;0")*-'Trading Model'!$E$15</f>
        <v>0</v>
      </c>
      <c r="M2425" s="198">
        <f t="shared" si="296"/>
        <v>0</v>
      </c>
      <c r="N2425" s="75">
        <f t="shared" si="299"/>
        <v>73</v>
      </c>
      <c r="O2425" s="202">
        <f t="shared" si="300"/>
        <v>0</v>
      </c>
      <c r="P2425" s="199">
        <f t="shared" si="297"/>
        <v>0</v>
      </c>
      <c r="Q2425" s="203">
        <f t="shared" si="301"/>
        <v>-20.999999999998625</v>
      </c>
      <c r="R2425" s="203" t="s">
        <v>55</v>
      </c>
      <c r="S2425" s="201">
        <f t="shared" si="302"/>
        <v>-6.748343972291071E-3</v>
      </c>
    </row>
    <row r="2426" spans="1:19">
      <c r="A2426" s="196">
        <v>43489</v>
      </c>
      <c r="B2426" s="122">
        <v>16.200001</v>
      </c>
      <c r="C2426" s="122">
        <v>16.57</v>
      </c>
      <c r="D2426" s="122">
        <v>16.149999999999999</v>
      </c>
      <c r="E2426" s="122">
        <v>16.25</v>
      </c>
      <c r="F2426" s="122">
        <v>15.832558000000001</v>
      </c>
      <c r="G2426" s="197">
        <v>111900</v>
      </c>
      <c r="H2426" s="198">
        <f>IF(AND(E2425&gt;=H2425,E2426&gt;=E2425),E2425*(1+'Trading Model'!$E$13),IF(AND(E2426&lt;E2425,E2425&gt;=H2425),E2426*(1+'Trading Model'!$E$13),H2425))</f>
        <v>39.921000000000006</v>
      </c>
      <c r="I2426" s="198">
        <f>IF(K2426&gt;0,E2426*(1-'Trading Model'!E2436),IF(E2426&lt;I2425,I2425*(1-'Trading Model'!$E$14),I2425))</f>
        <v>13.794538294280692</v>
      </c>
      <c r="J2426" s="198">
        <f t="shared" si="303"/>
        <v>0</v>
      </c>
      <c r="K2426" s="198">
        <f t="shared" si="298"/>
        <v>0</v>
      </c>
      <c r="L2426" s="198">
        <f>COUNTIF(J2426:K2426,"&lt;&gt;0")*-'Trading Model'!$E$15</f>
        <v>0</v>
      </c>
      <c r="M2426" s="198">
        <f t="shared" si="296"/>
        <v>0</v>
      </c>
      <c r="N2426" s="75">
        <f t="shared" si="299"/>
        <v>73</v>
      </c>
      <c r="O2426" s="202">
        <f t="shared" si="300"/>
        <v>0</v>
      </c>
      <c r="P2426" s="199">
        <f t="shared" si="297"/>
        <v>0</v>
      </c>
      <c r="Q2426" s="203">
        <f t="shared" si="301"/>
        <v>-20.999999999998625</v>
      </c>
      <c r="R2426" s="203" t="s">
        <v>55</v>
      </c>
      <c r="S2426" s="201">
        <f t="shared" si="302"/>
        <v>3.7059293572621055E-3</v>
      </c>
    </row>
    <row r="2427" spans="1:19">
      <c r="A2427" s="196">
        <v>43490</v>
      </c>
      <c r="B2427" s="122">
        <v>16.34</v>
      </c>
      <c r="C2427" s="122">
        <v>16.5</v>
      </c>
      <c r="D2427" s="122">
        <v>16.059999000000001</v>
      </c>
      <c r="E2427" s="122">
        <v>16.34</v>
      </c>
      <c r="F2427" s="122">
        <v>15.920246000000001</v>
      </c>
      <c r="G2427" s="197">
        <v>98600</v>
      </c>
      <c r="H2427" s="198">
        <f>IF(AND(E2426&gt;=H2426,E2427&gt;=E2426),E2426*(1+'Trading Model'!$E$13),IF(AND(E2427&lt;E2426,E2426&gt;=H2426),E2427*(1+'Trading Model'!$E$13),H2426))</f>
        <v>39.921000000000006</v>
      </c>
      <c r="I2427" s="198">
        <f>IF(K2427&gt;0,E2427*(1-'Trading Model'!E2437),IF(E2427&lt;I2426,I2426*(1-'Trading Model'!$E$14),I2426))</f>
        <v>13.794538294280692</v>
      </c>
      <c r="J2427" s="198">
        <f t="shared" si="303"/>
        <v>0</v>
      </c>
      <c r="K2427" s="198">
        <f t="shared" si="298"/>
        <v>0</v>
      </c>
      <c r="L2427" s="198">
        <f>COUNTIF(J2427:K2427,"&lt;&gt;0")*-'Trading Model'!$E$15</f>
        <v>0</v>
      </c>
      <c r="M2427" s="198">
        <f t="shared" si="296"/>
        <v>0</v>
      </c>
      <c r="N2427" s="75">
        <f t="shared" si="299"/>
        <v>73</v>
      </c>
      <c r="O2427" s="202">
        <f t="shared" si="300"/>
        <v>0</v>
      </c>
      <c r="P2427" s="199">
        <f t="shared" si="297"/>
        <v>0</v>
      </c>
      <c r="Q2427" s="203">
        <f t="shared" si="301"/>
        <v>-20.999999999998625</v>
      </c>
      <c r="R2427" s="201">
        <f>E2427/B2423-1</f>
        <v>-1.2688762095997674E-2</v>
      </c>
      <c r="S2427" s="201">
        <f t="shared" si="302"/>
        <v>5.5384615384614921E-3</v>
      </c>
    </row>
    <row r="2428" spans="1:19">
      <c r="A2428" s="196">
        <v>43493</v>
      </c>
      <c r="B2428" s="122">
        <v>16.100000000000001</v>
      </c>
      <c r="C2428" s="122">
        <v>16.5</v>
      </c>
      <c r="D2428" s="122">
        <v>15.95</v>
      </c>
      <c r="E2428" s="122">
        <v>16.440000999999999</v>
      </c>
      <c r="F2428" s="122">
        <v>16.017676999999999</v>
      </c>
      <c r="G2428" s="197">
        <v>149300</v>
      </c>
      <c r="H2428" s="198">
        <f>IF(AND(E2427&gt;=H2427,E2428&gt;=E2427),E2427*(1+'Trading Model'!$E$13),IF(AND(E2428&lt;E2427,E2427&gt;=H2427),E2428*(1+'Trading Model'!$E$13),H2427))</f>
        <v>39.921000000000006</v>
      </c>
      <c r="I2428" s="198">
        <f>IF(K2428&gt;0,E2428*(1-'Trading Model'!E2438),IF(E2428&lt;I2427,I2427*(1-'Trading Model'!$E$14),I2427))</f>
        <v>13.794538294280692</v>
      </c>
      <c r="J2428" s="198">
        <f t="shared" si="303"/>
        <v>0</v>
      </c>
      <c r="K2428" s="198">
        <f t="shared" si="298"/>
        <v>0</v>
      </c>
      <c r="L2428" s="198">
        <f>COUNTIF(J2428:K2428,"&lt;&gt;0")*-'Trading Model'!$E$15</f>
        <v>0</v>
      </c>
      <c r="M2428" s="198">
        <f t="shared" si="296"/>
        <v>0</v>
      </c>
      <c r="N2428" s="75">
        <f t="shared" si="299"/>
        <v>73</v>
      </c>
      <c r="O2428" s="202">
        <f t="shared" si="300"/>
        <v>0</v>
      </c>
      <c r="P2428" s="199">
        <f t="shared" si="297"/>
        <v>0</v>
      </c>
      <c r="Q2428" s="203">
        <f t="shared" si="301"/>
        <v>-20.999999999998625</v>
      </c>
      <c r="R2428" s="160" t="s">
        <v>55</v>
      </c>
      <c r="S2428" s="201">
        <f t="shared" si="302"/>
        <v>6.1200122399021062E-3</v>
      </c>
    </row>
    <row r="2429" spans="1:19">
      <c r="A2429" s="196">
        <v>43494</v>
      </c>
      <c r="B2429" s="122">
        <v>16.48</v>
      </c>
      <c r="C2429" s="122">
        <v>16.549999</v>
      </c>
      <c r="D2429" s="122">
        <v>16.209999</v>
      </c>
      <c r="E2429" s="122">
        <v>16.5</v>
      </c>
      <c r="F2429" s="122">
        <v>16.076136000000002</v>
      </c>
      <c r="G2429" s="197">
        <v>186100</v>
      </c>
      <c r="H2429" s="198">
        <f>IF(AND(E2428&gt;=H2428,E2429&gt;=E2428),E2428*(1+'Trading Model'!$E$13),IF(AND(E2429&lt;E2428,E2428&gt;=H2428),E2429*(1+'Trading Model'!$E$13),H2428))</f>
        <v>39.921000000000006</v>
      </c>
      <c r="I2429" s="198">
        <f>IF(K2429&gt;0,E2429*(1-'Trading Model'!E2439),IF(E2429&lt;I2428,I2428*(1-'Trading Model'!$E$14),I2428))</f>
        <v>13.794538294280692</v>
      </c>
      <c r="J2429" s="198">
        <f t="shared" si="303"/>
        <v>0</v>
      </c>
      <c r="K2429" s="198">
        <f t="shared" si="298"/>
        <v>0</v>
      </c>
      <c r="L2429" s="198">
        <f>COUNTIF(J2429:K2429,"&lt;&gt;0")*-'Trading Model'!$E$15</f>
        <v>0</v>
      </c>
      <c r="M2429" s="198">
        <f t="shared" si="296"/>
        <v>0</v>
      </c>
      <c r="N2429" s="75">
        <f t="shared" si="299"/>
        <v>73</v>
      </c>
      <c r="O2429" s="202">
        <f t="shared" si="300"/>
        <v>0</v>
      </c>
      <c r="P2429" s="199">
        <f t="shared" si="297"/>
        <v>0</v>
      </c>
      <c r="Q2429" s="203">
        <f t="shared" si="301"/>
        <v>-20.999999999998625</v>
      </c>
      <c r="R2429" s="203" t="s">
        <v>55</v>
      </c>
      <c r="S2429" s="201">
        <f t="shared" si="302"/>
        <v>3.649573987252186E-3</v>
      </c>
    </row>
    <row r="2430" spans="1:19">
      <c r="A2430" s="196">
        <v>43495</v>
      </c>
      <c r="B2430" s="122">
        <v>16.57</v>
      </c>
      <c r="C2430" s="122">
        <v>16.75</v>
      </c>
      <c r="D2430" s="122">
        <v>15.97</v>
      </c>
      <c r="E2430" s="122">
        <v>16.280000999999999</v>
      </c>
      <c r="F2430" s="122">
        <v>15.861788000000001</v>
      </c>
      <c r="G2430" s="197">
        <v>273700</v>
      </c>
      <c r="H2430" s="198">
        <f>IF(AND(E2429&gt;=H2429,E2430&gt;=E2429),E2429*(1+'Trading Model'!$E$13),IF(AND(E2430&lt;E2429,E2429&gt;=H2429),E2430*(1+'Trading Model'!$E$13),H2429))</f>
        <v>39.921000000000006</v>
      </c>
      <c r="I2430" s="198">
        <f>IF(K2430&gt;0,E2430*(1-'Trading Model'!E2440),IF(E2430&lt;I2429,I2429*(1-'Trading Model'!$E$14),I2429))</f>
        <v>13.794538294280692</v>
      </c>
      <c r="J2430" s="198">
        <f t="shared" si="303"/>
        <v>0</v>
      </c>
      <c r="K2430" s="198">
        <f t="shared" si="298"/>
        <v>0</v>
      </c>
      <c r="L2430" s="198">
        <f>COUNTIF(J2430:K2430,"&lt;&gt;0")*-'Trading Model'!$E$15</f>
        <v>0</v>
      </c>
      <c r="M2430" s="198">
        <f t="shared" si="296"/>
        <v>0</v>
      </c>
      <c r="N2430" s="75">
        <f t="shared" si="299"/>
        <v>73</v>
      </c>
      <c r="O2430" s="202">
        <f t="shared" si="300"/>
        <v>0</v>
      </c>
      <c r="P2430" s="199">
        <f t="shared" si="297"/>
        <v>0</v>
      </c>
      <c r="Q2430" s="203">
        <f t="shared" si="301"/>
        <v>-21.099999999998627</v>
      </c>
      <c r="R2430" s="203" t="s">
        <v>55</v>
      </c>
      <c r="S2430" s="201">
        <f t="shared" si="302"/>
        <v>-1.3333272727272805E-2</v>
      </c>
    </row>
    <row r="2431" spans="1:19">
      <c r="A2431" s="196">
        <v>43496</v>
      </c>
      <c r="B2431" s="122">
        <v>16.329999999999998</v>
      </c>
      <c r="C2431" s="122">
        <v>16.639999</v>
      </c>
      <c r="D2431" s="122">
        <v>16.27</v>
      </c>
      <c r="E2431" s="122">
        <v>16.489999999999998</v>
      </c>
      <c r="F2431" s="122">
        <v>16.066393000000001</v>
      </c>
      <c r="G2431" s="197">
        <v>168700</v>
      </c>
      <c r="H2431" s="198">
        <f>IF(AND(E2430&gt;=H2430,E2431&gt;=E2430),E2430*(1+'Trading Model'!$E$13),IF(AND(E2431&lt;E2430,E2430&gt;=H2430),E2431*(1+'Trading Model'!$E$13),H2430))</f>
        <v>39.921000000000006</v>
      </c>
      <c r="I2431" s="198">
        <f>IF(K2431&gt;0,E2431*(1-'Trading Model'!E2441),IF(E2431&lt;I2430,I2430*(1-'Trading Model'!$E$14),I2430))</f>
        <v>13.794538294280692</v>
      </c>
      <c r="J2431" s="198">
        <f t="shared" si="303"/>
        <v>0</v>
      </c>
      <c r="K2431" s="198">
        <f t="shared" si="298"/>
        <v>0</v>
      </c>
      <c r="L2431" s="198">
        <f>COUNTIF(J2431:K2431,"&lt;&gt;0")*-'Trading Model'!$E$15</f>
        <v>0</v>
      </c>
      <c r="M2431" s="198">
        <f t="shared" si="296"/>
        <v>0</v>
      </c>
      <c r="N2431" s="75">
        <f t="shared" si="299"/>
        <v>73</v>
      </c>
      <c r="O2431" s="202">
        <f t="shared" si="300"/>
        <v>0</v>
      </c>
      <c r="P2431" s="199">
        <f t="shared" si="297"/>
        <v>0</v>
      </c>
      <c r="Q2431" s="203">
        <f t="shared" si="301"/>
        <v>-21.099999999998627</v>
      </c>
      <c r="R2431" s="203" t="s">
        <v>55</v>
      </c>
      <c r="S2431" s="201">
        <f t="shared" si="302"/>
        <v>1.289920068186734E-2</v>
      </c>
    </row>
    <row r="2432" spans="1:19">
      <c r="A2432" s="196">
        <v>43497</v>
      </c>
      <c r="B2432" s="122">
        <v>16.52</v>
      </c>
      <c r="C2432" s="122">
        <v>16.84</v>
      </c>
      <c r="D2432" s="122">
        <v>16.52</v>
      </c>
      <c r="E2432" s="122">
        <v>16.600000000000001</v>
      </c>
      <c r="F2432" s="122">
        <v>16.173566999999998</v>
      </c>
      <c r="G2432" s="197">
        <v>120100</v>
      </c>
      <c r="H2432" s="198">
        <f>IF(AND(E2431&gt;=H2431,E2432&gt;=E2431),E2431*(1+'Trading Model'!$E$13),IF(AND(E2432&lt;E2431,E2431&gt;=H2431),E2432*(1+'Trading Model'!$E$13),H2431))</f>
        <v>39.921000000000006</v>
      </c>
      <c r="I2432" s="198">
        <f>IF(K2432&gt;0,E2432*(1-'Trading Model'!E2442),IF(E2432&lt;I2431,I2431*(1-'Trading Model'!$E$14),I2431))</f>
        <v>13.794538294280692</v>
      </c>
      <c r="J2432" s="198">
        <f t="shared" si="303"/>
        <v>0</v>
      </c>
      <c r="K2432" s="198">
        <f t="shared" si="298"/>
        <v>0</v>
      </c>
      <c r="L2432" s="198">
        <f>COUNTIF(J2432:K2432,"&lt;&gt;0")*-'Trading Model'!$E$15</f>
        <v>0</v>
      </c>
      <c r="M2432" s="198">
        <f t="shared" si="296"/>
        <v>0</v>
      </c>
      <c r="N2432" s="75">
        <f t="shared" si="299"/>
        <v>73</v>
      </c>
      <c r="O2432" s="202">
        <f t="shared" si="300"/>
        <v>0</v>
      </c>
      <c r="P2432" s="199">
        <f t="shared" si="297"/>
        <v>0</v>
      </c>
      <c r="Q2432" s="203">
        <f t="shared" si="301"/>
        <v>-21.099999999998627</v>
      </c>
      <c r="R2432" s="201">
        <f>E2432/B2428-1</f>
        <v>3.105590062111796E-2</v>
      </c>
      <c r="S2432" s="201">
        <f t="shared" si="302"/>
        <v>6.6707095209219691E-3</v>
      </c>
    </row>
    <row r="2433" spans="1:19">
      <c r="A2433" s="196">
        <v>43500</v>
      </c>
      <c r="B2433" s="122">
        <v>16.510000000000002</v>
      </c>
      <c r="C2433" s="122">
        <v>16.879999000000002</v>
      </c>
      <c r="D2433" s="122">
        <v>16.5</v>
      </c>
      <c r="E2433" s="122">
        <v>16.559999000000001</v>
      </c>
      <c r="F2433" s="122">
        <v>16.134594</v>
      </c>
      <c r="G2433" s="197">
        <v>82800</v>
      </c>
      <c r="H2433" s="198">
        <f>IF(AND(E2432&gt;=H2432,E2433&gt;=E2432),E2432*(1+'Trading Model'!$E$13),IF(AND(E2433&lt;E2432,E2432&gt;=H2432),E2433*(1+'Trading Model'!$E$13),H2432))</f>
        <v>39.921000000000006</v>
      </c>
      <c r="I2433" s="198">
        <f>IF(K2433&gt;0,E2433*(1-'Trading Model'!E2443),IF(E2433&lt;I2432,I2432*(1-'Trading Model'!$E$14),I2432))</f>
        <v>13.794538294280692</v>
      </c>
      <c r="J2433" s="198">
        <f t="shared" si="303"/>
        <v>0</v>
      </c>
      <c r="K2433" s="198">
        <f t="shared" si="298"/>
        <v>0</v>
      </c>
      <c r="L2433" s="198">
        <f>COUNTIF(J2433:K2433,"&lt;&gt;0")*-'Trading Model'!$E$15</f>
        <v>0</v>
      </c>
      <c r="M2433" s="198">
        <f t="shared" si="296"/>
        <v>0</v>
      </c>
      <c r="N2433" s="75">
        <f t="shared" si="299"/>
        <v>73</v>
      </c>
      <c r="O2433" s="202">
        <f t="shared" si="300"/>
        <v>0</v>
      </c>
      <c r="P2433" s="199">
        <f t="shared" si="297"/>
        <v>0</v>
      </c>
      <c r="Q2433" s="203">
        <f t="shared" si="301"/>
        <v>-21.199999999998628</v>
      </c>
      <c r="R2433" s="160" t="s">
        <v>55</v>
      </c>
      <c r="S2433" s="201">
        <f t="shared" si="302"/>
        <v>-2.4096987951807147E-3</v>
      </c>
    </row>
    <row r="2434" spans="1:19">
      <c r="A2434" s="196">
        <v>43501</v>
      </c>
      <c r="B2434" s="122">
        <v>16.510000000000002</v>
      </c>
      <c r="C2434" s="122">
        <v>16.73</v>
      </c>
      <c r="D2434" s="122">
        <v>16.510000000000002</v>
      </c>
      <c r="E2434" s="122">
        <v>16.620000999999998</v>
      </c>
      <c r="F2434" s="122">
        <v>16.193054</v>
      </c>
      <c r="G2434" s="197">
        <v>113500</v>
      </c>
      <c r="H2434" s="198">
        <f>IF(AND(E2433&gt;=H2433,E2434&gt;=E2433),E2433*(1+'Trading Model'!$E$13),IF(AND(E2434&lt;E2433,E2433&gt;=H2433),E2434*(1+'Trading Model'!$E$13),H2433))</f>
        <v>39.921000000000006</v>
      </c>
      <c r="I2434" s="198">
        <f>IF(K2434&gt;0,E2434*(1-'Trading Model'!E2444),IF(E2434&lt;I2433,I2433*(1-'Trading Model'!$E$14),I2433))</f>
        <v>13.794538294280692</v>
      </c>
      <c r="J2434" s="198">
        <f t="shared" si="303"/>
        <v>0</v>
      </c>
      <c r="K2434" s="198">
        <f t="shared" si="298"/>
        <v>0</v>
      </c>
      <c r="L2434" s="198">
        <f>COUNTIF(J2434:K2434,"&lt;&gt;0")*-'Trading Model'!$E$15</f>
        <v>0</v>
      </c>
      <c r="M2434" s="198">
        <f t="shared" si="296"/>
        <v>0</v>
      </c>
      <c r="N2434" s="75">
        <f t="shared" si="299"/>
        <v>73</v>
      </c>
      <c r="O2434" s="202">
        <f t="shared" si="300"/>
        <v>0</v>
      </c>
      <c r="P2434" s="199">
        <f t="shared" si="297"/>
        <v>0</v>
      </c>
      <c r="Q2434" s="203">
        <f t="shared" si="301"/>
        <v>-21.199999999998628</v>
      </c>
      <c r="R2434" s="203" t="s">
        <v>55</v>
      </c>
      <c r="S2434" s="201">
        <f t="shared" si="302"/>
        <v>3.6233093975426289E-3</v>
      </c>
    </row>
    <row r="2435" spans="1:19">
      <c r="A2435" s="196">
        <v>43502</v>
      </c>
      <c r="B2435" s="122">
        <v>16.469999000000001</v>
      </c>
      <c r="C2435" s="122">
        <v>16.620000999999998</v>
      </c>
      <c r="D2435" s="122">
        <v>15.6</v>
      </c>
      <c r="E2435" s="122">
        <v>15.94</v>
      </c>
      <c r="F2435" s="122">
        <v>15.530519999999999</v>
      </c>
      <c r="G2435" s="197">
        <v>137200</v>
      </c>
      <c r="H2435" s="198">
        <f>IF(AND(E2434&gt;=H2434,E2435&gt;=E2434),E2434*(1+'Trading Model'!$E$13),IF(AND(E2435&lt;E2434,E2434&gt;=H2434),E2435*(1+'Trading Model'!$E$13),H2434))</f>
        <v>39.921000000000006</v>
      </c>
      <c r="I2435" s="198">
        <f>IF(K2435&gt;0,E2435*(1-'Trading Model'!E2445),IF(E2435&lt;I2434,I2434*(1-'Trading Model'!$E$14),I2434))</f>
        <v>13.794538294280692</v>
      </c>
      <c r="J2435" s="198">
        <f t="shared" si="303"/>
        <v>0</v>
      </c>
      <c r="K2435" s="198">
        <f t="shared" si="298"/>
        <v>0</v>
      </c>
      <c r="L2435" s="198">
        <f>COUNTIF(J2435:K2435,"&lt;&gt;0")*-'Trading Model'!$E$15</f>
        <v>0</v>
      </c>
      <c r="M2435" s="198">
        <f t="shared" ref="M2435:M2498" si="304">SUM(J2435:L2435)</f>
        <v>0</v>
      </c>
      <c r="N2435" s="75">
        <f t="shared" si="299"/>
        <v>73</v>
      </c>
      <c r="O2435" s="202">
        <f t="shared" si="300"/>
        <v>0</v>
      </c>
      <c r="P2435" s="199">
        <f t="shared" ref="P2435:P2498" si="305">IFERROR(VLOOKUP(A2435,Dividends,2,FALSE),$U$1)</f>
        <v>0</v>
      </c>
      <c r="Q2435" s="203">
        <f t="shared" si="301"/>
        <v>-21.299999999998629</v>
      </c>
      <c r="R2435" s="203" t="s">
        <v>55</v>
      </c>
      <c r="S2435" s="201">
        <f t="shared" si="302"/>
        <v>-4.0914618476858067E-2</v>
      </c>
    </row>
    <row r="2436" spans="1:19">
      <c r="A2436" s="196">
        <v>43503</v>
      </c>
      <c r="B2436" s="122">
        <v>15.86</v>
      </c>
      <c r="C2436" s="122">
        <v>16.18</v>
      </c>
      <c r="D2436" s="122">
        <v>15.72</v>
      </c>
      <c r="E2436" s="122">
        <v>15.86</v>
      </c>
      <c r="F2436" s="122">
        <v>15.452576000000001</v>
      </c>
      <c r="G2436" s="197">
        <v>420600</v>
      </c>
      <c r="H2436" s="198">
        <f>IF(AND(E2435&gt;=H2435,E2436&gt;=E2435),E2435*(1+'Trading Model'!$E$13),IF(AND(E2436&lt;E2435,E2435&gt;=H2435),E2436*(1+'Trading Model'!$E$13),H2435))</f>
        <v>39.921000000000006</v>
      </c>
      <c r="I2436" s="198">
        <f>IF(K2436&gt;0,E2436*(1-'Trading Model'!E2446),IF(E2436&lt;I2435,I2435*(1-'Trading Model'!$E$14),I2435))</f>
        <v>13.794538294280692</v>
      </c>
      <c r="J2436" s="198">
        <f t="shared" si="303"/>
        <v>0</v>
      </c>
      <c r="K2436" s="198">
        <f t="shared" ref="K2436:K2499" si="306">IF(E2436&gt;=H2436,E2436,0)</f>
        <v>0</v>
      </c>
      <c r="L2436" s="198">
        <f>COUNTIF(J2436:K2436,"&lt;&gt;0")*-'Trading Model'!$E$15</f>
        <v>0</v>
      </c>
      <c r="M2436" s="198">
        <f t="shared" si="304"/>
        <v>0</v>
      </c>
      <c r="N2436" s="75">
        <f t="shared" ref="N2436:N2499" si="307">IF(AND(J2436&lt;0,K2436&gt;0),N2435,(IF(J2436&lt;0,N2435+1,IF(K2436&gt;0,N2435+1,N2435))))</f>
        <v>73</v>
      </c>
      <c r="O2436" s="202">
        <f t="shared" ref="O2436:O2499" si="308">P2436</f>
        <v>0</v>
      </c>
      <c r="P2436" s="199">
        <f t="shared" si="305"/>
        <v>0</v>
      </c>
      <c r="Q2436" s="203">
        <f t="shared" ref="Q2436:Q2499" si="309">IF(E2436&lt;E2435,Q2435-0.1,Q2435)</f>
        <v>-21.399999999998631</v>
      </c>
      <c r="R2436" s="203" t="s">
        <v>55</v>
      </c>
      <c r="S2436" s="201">
        <f t="shared" ref="S2436:S2499" si="310">E2436/E2435-1</f>
        <v>-5.0188205771644068E-3</v>
      </c>
    </row>
    <row r="2437" spans="1:19">
      <c r="A2437" s="196">
        <v>43504</v>
      </c>
      <c r="B2437" s="122">
        <v>15.86</v>
      </c>
      <c r="C2437" s="122">
        <v>16.32</v>
      </c>
      <c r="D2437" s="122">
        <v>15.71</v>
      </c>
      <c r="E2437" s="122">
        <v>16.23</v>
      </c>
      <c r="F2437" s="122">
        <v>15.813071000000001</v>
      </c>
      <c r="G2437" s="197">
        <v>767100</v>
      </c>
      <c r="H2437" s="198">
        <f>IF(AND(E2436&gt;=H2436,E2437&gt;=E2436),E2436*(1+'Trading Model'!$E$13),IF(AND(E2437&lt;E2436,E2436&gt;=H2436),E2437*(1+'Trading Model'!$E$13),H2436))</f>
        <v>39.921000000000006</v>
      </c>
      <c r="I2437" s="198">
        <f>IF(K2437&gt;0,E2437*(1-'Trading Model'!E2447),IF(E2437&lt;I2436,I2436*(1-'Trading Model'!$E$14),I2436))</f>
        <v>13.794538294280692</v>
      </c>
      <c r="J2437" s="198">
        <f t="shared" ref="J2437:J2500" si="311">IF(E2437&gt;=H2437,-E2437,IF(E2437&lt;=I2436,-E2437,0))</f>
        <v>0</v>
      </c>
      <c r="K2437" s="198">
        <f t="shared" si="306"/>
        <v>0</v>
      </c>
      <c r="L2437" s="198">
        <f>COUNTIF(J2437:K2437,"&lt;&gt;0")*-'Trading Model'!$E$15</f>
        <v>0</v>
      </c>
      <c r="M2437" s="198">
        <f t="shared" si="304"/>
        <v>0</v>
      </c>
      <c r="N2437" s="75">
        <f t="shared" si="307"/>
        <v>73</v>
      </c>
      <c r="O2437" s="202">
        <f t="shared" si="308"/>
        <v>0</v>
      </c>
      <c r="P2437" s="199">
        <f t="shared" si="305"/>
        <v>0</v>
      </c>
      <c r="Q2437" s="203">
        <f t="shared" si="309"/>
        <v>-21.399999999998631</v>
      </c>
      <c r="R2437" s="201">
        <f>E2437/B2433-1</f>
        <v>-1.6959418534221782E-2</v>
      </c>
      <c r="S2437" s="201">
        <f t="shared" si="310"/>
        <v>2.3329129886507038E-2</v>
      </c>
    </row>
    <row r="2438" spans="1:19">
      <c r="A2438" s="196">
        <v>43507</v>
      </c>
      <c r="B2438" s="122">
        <v>16.34</v>
      </c>
      <c r="C2438" s="122">
        <v>16.399999999999999</v>
      </c>
      <c r="D2438" s="122">
        <v>15.91</v>
      </c>
      <c r="E2438" s="122">
        <v>16.209999</v>
      </c>
      <c r="F2438" s="122">
        <v>15.793583999999999</v>
      </c>
      <c r="G2438" s="197">
        <v>217500</v>
      </c>
      <c r="H2438" s="198">
        <f>IF(AND(E2437&gt;=H2437,E2438&gt;=E2437),E2437*(1+'Trading Model'!$E$13),IF(AND(E2438&lt;E2437,E2437&gt;=H2437),E2438*(1+'Trading Model'!$E$13),H2437))</f>
        <v>39.921000000000006</v>
      </c>
      <c r="I2438" s="198">
        <f>IF(K2438&gt;0,E2438*(1-'Trading Model'!E2448),IF(E2438&lt;I2437,I2437*(1-'Trading Model'!$E$14),I2437))</f>
        <v>13.794538294280692</v>
      </c>
      <c r="J2438" s="198">
        <f t="shared" si="311"/>
        <v>0</v>
      </c>
      <c r="K2438" s="198">
        <f t="shared" si="306"/>
        <v>0</v>
      </c>
      <c r="L2438" s="198">
        <f>COUNTIF(J2438:K2438,"&lt;&gt;0")*-'Trading Model'!$E$15</f>
        <v>0</v>
      </c>
      <c r="M2438" s="198">
        <f t="shared" si="304"/>
        <v>0</v>
      </c>
      <c r="N2438" s="75">
        <f t="shared" si="307"/>
        <v>73</v>
      </c>
      <c r="O2438" s="202">
        <f t="shared" si="308"/>
        <v>0</v>
      </c>
      <c r="P2438" s="199">
        <f t="shared" si="305"/>
        <v>0</v>
      </c>
      <c r="Q2438" s="203">
        <f t="shared" si="309"/>
        <v>-21.499999999998632</v>
      </c>
      <c r="R2438" s="160" t="s">
        <v>55</v>
      </c>
      <c r="S2438" s="201">
        <f t="shared" si="310"/>
        <v>-1.2323475046210897E-3</v>
      </c>
    </row>
    <row r="2439" spans="1:19">
      <c r="A2439" s="196">
        <v>43508</v>
      </c>
      <c r="B2439" s="122">
        <v>16.43</v>
      </c>
      <c r="C2439" s="122">
        <v>16.48</v>
      </c>
      <c r="D2439" s="122">
        <v>16.190000999999999</v>
      </c>
      <c r="E2439" s="122">
        <v>16.23</v>
      </c>
      <c r="F2439" s="122">
        <v>15.813071000000001</v>
      </c>
      <c r="G2439" s="197">
        <v>154300</v>
      </c>
      <c r="H2439" s="198">
        <f>IF(AND(E2438&gt;=H2438,E2439&gt;=E2438),E2438*(1+'Trading Model'!$E$13),IF(AND(E2439&lt;E2438,E2438&gt;=H2438),E2439*(1+'Trading Model'!$E$13),H2438))</f>
        <v>39.921000000000006</v>
      </c>
      <c r="I2439" s="198">
        <f>IF(K2439&gt;0,E2439*(1-'Trading Model'!E2449),IF(E2439&lt;I2438,I2438*(1-'Trading Model'!$E$14),I2438))</f>
        <v>13.794538294280692</v>
      </c>
      <c r="J2439" s="198">
        <f t="shared" si="311"/>
        <v>0</v>
      </c>
      <c r="K2439" s="198">
        <f t="shared" si="306"/>
        <v>0</v>
      </c>
      <c r="L2439" s="198">
        <f>COUNTIF(J2439:K2439,"&lt;&gt;0")*-'Trading Model'!$E$15</f>
        <v>0</v>
      </c>
      <c r="M2439" s="198">
        <f t="shared" si="304"/>
        <v>0</v>
      </c>
      <c r="N2439" s="75">
        <f t="shared" si="307"/>
        <v>73</v>
      </c>
      <c r="O2439" s="202">
        <f t="shared" si="308"/>
        <v>0</v>
      </c>
      <c r="P2439" s="199">
        <f t="shared" si="305"/>
        <v>0</v>
      </c>
      <c r="Q2439" s="203">
        <f t="shared" si="309"/>
        <v>-21.499999999998632</v>
      </c>
      <c r="R2439" s="203" t="s">
        <v>55</v>
      </c>
      <c r="S2439" s="201">
        <f t="shared" si="310"/>
        <v>1.2338680588444007E-3</v>
      </c>
    </row>
    <row r="2440" spans="1:19">
      <c r="A2440" s="196">
        <v>43509</v>
      </c>
      <c r="B2440" s="122">
        <v>16.139999</v>
      </c>
      <c r="C2440" s="122">
        <v>16.360001</v>
      </c>
      <c r="D2440" s="122">
        <v>15.76</v>
      </c>
      <c r="E2440" s="122">
        <v>16.079999999999998</v>
      </c>
      <c r="F2440" s="122">
        <v>15.666924</v>
      </c>
      <c r="G2440" s="197">
        <v>230700</v>
      </c>
      <c r="H2440" s="198">
        <f>IF(AND(E2439&gt;=H2439,E2440&gt;=E2439),E2439*(1+'Trading Model'!$E$13),IF(AND(E2440&lt;E2439,E2439&gt;=H2439),E2440*(1+'Trading Model'!$E$13),H2439))</f>
        <v>39.921000000000006</v>
      </c>
      <c r="I2440" s="198">
        <f>IF(K2440&gt;0,E2440*(1-'Trading Model'!E2450),IF(E2440&lt;I2439,I2439*(1-'Trading Model'!$E$14),I2439))</f>
        <v>13.794538294280692</v>
      </c>
      <c r="J2440" s="198">
        <f t="shared" si="311"/>
        <v>0</v>
      </c>
      <c r="K2440" s="198">
        <f t="shared" si="306"/>
        <v>0</v>
      </c>
      <c r="L2440" s="198">
        <f>COUNTIF(J2440:K2440,"&lt;&gt;0")*-'Trading Model'!$E$15</f>
        <v>0</v>
      </c>
      <c r="M2440" s="198">
        <f t="shared" si="304"/>
        <v>0</v>
      </c>
      <c r="N2440" s="75">
        <f t="shared" si="307"/>
        <v>73</v>
      </c>
      <c r="O2440" s="202">
        <f t="shared" si="308"/>
        <v>0</v>
      </c>
      <c r="P2440" s="199">
        <f t="shared" si="305"/>
        <v>0</v>
      </c>
      <c r="Q2440" s="203">
        <f t="shared" si="309"/>
        <v>-21.599999999998634</v>
      </c>
      <c r="R2440" s="203" t="s">
        <v>55</v>
      </c>
      <c r="S2440" s="201">
        <f t="shared" si="310"/>
        <v>-9.2421441774492852E-3</v>
      </c>
    </row>
    <row r="2441" spans="1:19">
      <c r="A2441" s="196">
        <v>43510</v>
      </c>
      <c r="B2441" s="122">
        <v>15.9</v>
      </c>
      <c r="C2441" s="122">
        <v>16.299999</v>
      </c>
      <c r="D2441" s="122">
        <v>15.9</v>
      </c>
      <c r="E2441" s="122">
        <v>16.18</v>
      </c>
      <c r="F2441" s="122">
        <v>15.764355999999999</v>
      </c>
      <c r="G2441" s="197">
        <v>171300</v>
      </c>
      <c r="H2441" s="198">
        <f>IF(AND(E2440&gt;=H2440,E2441&gt;=E2440),E2440*(1+'Trading Model'!$E$13),IF(AND(E2441&lt;E2440,E2440&gt;=H2440),E2441*(1+'Trading Model'!$E$13),H2440))</f>
        <v>39.921000000000006</v>
      </c>
      <c r="I2441" s="198">
        <f>IF(K2441&gt;0,E2441*(1-'Trading Model'!E2451),IF(E2441&lt;I2440,I2440*(1-'Trading Model'!$E$14),I2440))</f>
        <v>13.794538294280692</v>
      </c>
      <c r="J2441" s="198">
        <f t="shared" si="311"/>
        <v>0</v>
      </c>
      <c r="K2441" s="198">
        <f t="shared" si="306"/>
        <v>0</v>
      </c>
      <c r="L2441" s="198">
        <f>COUNTIF(J2441:K2441,"&lt;&gt;0")*-'Trading Model'!$E$15</f>
        <v>0</v>
      </c>
      <c r="M2441" s="198">
        <f t="shared" si="304"/>
        <v>0</v>
      </c>
      <c r="N2441" s="75">
        <f t="shared" si="307"/>
        <v>73</v>
      </c>
      <c r="O2441" s="202">
        <f t="shared" si="308"/>
        <v>0</v>
      </c>
      <c r="P2441" s="199">
        <f t="shared" si="305"/>
        <v>0</v>
      </c>
      <c r="Q2441" s="203">
        <f t="shared" si="309"/>
        <v>-21.599999999998634</v>
      </c>
      <c r="R2441" s="203" t="s">
        <v>55</v>
      </c>
      <c r="S2441" s="201">
        <f t="shared" si="310"/>
        <v>6.2189054726369264E-3</v>
      </c>
    </row>
    <row r="2442" spans="1:19">
      <c r="A2442" s="196">
        <v>43511</v>
      </c>
      <c r="B2442" s="122">
        <v>16.239999999999998</v>
      </c>
      <c r="C2442" s="122">
        <v>16.25</v>
      </c>
      <c r="D2442" s="122">
        <v>15.87</v>
      </c>
      <c r="E2442" s="122">
        <v>15.95</v>
      </c>
      <c r="F2442" s="122">
        <v>15.540264000000001</v>
      </c>
      <c r="G2442" s="197">
        <v>274100</v>
      </c>
      <c r="H2442" s="198">
        <f>IF(AND(E2441&gt;=H2441,E2442&gt;=E2441),E2441*(1+'Trading Model'!$E$13),IF(AND(E2442&lt;E2441,E2441&gt;=H2441),E2442*(1+'Trading Model'!$E$13),H2441))</f>
        <v>39.921000000000006</v>
      </c>
      <c r="I2442" s="198">
        <f>IF(K2442&gt;0,E2442*(1-'Trading Model'!E2452),IF(E2442&lt;I2441,I2441*(1-'Trading Model'!$E$14),I2441))</f>
        <v>13.794538294280692</v>
      </c>
      <c r="J2442" s="198">
        <f t="shared" si="311"/>
        <v>0</v>
      </c>
      <c r="K2442" s="198">
        <f t="shared" si="306"/>
        <v>0</v>
      </c>
      <c r="L2442" s="198">
        <f>COUNTIF(J2442:K2442,"&lt;&gt;0")*-'Trading Model'!$E$15</f>
        <v>0</v>
      </c>
      <c r="M2442" s="198">
        <f t="shared" si="304"/>
        <v>0</v>
      </c>
      <c r="N2442" s="75">
        <f t="shared" si="307"/>
        <v>73</v>
      </c>
      <c r="O2442" s="202">
        <f t="shared" si="308"/>
        <v>0</v>
      </c>
      <c r="P2442" s="199">
        <f t="shared" si="305"/>
        <v>0</v>
      </c>
      <c r="Q2442" s="203">
        <f t="shared" si="309"/>
        <v>-21.699999999998635</v>
      </c>
      <c r="R2442" s="201">
        <f>E2442/B2438-1</f>
        <v>-2.3867809057527611E-2</v>
      </c>
      <c r="S2442" s="201">
        <f t="shared" si="310"/>
        <v>-1.4215080346106301E-2</v>
      </c>
    </row>
    <row r="2443" spans="1:19">
      <c r="A2443" s="196">
        <v>43515</v>
      </c>
      <c r="B2443" s="122">
        <v>15.97</v>
      </c>
      <c r="C2443" s="122">
        <v>16.079999999999998</v>
      </c>
      <c r="D2443" s="122">
        <v>15.06</v>
      </c>
      <c r="E2443" s="122">
        <v>15.18</v>
      </c>
      <c r="F2443" s="122">
        <v>14.790044999999999</v>
      </c>
      <c r="G2443" s="197">
        <v>422800</v>
      </c>
      <c r="H2443" s="198">
        <f>IF(AND(E2442&gt;=H2442,E2443&gt;=E2442),E2442*(1+'Trading Model'!$E$13),IF(AND(E2443&lt;E2442,E2442&gt;=H2442),E2443*(1+'Trading Model'!$E$13),H2442))</f>
        <v>39.921000000000006</v>
      </c>
      <c r="I2443" s="198">
        <f>IF(K2443&gt;0,E2443*(1-'Trading Model'!E2453),IF(E2443&lt;I2442,I2442*(1-'Trading Model'!$E$14),I2442))</f>
        <v>13.794538294280692</v>
      </c>
      <c r="J2443" s="198">
        <f t="shared" si="311"/>
        <v>0</v>
      </c>
      <c r="K2443" s="198">
        <f t="shared" si="306"/>
        <v>0</v>
      </c>
      <c r="L2443" s="198">
        <f>COUNTIF(J2443:K2443,"&lt;&gt;0")*-'Trading Model'!$E$15</f>
        <v>0</v>
      </c>
      <c r="M2443" s="198">
        <f t="shared" si="304"/>
        <v>0</v>
      </c>
      <c r="N2443" s="75">
        <f t="shared" si="307"/>
        <v>73</v>
      </c>
      <c r="O2443" s="202">
        <f t="shared" si="308"/>
        <v>0</v>
      </c>
      <c r="P2443" s="199">
        <f t="shared" si="305"/>
        <v>0</v>
      </c>
      <c r="Q2443" s="203">
        <f t="shared" si="309"/>
        <v>-21.799999999998636</v>
      </c>
      <c r="R2443" s="160" t="s">
        <v>55</v>
      </c>
      <c r="S2443" s="201">
        <f t="shared" si="310"/>
        <v>-4.8275862068965503E-2</v>
      </c>
    </row>
    <row r="2444" spans="1:19">
      <c r="A2444" s="196">
        <v>43516</v>
      </c>
      <c r="B2444" s="122">
        <v>15.04</v>
      </c>
      <c r="C2444" s="122">
        <v>15.58</v>
      </c>
      <c r="D2444" s="122">
        <v>14.84</v>
      </c>
      <c r="E2444" s="122">
        <v>15.31</v>
      </c>
      <c r="F2444" s="122">
        <v>14.916705</v>
      </c>
      <c r="G2444" s="197">
        <v>1003200</v>
      </c>
      <c r="H2444" s="198">
        <f>IF(AND(E2443&gt;=H2443,E2444&gt;=E2443),E2443*(1+'Trading Model'!$E$13),IF(AND(E2444&lt;E2443,E2443&gt;=H2443),E2444*(1+'Trading Model'!$E$13),H2443))</f>
        <v>39.921000000000006</v>
      </c>
      <c r="I2444" s="198">
        <f>IF(K2444&gt;0,E2444*(1-'Trading Model'!E2454),IF(E2444&lt;I2443,I2443*(1-'Trading Model'!$E$14),I2443))</f>
        <v>13.794538294280692</v>
      </c>
      <c r="J2444" s="198">
        <f t="shared" si="311"/>
        <v>0</v>
      </c>
      <c r="K2444" s="198">
        <f t="shared" si="306"/>
        <v>0</v>
      </c>
      <c r="L2444" s="198">
        <f>COUNTIF(J2444:K2444,"&lt;&gt;0")*-'Trading Model'!$E$15</f>
        <v>0</v>
      </c>
      <c r="M2444" s="198">
        <f t="shared" si="304"/>
        <v>0</v>
      </c>
      <c r="N2444" s="75">
        <f t="shared" si="307"/>
        <v>73</v>
      </c>
      <c r="O2444" s="202">
        <f t="shared" si="308"/>
        <v>0</v>
      </c>
      <c r="P2444" s="199">
        <f t="shared" si="305"/>
        <v>0</v>
      </c>
      <c r="Q2444" s="203">
        <f t="shared" si="309"/>
        <v>-21.799999999998636</v>
      </c>
      <c r="R2444" s="203" t="s">
        <v>55</v>
      </c>
      <c r="S2444" s="201">
        <f t="shared" si="310"/>
        <v>8.5638998682477929E-3</v>
      </c>
    </row>
    <row r="2445" spans="1:19">
      <c r="A2445" s="196">
        <v>43517</v>
      </c>
      <c r="B2445" s="122">
        <v>15.23</v>
      </c>
      <c r="C2445" s="122">
        <v>15.51</v>
      </c>
      <c r="D2445" s="122">
        <v>15.1</v>
      </c>
      <c r="E2445" s="122">
        <v>15.36</v>
      </c>
      <c r="F2445" s="122">
        <v>14.96542</v>
      </c>
      <c r="G2445" s="197">
        <v>100300</v>
      </c>
      <c r="H2445" s="198">
        <f>IF(AND(E2444&gt;=H2444,E2445&gt;=E2444),E2444*(1+'Trading Model'!$E$13),IF(AND(E2445&lt;E2444,E2444&gt;=H2444),E2445*(1+'Trading Model'!$E$13),H2444))</f>
        <v>39.921000000000006</v>
      </c>
      <c r="I2445" s="198">
        <f>IF(K2445&gt;0,E2445*(1-'Trading Model'!E2455),IF(E2445&lt;I2444,I2444*(1-'Trading Model'!$E$14),I2444))</f>
        <v>13.794538294280692</v>
      </c>
      <c r="J2445" s="198">
        <f t="shared" si="311"/>
        <v>0</v>
      </c>
      <c r="K2445" s="198">
        <f t="shared" si="306"/>
        <v>0</v>
      </c>
      <c r="L2445" s="198">
        <f>COUNTIF(J2445:K2445,"&lt;&gt;0")*-'Trading Model'!$E$15</f>
        <v>0</v>
      </c>
      <c r="M2445" s="198">
        <f t="shared" si="304"/>
        <v>0</v>
      </c>
      <c r="N2445" s="75">
        <f t="shared" si="307"/>
        <v>73</v>
      </c>
      <c r="O2445" s="202">
        <f t="shared" si="308"/>
        <v>0</v>
      </c>
      <c r="P2445" s="199">
        <f t="shared" si="305"/>
        <v>0</v>
      </c>
      <c r="Q2445" s="203">
        <f t="shared" si="309"/>
        <v>-21.799999999998636</v>
      </c>
      <c r="R2445" s="203" t="s">
        <v>55</v>
      </c>
      <c r="S2445" s="201">
        <f t="shared" si="310"/>
        <v>3.2658393207054548E-3</v>
      </c>
    </row>
    <row r="2446" spans="1:19">
      <c r="A2446" s="196">
        <v>43518</v>
      </c>
      <c r="B2446" s="122">
        <v>15.38</v>
      </c>
      <c r="C2446" s="122">
        <v>15.78</v>
      </c>
      <c r="D2446" s="122">
        <v>15.38</v>
      </c>
      <c r="E2446" s="122">
        <v>15.42</v>
      </c>
      <c r="F2446" s="122">
        <v>15.023879000000001</v>
      </c>
      <c r="G2446" s="197">
        <v>139200</v>
      </c>
      <c r="H2446" s="198">
        <f>IF(AND(E2445&gt;=H2445,E2446&gt;=E2445),E2445*(1+'Trading Model'!$E$13),IF(AND(E2446&lt;E2445,E2445&gt;=H2445),E2446*(1+'Trading Model'!$E$13),H2445))</f>
        <v>39.921000000000006</v>
      </c>
      <c r="I2446" s="198">
        <f>IF(K2446&gt;0,E2446*(1-'Trading Model'!E2456),IF(E2446&lt;I2445,I2445*(1-'Trading Model'!$E$14),I2445))</f>
        <v>13.794538294280692</v>
      </c>
      <c r="J2446" s="198">
        <f t="shared" si="311"/>
        <v>0</v>
      </c>
      <c r="K2446" s="198">
        <f t="shared" si="306"/>
        <v>0</v>
      </c>
      <c r="L2446" s="198">
        <f>COUNTIF(J2446:K2446,"&lt;&gt;0")*-'Trading Model'!$E$15</f>
        <v>0</v>
      </c>
      <c r="M2446" s="198">
        <f t="shared" si="304"/>
        <v>0</v>
      </c>
      <c r="N2446" s="75">
        <f t="shared" si="307"/>
        <v>73</v>
      </c>
      <c r="O2446" s="202">
        <f t="shared" si="308"/>
        <v>0</v>
      </c>
      <c r="P2446" s="199">
        <f t="shared" si="305"/>
        <v>0</v>
      </c>
      <c r="Q2446" s="203">
        <f t="shared" si="309"/>
        <v>-21.799999999998636</v>
      </c>
      <c r="R2446" s="203" t="s">
        <v>55</v>
      </c>
      <c r="S2446" s="201">
        <f t="shared" si="310"/>
        <v>3.90625E-3</v>
      </c>
    </row>
    <row r="2447" spans="1:19">
      <c r="A2447" s="196">
        <v>43521</v>
      </c>
      <c r="B2447" s="122">
        <v>15.42</v>
      </c>
      <c r="C2447" s="122">
        <v>15.65</v>
      </c>
      <c r="D2447" s="122">
        <v>14.96</v>
      </c>
      <c r="E2447" s="122">
        <v>15.2</v>
      </c>
      <c r="F2447" s="122">
        <v>14.809530000000001</v>
      </c>
      <c r="G2447" s="197">
        <v>421300</v>
      </c>
      <c r="H2447" s="198">
        <f>IF(AND(E2446&gt;=H2446,E2447&gt;=E2446),E2446*(1+'Trading Model'!$E$13),IF(AND(E2447&lt;E2446,E2446&gt;=H2446),E2447*(1+'Trading Model'!$E$13),H2446))</f>
        <v>39.921000000000006</v>
      </c>
      <c r="I2447" s="198">
        <f>IF(K2447&gt;0,E2447*(1-'Trading Model'!E2457),IF(E2447&lt;I2446,I2446*(1-'Trading Model'!$E$14),I2446))</f>
        <v>13.794538294280692</v>
      </c>
      <c r="J2447" s="198">
        <f t="shared" si="311"/>
        <v>0</v>
      </c>
      <c r="K2447" s="198">
        <f t="shared" si="306"/>
        <v>0</v>
      </c>
      <c r="L2447" s="198">
        <f>COUNTIF(J2447:K2447,"&lt;&gt;0")*-'Trading Model'!$E$15</f>
        <v>0</v>
      </c>
      <c r="M2447" s="198">
        <f t="shared" si="304"/>
        <v>0</v>
      </c>
      <c r="N2447" s="75">
        <f t="shared" si="307"/>
        <v>73</v>
      </c>
      <c r="O2447" s="202">
        <f t="shared" si="308"/>
        <v>0</v>
      </c>
      <c r="P2447" s="199">
        <f t="shared" si="305"/>
        <v>0</v>
      </c>
      <c r="Q2447" s="203">
        <f t="shared" si="309"/>
        <v>-21.899999999998638</v>
      </c>
      <c r="R2447" s="201">
        <f>E2447/B2443-1</f>
        <v>-4.8215403882279406E-2</v>
      </c>
      <c r="S2447" s="201">
        <f t="shared" si="310"/>
        <v>-1.4267185473411215E-2</v>
      </c>
    </row>
    <row r="2448" spans="1:19">
      <c r="A2448" s="196">
        <v>43522</v>
      </c>
      <c r="B2448" s="122">
        <v>15.13</v>
      </c>
      <c r="C2448" s="122">
        <v>15.42</v>
      </c>
      <c r="D2448" s="122">
        <v>15.13</v>
      </c>
      <c r="E2448" s="122">
        <v>15.4</v>
      </c>
      <c r="F2448" s="122">
        <v>15.004393</v>
      </c>
      <c r="G2448" s="197">
        <v>109000</v>
      </c>
      <c r="H2448" s="198">
        <f>IF(AND(E2447&gt;=H2447,E2448&gt;=E2447),E2447*(1+'Trading Model'!$E$13),IF(AND(E2448&lt;E2447,E2447&gt;=H2447),E2448*(1+'Trading Model'!$E$13),H2447))</f>
        <v>39.921000000000006</v>
      </c>
      <c r="I2448" s="198">
        <f>IF(K2448&gt;0,E2448*(1-'Trading Model'!E2458),IF(E2448&lt;I2447,I2447*(1-'Trading Model'!$E$14),I2447))</f>
        <v>13.794538294280692</v>
      </c>
      <c r="J2448" s="198">
        <f t="shared" si="311"/>
        <v>0</v>
      </c>
      <c r="K2448" s="198">
        <f t="shared" si="306"/>
        <v>0</v>
      </c>
      <c r="L2448" s="198">
        <f>COUNTIF(J2448:K2448,"&lt;&gt;0")*-'Trading Model'!$E$15</f>
        <v>0</v>
      </c>
      <c r="M2448" s="198">
        <f t="shared" si="304"/>
        <v>0</v>
      </c>
      <c r="N2448" s="75">
        <f t="shared" si="307"/>
        <v>73</v>
      </c>
      <c r="O2448" s="202">
        <f t="shared" si="308"/>
        <v>0</v>
      </c>
      <c r="P2448" s="199">
        <f t="shared" si="305"/>
        <v>0</v>
      </c>
      <c r="Q2448" s="203">
        <f t="shared" si="309"/>
        <v>-21.899999999998638</v>
      </c>
      <c r="R2448" s="160" t="s">
        <v>55</v>
      </c>
      <c r="S2448" s="201">
        <f t="shared" si="310"/>
        <v>1.3157894736842257E-2</v>
      </c>
    </row>
    <row r="2449" spans="1:19">
      <c r="A2449" s="196">
        <v>43523</v>
      </c>
      <c r="B2449" s="122">
        <v>15.21</v>
      </c>
      <c r="C2449" s="122">
        <v>15.52</v>
      </c>
      <c r="D2449" s="122">
        <v>14.81</v>
      </c>
      <c r="E2449" s="122">
        <v>14.97</v>
      </c>
      <c r="F2449" s="122">
        <v>14.58544</v>
      </c>
      <c r="G2449" s="197">
        <v>173300</v>
      </c>
      <c r="H2449" s="198">
        <f>IF(AND(E2448&gt;=H2448,E2449&gt;=E2448),E2448*(1+'Trading Model'!$E$13),IF(AND(E2449&lt;E2448,E2448&gt;=H2448),E2449*(1+'Trading Model'!$E$13),H2448))</f>
        <v>39.921000000000006</v>
      </c>
      <c r="I2449" s="198">
        <f>IF(K2449&gt;0,E2449*(1-'Trading Model'!E2459),IF(E2449&lt;I2448,I2448*(1-'Trading Model'!$E$14),I2448))</f>
        <v>13.794538294280692</v>
      </c>
      <c r="J2449" s="198">
        <f t="shared" si="311"/>
        <v>0</v>
      </c>
      <c r="K2449" s="198">
        <f t="shared" si="306"/>
        <v>0</v>
      </c>
      <c r="L2449" s="198">
        <f>COUNTIF(J2449:K2449,"&lt;&gt;0")*-'Trading Model'!$E$15</f>
        <v>0</v>
      </c>
      <c r="M2449" s="198">
        <f t="shared" si="304"/>
        <v>0</v>
      </c>
      <c r="N2449" s="75">
        <f t="shared" si="307"/>
        <v>73</v>
      </c>
      <c r="O2449" s="202">
        <f t="shared" si="308"/>
        <v>0</v>
      </c>
      <c r="P2449" s="199">
        <f t="shared" si="305"/>
        <v>0</v>
      </c>
      <c r="Q2449" s="203">
        <f t="shared" si="309"/>
        <v>-21.999999999998639</v>
      </c>
      <c r="R2449" s="203" t="s">
        <v>55</v>
      </c>
      <c r="S2449" s="201">
        <f t="shared" si="310"/>
        <v>-2.7922077922077904E-2</v>
      </c>
    </row>
    <row r="2450" spans="1:19">
      <c r="A2450" s="196">
        <v>43524</v>
      </c>
      <c r="B2450" s="122">
        <v>14.99</v>
      </c>
      <c r="C2450" s="122">
        <v>15.18</v>
      </c>
      <c r="D2450" s="122">
        <v>14.8</v>
      </c>
      <c r="E2450" s="122">
        <v>14.89</v>
      </c>
      <c r="F2450" s="122">
        <v>14.507495</v>
      </c>
      <c r="G2450" s="197">
        <v>388100</v>
      </c>
      <c r="H2450" s="198">
        <f>IF(AND(E2449&gt;=H2449,E2450&gt;=E2449),E2449*(1+'Trading Model'!$E$13),IF(AND(E2450&lt;E2449,E2449&gt;=H2449),E2450*(1+'Trading Model'!$E$13),H2449))</f>
        <v>39.921000000000006</v>
      </c>
      <c r="I2450" s="198">
        <f>IF(K2450&gt;0,E2450*(1-'Trading Model'!E2460),IF(E2450&lt;I2449,I2449*(1-'Trading Model'!$E$14),I2449))</f>
        <v>13.794538294280692</v>
      </c>
      <c r="J2450" s="198">
        <f t="shared" si="311"/>
        <v>0</v>
      </c>
      <c r="K2450" s="198">
        <f t="shared" si="306"/>
        <v>0</v>
      </c>
      <c r="L2450" s="198">
        <f>COUNTIF(J2450:K2450,"&lt;&gt;0")*-'Trading Model'!$E$15</f>
        <v>0</v>
      </c>
      <c r="M2450" s="198">
        <f t="shared" si="304"/>
        <v>0</v>
      </c>
      <c r="N2450" s="75">
        <f t="shared" si="307"/>
        <v>73</v>
      </c>
      <c r="O2450" s="202">
        <f t="shared" si="308"/>
        <v>0</v>
      </c>
      <c r="P2450" s="199">
        <f t="shared" si="305"/>
        <v>0</v>
      </c>
      <c r="Q2450" s="203">
        <f t="shared" si="309"/>
        <v>-22.099999999998641</v>
      </c>
      <c r="R2450" s="203" t="s">
        <v>55</v>
      </c>
      <c r="S2450" s="201">
        <f t="shared" si="310"/>
        <v>-5.3440213760854727E-3</v>
      </c>
    </row>
    <row r="2451" spans="1:19">
      <c r="A2451" s="196">
        <v>43525</v>
      </c>
      <c r="B2451" s="122">
        <v>14.89</v>
      </c>
      <c r="C2451" s="122">
        <v>15.74</v>
      </c>
      <c r="D2451" s="122">
        <v>14.59</v>
      </c>
      <c r="E2451" s="122">
        <v>14.9</v>
      </c>
      <c r="F2451" s="122">
        <v>14.517237</v>
      </c>
      <c r="G2451" s="197">
        <v>190400</v>
      </c>
      <c r="H2451" s="198">
        <f>IF(AND(E2450&gt;=H2450,E2451&gt;=E2450),E2450*(1+'Trading Model'!$E$13),IF(AND(E2451&lt;E2450,E2450&gt;=H2450),E2451*(1+'Trading Model'!$E$13),H2450))</f>
        <v>39.921000000000006</v>
      </c>
      <c r="I2451" s="198">
        <f>IF(K2451&gt;0,E2451*(1-'Trading Model'!E2461),IF(E2451&lt;I2450,I2450*(1-'Trading Model'!$E$14),I2450))</f>
        <v>13.794538294280692</v>
      </c>
      <c r="J2451" s="198">
        <f t="shared" si="311"/>
        <v>0</v>
      </c>
      <c r="K2451" s="198">
        <f t="shared" si="306"/>
        <v>0</v>
      </c>
      <c r="L2451" s="198">
        <f>COUNTIF(J2451:K2451,"&lt;&gt;0")*-'Trading Model'!$E$15</f>
        <v>0</v>
      </c>
      <c r="M2451" s="198">
        <f t="shared" si="304"/>
        <v>0</v>
      </c>
      <c r="N2451" s="75">
        <f t="shared" si="307"/>
        <v>73</v>
      </c>
      <c r="O2451" s="202">
        <f t="shared" si="308"/>
        <v>0</v>
      </c>
      <c r="P2451" s="199">
        <f t="shared" si="305"/>
        <v>0</v>
      </c>
      <c r="Q2451" s="203">
        <f t="shared" si="309"/>
        <v>-22.099999999998641</v>
      </c>
      <c r="R2451" s="203" t="s">
        <v>55</v>
      </c>
      <c r="S2451" s="201">
        <f t="shared" si="310"/>
        <v>6.7159167226327199E-4</v>
      </c>
    </row>
    <row r="2452" spans="1:19">
      <c r="A2452" s="196">
        <v>43528</v>
      </c>
      <c r="B2452" s="122">
        <v>15.01</v>
      </c>
      <c r="C2452" s="122">
        <v>15.43</v>
      </c>
      <c r="D2452" s="122">
        <v>14.72</v>
      </c>
      <c r="E2452" s="122">
        <v>15.03</v>
      </c>
      <c r="F2452" s="122">
        <v>14.643898</v>
      </c>
      <c r="G2452" s="197">
        <v>125400</v>
      </c>
      <c r="H2452" s="198">
        <f>IF(AND(E2451&gt;=H2451,E2452&gt;=E2451),E2451*(1+'Trading Model'!$E$13),IF(AND(E2452&lt;E2451,E2451&gt;=H2451),E2452*(1+'Trading Model'!$E$13),H2451))</f>
        <v>39.921000000000006</v>
      </c>
      <c r="I2452" s="198">
        <f>IF(K2452&gt;0,E2452*(1-'Trading Model'!E2462),IF(E2452&lt;I2451,I2451*(1-'Trading Model'!$E$14),I2451))</f>
        <v>13.794538294280692</v>
      </c>
      <c r="J2452" s="198">
        <f t="shared" si="311"/>
        <v>0</v>
      </c>
      <c r="K2452" s="198">
        <f t="shared" si="306"/>
        <v>0</v>
      </c>
      <c r="L2452" s="198">
        <f>COUNTIF(J2452:K2452,"&lt;&gt;0")*-'Trading Model'!$E$15</f>
        <v>0</v>
      </c>
      <c r="M2452" s="198">
        <f t="shared" si="304"/>
        <v>0</v>
      </c>
      <c r="N2452" s="75">
        <f t="shared" si="307"/>
        <v>73</v>
      </c>
      <c r="O2452" s="202">
        <f t="shared" si="308"/>
        <v>0</v>
      </c>
      <c r="P2452" s="199">
        <f t="shared" si="305"/>
        <v>0</v>
      </c>
      <c r="Q2452" s="203">
        <f t="shared" si="309"/>
        <v>-22.099999999998641</v>
      </c>
      <c r="R2452" s="201">
        <f>E2452/B2448-1</f>
        <v>-6.6093853271647074E-3</v>
      </c>
      <c r="S2452" s="201">
        <f t="shared" si="310"/>
        <v>8.7248322147650548E-3</v>
      </c>
    </row>
    <row r="2453" spans="1:19">
      <c r="A2453" s="196">
        <v>43529</v>
      </c>
      <c r="B2453" s="122">
        <v>15.06</v>
      </c>
      <c r="C2453" s="122">
        <v>15.59</v>
      </c>
      <c r="D2453" s="122">
        <v>14.71</v>
      </c>
      <c r="E2453" s="122">
        <v>15.35</v>
      </c>
      <c r="F2453" s="122">
        <v>14.955678000000001</v>
      </c>
      <c r="G2453" s="197">
        <v>252400</v>
      </c>
      <c r="H2453" s="198">
        <f>IF(AND(E2452&gt;=H2452,E2453&gt;=E2452),E2452*(1+'Trading Model'!$E$13),IF(AND(E2453&lt;E2452,E2452&gt;=H2452),E2453*(1+'Trading Model'!$E$13),H2452))</f>
        <v>39.921000000000006</v>
      </c>
      <c r="I2453" s="198">
        <f>IF(K2453&gt;0,E2453*(1-'Trading Model'!E2463),IF(E2453&lt;I2452,I2452*(1-'Trading Model'!$E$14),I2452))</f>
        <v>13.794538294280692</v>
      </c>
      <c r="J2453" s="198">
        <f t="shared" si="311"/>
        <v>0</v>
      </c>
      <c r="K2453" s="198">
        <f t="shared" si="306"/>
        <v>0</v>
      </c>
      <c r="L2453" s="198">
        <f>COUNTIF(J2453:K2453,"&lt;&gt;0")*-'Trading Model'!$E$15</f>
        <v>0</v>
      </c>
      <c r="M2453" s="198">
        <f t="shared" si="304"/>
        <v>0</v>
      </c>
      <c r="N2453" s="75">
        <f t="shared" si="307"/>
        <v>73</v>
      </c>
      <c r="O2453" s="202">
        <f t="shared" si="308"/>
        <v>0</v>
      </c>
      <c r="P2453" s="199">
        <f t="shared" si="305"/>
        <v>0</v>
      </c>
      <c r="Q2453" s="203">
        <f t="shared" si="309"/>
        <v>-22.099999999998641</v>
      </c>
      <c r="R2453" s="160" t="s">
        <v>55</v>
      </c>
      <c r="S2453" s="201">
        <f t="shared" si="310"/>
        <v>2.1290751829674104E-2</v>
      </c>
    </row>
    <row r="2454" spans="1:19">
      <c r="A2454" s="196">
        <v>43530</v>
      </c>
      <c r="B2454" s="122">
        <v>15.41</v>
      </c>
      <c r="C2454" s="122">
        <v>15.54</v>
      </c>
      <c r="D2454" s="122">
        <v>14.57</v>
      </c>
      <c r="E2454" s="122">
        <v>14.95</v>
      </c>
      <c r="F2454" s="122">
        <v>14.565951999999999</v>
      </c>
      <c r="G2454" s="197">
        <v>370400</v>
      </c>
      <c r="H2454" s="198">
        <f>IF(AND(E2453&gt;=H2453,E2454&gt;=E2453),E2453*(1+'Trading Model'!$E$13),IF(AND(E2454&lt;E2453,E2453&gt;=H2453),E2454*(1+'Trading Model'!$E$13),H2453))</f>
        <v>39.921000000000006</v>
      </c>
      <c r="I2454" s="198">
        <f>IF(K2454&gt;0,E2454*(1-'Trading Model'!E2464),IF(E2454&lt;I2453,I2453*(1-'Trading Model'!$E$14),I2453))</f>
        <v>13.794538294280692</v>
      </c>
      <c r="J2454" s="198">
        <f t="shared" si="311"/>
        <v>0</v>
      </c>
      <c r="K2454" s="198">
        <f t="shared" si="306"/>
        <v>0</v>
      </c>
      <c r="L2454" s="198">
        <f>COUNTIF(J2454:K2454,"&lt;&gt;0")*-'Trading Model'!$E$15</f>
        <v>0</v>
      </c>
      <c r="M2454" s="198">
        <f t="shared" si="304"/>
        <v>0</v>
      </c>
      <c r="N2454" s="75">
        <f t="shared" si="307"/>
        <v>73</v>
      </c>
      <c r="O2454" s="202">
        <f t="shared" si="308"/>
        <v>0</v>
      </c>
      <c r="P2454" s="199">
        <f t="shared" si="305"/>
        <v>0</v>
      </c>
      <c r="Q2454" s="203">
        <f t="shared" si="309"/>
        <v>-22.199999999998642</v>
      </c>
      <c r="R2454" s="203" t="s">
        <v>55</v>
      </c>
      <c r="S2454" s="201">
        <f t="shared" si="310"/>
        <v>-2.6058631921824116E-2</v>
      </c>
    </row>
    <row r="2455" spans="1:19">
      <c r="A2455" s="196">
        <v>43531</v>
      </c>
      <c r="B2455" s="122">
        <v>14.88</v>
      </c>
      <c r="C2455" s="122">
        <v>15</v>
      </c>
      <c r="D2455" s="122">
        <v>14.61</v>
      </c>
      <c r="E2455" s="122">
        <v>14.78</v>
      </c>
      <c r="F2455" s="122">
        <v>14.400320000000001</v>
      </c>
      <c r="G2455" s="197">
        <v>227700</v>
      </c>
      <c r="H2455" s="198">
        <f>IF(AND(E2454&gt;=H2454,E2455&gt;=E2454),E2454*(1+'Trading Model'!$E$13),IF(AND(E2455&lt;E2454,E2454&gt;=H2454),E2455*(1+'Trading Model'!$E$13),H2454))</f>
        <v>39.921000000000006</v>
      </c>
      <c r="I2455" s="198">
        <f>IF(K2455&gt;0,E2455*(1-'Trading Model'!E2465),IF(E2455&lt;I2454,I2454*(1-'Trading Model'!$E$14),I2454))</f>
        <v>13.794538294280692</v>
      </c>
      <c r="J2455" s="198">
        <f t="shared" si="311"/>
        <v>0</v>
      </c>
      <c r="K2455" s="198">
        <f t="shared" si="306"/>
        <v>0</v>
      </c>
      <c r="L2455" s="198">
        <f>COUNTIF(J2455:K2455,"&lt;&gt;0")*-'Trading Model'!$E$15</f>
        <v>0</v>
      </c>
      <c r="M2455" s="198">
        <f t="shared" si="304"/>
        <v>0</v>
      </c>
      <c r="N2455" s="75">
        <f t="shared" si="307"/>
        <v>73</v>
      </c>
      <c r="O2455" s="202">
        <f t="shared" si="308"/>
        <v>0</v>
      </c>
      <c r="P2455" s="199">
        <f t="shared" si="305"/>
        <v>0</v>
      </c>
      <c r="Q2455" s="203">
        <f t="shared" si="309"/>
        <v>-22.299999999998644</v>
      </c>
      <c r="R2455" s="203" t="s">
        <v>55</v>
      </c>
      <c r="S2455" s="201">
        <f t="shared" si="310"/>
        <v>-1.1371237458194017E-2</v>
      </c>
    </row>
    <row r="2456" spans="1:19">
      <c r="A2456" s="196">
        <v>43532</v>
      </c>
      <c r="B2456" s="122">
        <v>14.82</v>
      </c>
      <c r="C2456" s="122">
        <v>15.24</v>
      </c>
      <c r="D2456" s="122">
        <v>14.6</v>
      </c>
      <c r="E2456" s="122">
        <v>14.81</v>
      </c>
      <c r="F2456" s="122">
        <v>14.429550000000001</v>
      </c>
      <c r="G2456" s="197">
        <v>219600</v>
      </c>
      <c r="H2456" s="198">
        <f>IF(AND(E2455&gt;=H2455,E2456&gt;=E2455),E2455*(1+'Trading Model'!$E$13),IF(AND(E2456&lt;E2455,E2455&gt;=H2455),E2456*(1+'Trading Model'!$E$13),H2455))</f>
        <v>39.921000000000006</v>
      </c>
      <c r="I2456" s="198">
        <f>IF(K2456&gt;0,E2456*(1-'Trading Model'!E2466),IF(E2456&lt;I2455,I2455*(1-'Trading Model'!$E$14),I2455))</f>
        <v>13.794538294280692</v>
      </c>
      <c r="J2456" s="198">
        <f t="shared" si="311"/>
        <v>0</v>
      </c>
      <c r="K2456" s="198">
        <f t="shared" si="306"/>
        <v>0</v>
      </c>
      <c r="L2456" s="198">
        <f>COUNTIF(J2456:K2456,"&lt;&gt;0")*-'Trading Model'!$E$15</f>
        <v>0</v>
      </c>
      <c r="M2456" s="198">
        <f t="shared" si="304"/>
        <v>0</v>
      </c>
      <c r="N2456" s="75">
        <f t="shared" si="307"/>
        <v>73</v>
      </c>
      <c r="O2456" s="202">
        <f t="shared" si="308"/>
        <v>0</v>
      </c>
      <c r="P2456" s="199">
        <f t="shared" si="305"/>
        <v>0</v>
      </c>
      <c r="Q2456" s="203">
        <f t="shared" si="309"/>
        <v>-22.299999999998644</v>
      </c>
      <c r="R2456" s="203" t="s">
        <v>55</v>
      </c>
      <c r="S2456" s="201">
        <f t="shared" si="310"/>
        <v>2.0297699594047369E-3</v>
      </c>
    </row>
    <row r="2457" spans="1:19">
      <c r="A2457" s="196">
        <v>43535</v>
      </c>
      <c r="B2457" s="122">
        <v>14.9</v>
      </c>
      <c r="C2457" s="122">
        <v>15.81</v>
      </c>
      <c r="D2457" s="122">
        <v>14.85</v>
      </c>
      <c r="E2457" s="122">
        <v>15.13</v>
      </c>
      <c r="F2457" s="122">
        <v>14.741329</v>
      </c>
      <c r="G2457" s="197">
        <v>401700</v>
      </c>
      <c r="H2457" s="198">
        <f>IF(AND(E2456&gt;=H2456,E2457&gt;=E2456),E2456*(1+'Trading Model'!$E$13),IF(AND(E2457&lt;E2456,E2456&gt;=H2456),E2457*(1+'Trading Model'!$E$13),H2456))</f>
        <v>39.921000000000006</v>
      </c>
      <c r="I2457" s="198">
        <f>IF(K2457&gt;0,E2457*(1-'Trading Model'!E2467),IF(E2457&lt;I2456,I2456*(1-'Trading Model'!$E$14),I2456))</f>
        <v>13.794538294280692</v>
      </c>
      <c r="J2457" s="198">
        <f t="shared" si="311"/>
        <v>0</v>
      </c>
      <c r="K2457" s="198">
        <f t="shared" si="306"/>
        <v>0</v>
      </c>
      <c r="L2457" s="198">
        <f>COUNTIF(J2457:K2457,"&lt;&gt;0")*-'Trading Model'!$E$15</f>
        <v>0</v>
      </c>
      <c r="M2457" s="198">
        <f t="shared" si="304"/>
        <v>0</v>
      </c>
      <c r="N2457" s="75">
        <f t="shared" si="307"/>
        <v>73</v>
      </c>
      <c r="O2457" s="202">
        <f t="shared" si="308"/>
        <v>0</v>
      </c>
      <c r="P2457" s="199">
        <f t="shared" si="305"/>
        <v>0</v>
      </c>
      <c r="Q2457" s="203">
        <f t="shared" si="309"/>
        <v>-22.299999999998644</v>
      </c>
      <c r="R2457" s="201">
        <f>E2457/B2453-1</f>
        <v>4.6480743691899029E-3</v>
      </c>
      <c r="S2457" s="201">
        <f t="shared" si="310"/>
        <v>2.1607022282241761E-2</v>
      </c>
    </row>
    <row r="2458" spans="1:19">
      <c r="A2458" s="196">
        <v>43536</v>
      </c>
      <c r="B2458" s="122">
        <v>15.23</v>
      </c>
      <c r="C2458" s="122">
        <v>15.37</v>
      </c>
      <c r="D2458" s="122">
        <v>15.03</v>
      </c>
      <c r="E2458" s="122">
        <v>15.26</v>
      </c>
      <c r="F2458" s="122">
        <v>14.867990000000001</v>
      </c>
      <c r="G2458" s="197">
        <v>268200</v>
      </c>
      <c r="H2458" s="198">
        <f>IF(AND(E2457&gt;=H2457,E2458&gt;=E2457),E2457*(1+'Trading Model'!$E$13),IF(AND(E2458&lt;E2457,E2457&gt;=H2457),E2458*(1+'Trading Model'!$E$13),H2457))</f>
        <v>39.921000000000006</v>
      </c>
      <c r="I2458" s="198">
        <f>IF(K2458&gt;0,E2458*(1-'Trading Model'!E2468),IF(E2458&lt;I2457,I2457*(1-'Trading Model'!$E$14),I2457))</f>
        <v>13.794538294280692</v>
      </c>
      <c r="J2458" s="198">
        <f t="shared" si="311"/>
        <v>0</v>
      </c>
      <c r="K2458" s="198">
        <f t="shared" si="306"/>
        <v>0</v>
      </c>
      <c r="L2458" s="198">
        <f>COUNTIF(J2458:K2458,"&lt;&gt;0")*-'Trading Model'!$E$15</f>
        <v>0</v>
      </c>
      <c r="M2458" s="198">
        <f t="shared" si="304"/>
        <v>0</v>
      </c>
      <c r="N2458" s="75">
        <f t="shared" si="307"/>
        <v>73</v>
      </c>
      <c r="O2458" s="202">
        <f t="shared" si="308"/>
        <v>0</v>
      </c>
      <c r="P2458" s="199">
        <f t="shared" si="305"/>
        <v>0</v>
      </c>
      <c r="Q2458" s="203">
        <f t="shared" si="309"/>
        <v>-22.299999999998644</v>
      </c>
      <c r="R2458" s="160" t="s">
        <v>55</v>
      </c>
      <c r="S2458" s="201">
        <f t="shared" si="310"/>
        <v>8.5922009253138754E-3</v>
      </c>
    </row>
    <row r="2459" spans="1:19">
      <c r="A2459" s="196">
        <v>43537</v>
      </c>
      <c r="B2459" s="122">
        <v>15.22</v>
      </c>
      <c r="C2459" s="122">
        <v>15.76</v>
      </c>
      <c r="D2459" s="122">
        <v>14.89</v>
      </c>
      <c r="E2459" s="122">
        <v>15.34</v>
      </c>
      <c r="F2459" s="122">
        <v>14.945933999999999</v>
      </c>
      <c r="G2459" s="197">
        <v>436400</v>
      </c>
      <c r="H2459" s="198">
        <f>IF(AND(E2458&gt;=H2458,E2459&gt;=E2458),E2458*(1+'Trading Model'!$E$13),IF(AND(E2459&lt;E2458,E2458&gt;=H2458),E2459*(1+'Trading Model'!$E$13),H2458))</f>
        <v>39.921000000000006</v>
      </c>
      <c r="I2459" s="198">
        <f>IF(K2459&gt;0,E2459*(1-'Trading Model'!E2469),IF(E2459&lt;I2458,I2458*(1-'Trading Model'!$E$14),I2458))</f>
        <v>13.794538294280692</v>
      </c>
      <c r="J2459" s="198">
        <f t="shared" si="311"/>
        <v>0</v>
      </c>
      <c r="K2459" s="198">
        <f t="shared" si="306"/>
        <v>0</v>
      </c>
      <c r="L2459" s="198">
        <f>COUNTIF(J2459:K2459,"&lt;&gt;0")*-'Trading Model'!$E$15</f>
        <v>0</v>
      </c>
      <c r="M2459" s="198">
        <f t="shared" si="304"/>
        <v>0</v>
      </c>
      <c r="N2459" s="75">
        <f t="shared" si="307"/>
        <v>73</v>
      </c>
      <c r="O2459" s="202">
        <f t="shared" si="308"/>
        <v>0</v>
      </c>
      <c r="P2459" s="199">
        <f t="shared" si="305"/>
        <v>0</v>
      </c>
      <c r="Q2459" s="203">
        <f t="shared" si="309"/>
        <v>-22.299999999998644</v>
      </c>
      <c r="R2459" s="203" t="s">
        <v>55</v>
      </c>
      <c r="S2459" s="201">
        <f t="shared" si="310"/>
        <v>5.2424639580603838E-3</v>
      </c>
    </row>
    <row r="2460" spans="1:19">
      <c r="A2460" s="196">
        <v>43538</v>
      </c>
      <c r="B2460" s="122">
        <v>15.27</v>
      </c>
      <c r="C2460" s="122">
        <v>15.44</v>
      </c>
      <c r="D2460" s="122">
        <v>15</v>
      </c>
      <c r="E2460" s="122">
        <v>15.2</v>
      </c>
      <c r="F2460" s="122">
        <v>14.809530000000001</v>
      </c>
      <c r="G2460" s="197">
        <v>121300</v>
      </c>
      <c r="H2460" s="198">
        <f>IF(AND(E2459&gt;=H2459,E2460&gt;=E2459),E2459*(1+'Trading Model'!$E$13),IF(AND(E2460&lt;E2459,E2459&gt;=H2459),E2460*(1+'Trading Model'!$E$13),H2459))</f>
        <v>39.921000000000006</v>
      </c>
      <c r="I2460" s="198">
        <f>IF(K2460&gt;0,E2460*(1-'Trading Model'!E2470),IF(E2460&lt;I2459,I2459*(1-'Trading Model'!$E$14),I2459))</f>
        <v>13.794538294280692</v>
      </c>
      <c r="J2460" s="198">
        <f t="shared" si="311"/>
        <v>0</v>
      </c>
      <c r="K2460" s="198">
        <f t="shared" si="306"/>
        <v>0</v>
      </c>
      <c r="L2460" s="198">
        <f>COUNTIF(J2460:K2460,"&lt;&gt;0")*-'Trading Model'!$E$15</f>
        <v>0</v>
      </c>
      <c r="M2460" s="198">
        <f t="shared" si="304"/>
        <v>0</v>
      </c>
      <c r="N2460" s="75">
        <f t="shared" si="307"/>
        <v>73</v>
      </c>
      <c r="O2460" s="202">
        <f t="shared" si="308"/>
        <v>0</v>
      </c>
      <c r="P2460" s="199">
        <f t="shared" si="305"/>
        <v>0</v>
      </c>
      <c r="Q2460" s="203">
        <f t="shared" si="309"/>
        <v>-22.399999999998645</v>
      </c>
      <c r="R2460" s="203" t="s">
        <v>55</v>
      </c>
      <c r="S2460" s="201">
        <f t="shared" si="310"/>
        <v>-9.126466753585416E-3</v>
      </c>
    </row>
    <row r="2461" spans="1:19">
      <c r="A2461" s="196">
        <v>43539</v>
      </c>
      <c r="B2461" s="122">
        <v>15.16</v>
      </c>
      <c r="C2461" s="122">
        <v>15.81</v>
      </c>
      <c r="D2461" s="122">
        <v>15.02</v>
      </c>
      <c r="E2461" s="122">
        <v>15.17</v>
      </c>
      <c r="F2461" s="122">
        <v>14.780301</v>
      </c>
      <c r="G2461" s="197">
        <v>451100</v>
      </c>
      <c r="H2461" s="198">
        <f>IF(AND(E2460&gt;=H2460,E2461&gt;=E2460),E2460*(1+'Trading Model'!$E$13),IF(AND(E2461&lt;E2460,E2460&gt;=H2460),E2461*(1+'Trading Model'!$E$13),H2460))</f>
        <v>39.921000000000006</v>
      </c>
      <c r="I2461" s="198">
        <f>IF(K2461&gt;0,E2461*(1-'Trading Model'!E2471),IF(E2461&lt;I2460,I2460*(1-'Trading Model'!$E$14),I2460))</f>
        <v>13.794538294280692</v>
      </c>
      <c r="J2461" s="198">
        <f t="shared" si="311"/>
        <v>0</v>
      </c>
      <c r="K2461" s="198">
        <f t="shared" si="306"/>
        <v>0</v>
      </c>
      <c r="L2461" s="198">
        <f>COUNTIF(J2461:K2461,"&lt;&gt;0")*-'Trading Model'!$E$15</f>
        <v>0</v>
      </c>
      <c r="M2461" s="198">
        <f t="shared" si="304"/>
        <v>0</v>
      </c>
      <c r="N2461" s="75">
        <f t="shared" si="307"/>
        <v>73</v>
      </c>
      <c r="O2461" s="202">
        <f t="shared" si="308"/>
        <v>0</v>
      </c>
      <c r="P2461" s="199">
        <f t="shared" si="305"/>
        <v>0</v>
      </c>
      <c r="Q2461" s="203">
        <f t="shared" si="309"/>
        <v>-22.499999999998646</v>
      </c>
      <c r="R2461" s="203" t="s">
        <v>55</v>
      </c>
      <c r="S2461" s="201">
        <f t="shared" si="310"/>
        <v>-1.9736842105262387E-3</v>
      </c>
    </row>
    <row r="2462" spans="1:19">
      <c r="A2462" s="196">
        <v>43542</v>
      </c>
      <c r="B2462" s="122">
        <v>15.18</v>
      </c>
      <c r="C2462" s="122">
        <v>15.69</v>
      </c>
      <c r="D2462" s="122">
        <v>15.12</v>
      </c>
      <c r="E2462" s="122">
        <v>15.67</v>
      </c>
      <c r="F2462" s="122">
        <v>15.267457</v>
      </c>
      <c r="G2462" s="197">
        <v>264300</v>
      </c>
      <c r="H2462" s="198">
        <f>IF(AND(E2461&gt;=H2461,E2462&gt;=E2461),E2461*(1+'Trading Model'!$E$13),IF(AND(E2462&lt;E2461,E2461&gt;=H2461),E2462*(1+'Trading Model'!$E$13),H2461))</f>
        <v>39.921000000000006</v>
      </c>
      <c r="I2462" s="198">
        <f>IF(K2462&gt;0,E2462*(1-'Trading Model'!E2472),IF(E2462&lt;I2461,I2461*(1-'Trading Model'!$E$14),I2461))</f>
        <v>13.794538294280692</v>
      </c>
      <c r="J2462" s="198">
        <f t="shared" si="311"/>
        <v>0</v>
      </c>
      <c r="K2462" s="198">
        <f t="shared" si="306"/>
        <v>0</v>
      </c>
      <c r="L2462" s="198">
        <f>COUNTIF(J2462:K2462,"&lt;&gt;0")*-'Trading Model'!$E$15</f>
        <v>0</v>
      </c>
      <c r="M2462" s="198">
        <f t="shared" si="304"/>
        <v>0</v>
      </c>
      <c r="N2462" s="75">
        <f t="shared" si="307"/>
        <v>73</v>
      </c>
      <c r="O2462" s="202">
        <f t="shared" si="308"/>
        <v>0</v>
      </c>
      <c r="P2462" s="199">
        <f t="shared" si="305"/>
        <v>0</v>
      </c>
      <c r="Q2462" s="203">
        <f t="shared" si="309"/>
        <v>-22.499999999998646</v>
      </c>
      <c r="R2462" s="201">
        <f>E2462/B2458-1</f>
        <v>2.8890347997373667E-2</v>
      </c>
      <c r="S2462" s="201">
        <f t="shared" si="310"/>
        <v>3.2959789057350086E-2</v>
      </c>
    </row>
    <row r="2463" spans="1:19">
      <c r="A2463" s="196">
        <v>43543</v>
      </c>
      <c r="B2463" s="122">
        <v>15.58</v>
      </c>
      <c r="C2463" s="122">
        <v>15.83</v>
      </c>
      <c r="D2463" s="122">
        <v>15.34</v>
      </c>
      <c r="E2463" s="122">
        <v>15.53</v>
      </c>
      <c r="F2463" s="122">
        <v>15.131053</v>
      </c>
      <c r="G2463" s="197">
        <v>160900</v>
      </c>
      <c r="H2463" s="198">
        <f>IF(AND(E2462&gt;=H2462,E2463&gt;=E2462),E2462*(1+'Trading Model'!$E$13),IF(AND(E2463&lt;E2462,E2462&gt;=H2462),E2463*(1+'Trading Model'!$E$13),H2462))</f>
        <v>39.921000000000006</v>
      </c>
      <c r="I2463" s="198">
        <f>IF(K2463&gt;0,E2463*(1-'Trading Model'!E2473),IF(E2463&lt;I2462,I2462*(1-'Trading Model'!$E$14),I2462))</f>
        <v>13.794538294280692</v>
      </c>
      <c r="J2463" s="198">
        <f t="shared" si="311"/>
        <v>0</v>
      </c>
      <c r="K2463" s="198">
        <f t="shared" si="306"/>
        <v>0</v>
      </c>
      <c r="L2463" s="198">
        <f>COUNTIF(J2463:K2463,"&lt;&gt;0")*-'Trading Model'!$E$15</f>
        <v>0</v>
      </c>
      <c r="M2463" s="198">
        <f t="shared" si="304"/>
        <v>0</v>
      </c>
      <c r="N2463" s="75">
        <f t="shared" si="307"/>
        <v>73</v>
      </c>
      <c r="O2463" s="202">
        <f t="shared" si="308"/>
        <v>0</v>
      </c>
      <c r="P2463" s="199">
        <f t="shared" si="305"/>
        <v>0</v>
      </c>
      <c r="Q2463" s="203">
        <f t="shared" si="309"/>
        <v>-22.599999999998648</v>
      </c>
      <c r="R2463" s="160" t="s">
        <v>55</v>
      </c>
      <c r="S2463" s="201">
        <f t="shared" si="310"/>
        <v>-8.9342693044033306E-3</v>
      </c>
    </row>
    <row r="2464" spans="1:19">
      <c r="A2464" s="196">
        <v>43544</v>
      </c>
      <c r="B2464" s="122">
        <v>15.41</v>
      </c>
      <c r="C2464" s="122">
        <v>15.68</v>
      </c>
      <c r="D2464" s="122">
        <v>15.25</v>
      </c>
      <c r="E2464" s="122">
        <v>15.5</v>
      </c>
      <c r="F2464" s="122">
        <v>15.101824000000001</v>
      </c>
      <c r="G2464" s="197">
        <v>184100</v>
      </c>
      <c r="H2464" s="198">
        <f>IF(AND(E2463&gt;=H2463,E2464&gt;=E2463),E2463*(1+'Trading Model'!$E$13),IF(AND(E2464&lt;E2463,E2463&gt;=H2463),E2464*(1+'Trading Model'!$E$13),H2463))</f>
        <v>39.921000000000006</v>
      </c>
      <c r="I2464" s="198">
        <f>IF(K2464&gt;0,E2464*(1-'Trading Model'!E2474),IF(E2464&lt;I2463,I2463*(1-'Trading Model'!$E$14),I2463))</f>
        <v>13.794538294280692</v>
      </c>
      <c r="J2464" s="198">
        <f t="shared" si="311"/>
        <v>0</v>
      </c>
      <c r="K2464" s="198">
        <f t="shared" si="306"/>
        <v>0</v>
      </c>
      <c r="L2464" s="198">
        <f>COUNTIF(J2464:K2464,"&lt;&gt;0")*-'Trading Model'!$E$15</f>
        <v>0</v>
      </c>
      <c r="M2464" s="198">
        <f t="shared" si="304"/>
        <v>0</v>
      </c>
      <c r="N2464" s="75">
        <f t="shared" si="307"/>
        <v>73</v>
      </c>
      <c r="O2464" s="202">
        <f t="shared" si="308"/>
        <v>0</v>
      </c>
      <c r="P2464" s="199">
        <f t="shared" si="305"/>
        <v>0</v>
      </c>
      <c r="Q2464" s="203">
        <f t="shared" si="309"/>
        <v>-22.699999999998649</v>
      </c>
      <c r="R2464" s="203" t="s">
        <v>55</v>
      </c>
      <c r="S2464" s="201">
        <f t="shared" si="310"/>
        <v>-1.9317450096586475E-3</v>
      </c>
    </row>
    <row r="2465" spans="1:19">
      <c r="A2465" s="196">
        <v>43545</v>
      </c>
      <c r="B2465" s="122">
        <v>15.51</v>
      </c>
      <c r="C2465" s="122">
        <v>15.65</v>
      </c>
      <c r="D2465" s="122">
        <v>15.27</v>
      </c>
      <c r="E2465" s="122">
        <v>15.38</v>
      </c>
      <c r="F2465" s="122">
        <v>14.984907</v>
      </c>
      <c r="G2465" s="197">
        <v>120900</v>
      </c>
      <c r="H2465" s="198">
        <f>IF(AND(E2464&gt;=H2464,E2465&gt;=E2464),E2464*(1+'Trading Model'!$E$13),IF(AND(E2465&lt;E2464,E2464&gt;=H2464),E2465*(1+'Trading Model'!$E$13),H2464))</f>
        <v>39.921000000000006</v>
      </c>
      <c r="I2465" s="198">
        <f>IF(K2465&gt;0,E2465*(1-'Trading Model'!E2475),IF(E2465&lt;I2464,I2464*(1-'Trading Model'!$E$14),I2464))</f>
        <v>13.794538294280692</v>
      </c>
      <c r="J2465" s="198">
        <f t="shared" si="311"/>
        <v>0</v>
      </c>
      <c r="K2465" s="198">
        <f t="shared" si="306"/>
        <v>0</v>
      </c>
      <c r="L2465" s="198">
        <f>COUNTIF(J2465:K2465,"&lt;&gt;0")*-'Trading Model'!$E$15</f>
        <v>0</v>
      </c>
      <c r="M2465" s="198">
        <f t="shared" si="304"/>
        <v>0</v>
      </c>
      <c r="N2465" s="75">
        <f t="shared" si="307"/>
        <v>73</v>
      </c>
      <c r="O2465" s="202">
        <f t="shared" si="308"/>
        <v>0</v>
      </c>
      <c r="P2465" s="199">
        <f t="shared" si="305"/>
        <v>0</v>
      </c>
      <c r="Q2465" s="203">
        <f t="shared" si="309"/>
        <v>-22.799999999998651</v>
      </c>
      <c r="R2465" s="203" t="s">
        <v>55</v>
      </c>
      <c r="S2465" s="201">
        <f t="shared" si="310"/>
        <v>-7.7419354838709209E-3</v>
      </c>
    </row>
    <row r="2466" spans="1:19">
      <c r="A2466" s="196">
        <v>43546</v>
      </c>
      <c r="B2466" s="122">
        <v>15.09</v>
      </c>
      <c r="C2466" s="122">
        <v>15.29</v>
      </c>
      <c r="D2466" s="122">
        <v>14.81</v>
      </c>
      <c r="E2466" s="122">
        <v>14.99</v>
      </c>
      <c r="F2466" s="122">
        <v>14.604925</v>
      </c>
      <c r="G2466" s="197">
        <v>154000</v>
      </c>
      <c r="H2466" s="198">
        <f>IF(AND(E2465&gt;=H2465,E2466&gt;=E2465),E2465*(1+'Trading Model'!$E$13),IF(AND(E2466&lt;E2465,E2465&gt;=H2465),E2466*(1+'Trading Model'!$E$13),H2465))</f>
        <v>39.921000000000006</v>
      </c>
      <c r="I2466" s="198">
        <f>IF(K2466&gt;0,E2466*(1-'Trading Model'!E2476),IF(E2466&lt;I2465,I2465*(1-'Trading Model'!$E$14),I2465))</f>
        <v>13.794538294280692</v>
      </c>
      <c r="J2466" s="198">
        <f t="shared" si="311"/>
        <v>0</v>
      </c>
      <c r="K2466" s="198">
        <f t="shared" si="306"/>
        <v>0</v>
      </c>
      <c r="L2466" s="198">
        <f>COUNTIF(J2466:K2466,"&lt;&gt;0")*-'Trading Model'!$E$15</f>
        <v>0</v>
      </c>
      <c r="M2466" s="198">
        <f t="shared" si="304"/>
        <v>0</v>
      </c>
      <c r="N2466" s="75">
        <f t="shared" si="307"/>
        <v>73</v>
      </c>
      <c r="O2466" s="202">
        <f t="shared" si="308"/>
        <v>0</v>
      </c>
      <c r="P2466" s="199">
        <f t="shared" si="305"/>
        <v>0</v>
      </c>
      <c r="Q2466" s="203">
        <f t="shared" si="309"/>
        <v>-22.899999999998652</v>
      </c>
      <c r="R2466" s="203" t="s">
        <v>55</v>
      </c>
      <c r="S2466" s="201">
        <f t="shared" si="310"/>
        <v>-2.5357607282184724E-2</v>
      </c>
    </row>
    <row r="2467" spans="1:19">
      <c r="A2467" s="196">
        <v>43549</v>
      </c>
      <c r="B2467" s="122">
        <v>15.02</v>
      </c>
      <c r="C2467" s="122">
        <v>15.46</v>
      </c>
      <c r="D2467" s="122">
        <v>14.77</v>
      </c>
      <c r="E2467" s="122">
        <v>15.26</v>
      </c>
      <c r="F2467" s="122">
        <v>14.867990000000001</v>
      </c>
      <c r="G2467" s="197">
        <v>250900</v>
      </c>
      <c r="H2467" s="198">
        <f>IF(AND(E2466&gt;=H2466,E2467&gt;=E2466),E2466*(1+'Trading Model'!$E$13),IF(AND(E2467&lt;E2466,E2466&gt;=H2466),E2467*(1+'Trading Model'!$E$13),H2466))</f>
        <v>39.921000000000006</v>
      </c>
      <c r="I2467" s="198">
        <f>IF(K2467&gt;0,E2467*(1-'Trading Model'!E2477),IF(E2467&lt;I2466,I2466*(1-'Trading Model'!$E$14),I2466))</f>
        <v>13.794538294280692</v>
      </c>
      <c r="J2467" s="198">
        <f t="shared" si="311"/>
        <v>0</v>
      </c>
      <c r="K2467" s="198">
        <f t="shared" si="306"/>
        <v>0</v>
      </c>
      <c r="L2467" s="198">
        <f>COUNTIF(J2467:K2467,"&lt;&gt;0")*-'Trading Model'!$E$15</f>
        <v>0</v>
      </c>
      <c r="M2467" s="198">
        <f t="shared" si="304"/>
        <v>0</v>
      </c>
      <c r="N2467" s="75">
        <f t="shared" si="307"/>
        <v>73</v>
      </c>
      <c r="O2467" s="202">
        <f t="shared" si="308"/>
        <v>0</v>
      </c>
      <c r="P2467" s="199">
        <f t="shared" si="305"/>
        <v>0</v>
      </c>
      <c r="Q2467" s="203">
        <f t="shared" si="309"/>
        <v>-22.899999999998652</v>
      </c>
      <c r="R2467" s="201">
        <f>E2467/B2463-1</f>
        <v>-2.0539152759948665E-2</v>
      </c>
      <c r="S2467" s="201">
        <f t="shared" si="310"/>
        <v>1.8012008005336755E-2</v>
      </c>
    </row>
    <row r="2468" spans="1:19">
      <c r="A2468" s="196">
        <v>43550</v>
      </c>
      <c r="B2468" s="122">
        <v>15.35</v>
      </c>
      <c r="C2468" s="122">
        <v>15.48</v>
      </c>
      <c r="D2468" s="122">
        <v>14.71</v>
      </c>
      <c r="E2468" s="122">
        <v>14.98</v>
      </c>
      <c r="F2468" s="122">
        <v>14.595181</v>
      </c>
      <c r="G2468" s="197">
        <v>472600</v>
      </c>
      <c r="H2468" s="198">
        <f>IF(AND(E2467&gt;=H2467,E2468&gt;=E2467),E2467*(1+'Trading Model'!$E$13),IF(AND(E2468&lt;E2467,E2467&gt;=H2467),E2468*(1+'Trading Model'!$E$13),H2467))</f>
        <v>39.921000000000006</v>
      </c>
      <c r="I2468" s="198">
        <f>IF(K2468&gt;0,E2468*(1-'Trading Model'!E2478),IF(E2468&lt;I2467,I2467*(1-'Trading Model'!$E$14),I2467))</f>
        <v>13.794538294280692</v>
      </c>
      <c r="J2468" s="198">
        <f t="shared" si="311"/>
        <v>0</v>
      </c>
      <c r="K2468" s="198">
        <f t="shared" si="306"/>
        <v>0</v>
      </c>
      <c r="L2468" s="198">
        <f>COUNTIF(J2468:K2468,"&lt;&gt;0")*-'Trading Model'!$E$15</f>
        <v>0</v>
      </c>
      <c r="M2468" s="198">
        <f t="shared" si="304"/>
        <v>0</v>
      </c>
      <c r="N2468" s="75">
        <f t="shared" si="307"/>
        <v>73</v>
      </c>
      <c r="O2468" s="202">
        <f t="shared" si="308"/>
        <v>0</v>
      </c>
      <c r="P2468" s="199">
        <f t="shared" si="305"/>
        <v>0</v>
      </c>
      <c r="Q2468" s="203">
        <f t="shared" si="309"/>
        <v>-22.999999999998654</v>
      </c>
      <c r="R2468" s="160" t="s">
        <v>55</v>
      </c>
      <c r="S2468" s="201">
        <f t="shared" si="310"/>
        <v>-1.834862385321101E-2</v>
      </c>
    </row>
    <row r="2469" spans="1:19">
      <c r="A2469" s="196">
        <v>43551</v>
      </c>
      <c r="B2469" s="122">
        <v>14.79</v>
      </c>
      <c r="C2469" s="122">
        <v>15.04</v>
      </c>
      <c r="D2469" s="122">
        <v>13.5</v>
      </c>
      <c r="E2469" s="122">
        <v>14.41</v>
      </c>
      <c r="F2469" s="122">
        <v>14.039823999999999</v>
      </c>
      <c r="G2469" s="197">
        <v>828300</v>
      </c>
      <c r="H2469" s="198">
        <f>IF(AND(E2468&gt;=H2468,E2469&gt;=E2468),E2468*(1+'Trading Model'!$E$13),IF(AND(E2469&lt;E2468,E2468&gt;=H2468),E2469*(1+'Trading Model'!$E$13),H2468))</f>
        <v>39.921000000000006</v>
      </c>
      <c r="I2469" s="198">
        <f>IF(K2469&gt;0,E2469*(1-'Trading Model'!E2479),IF(E2469&lt;I2468,I2468*(1-'Trading Model'!$E$14),I2468))</f>
        <v>13.794538294280692</v>
      </c>
      <c r="J2469" s="198">
        <f t="shared" si="311"/>
        <v>0</v>
      </c>
      <c r="K2469" s="198">
        <f t="shared" si="306"/>
        <v>0</v>
      </c>
      <c r="L2469" s="198">
        <f>COUNTIF(J2469:K2469,"&lt;&gt;0")*-'Trading Model'!$E$15</f>
        <v>0</v>
      </c>
      <c r="M2469" s="198">
        <f t="shared" si="304"/>
        <v>0</v>
      </c>
      <c r="N2469" s="75">
        <f t="shared" si="307"/>
        <v>73</v>
      </c>
      <c r="O2469" s="202">
        <f t="shared" si="308"/>
        <v>0</v>
      </c>
      <c r="P2469" s="199">
        <f t="shared" si="305"/>
        <v>0</v>
      </c>
      <c r="Q2469" s="203">
        <f t="shared" si="309"/>
        <v>-23.099999999998655</v>
      </c>
      <c r="R2469" s="203" t="s">
        <v>55</v>
      </c>
      <c r="S2469" s="201">
        <f t="shared" si="310"/>
        <v>-3.8050734312416568E-2</v>
      </c>
    </row>
    <row r="2470" spans="1:19">
      <c r="A2470" s="196">
        <v>43552</v>
      </c>
      <c r="B2470" s="122">
        <v>14.23</v>
      </c>
      <c r="C2470" s="122">
        <v>14.52</v>
      </c>
      <c r="D2470" s="122">
        <v>14.05</v>
      </c>
      <c r="E2470" s="122">
        <v>14.52</v>
      </c>
      <c r="F2470" s="122">
        <v>14.146998999999999</v>
      </c>
      <c r="G2470" s="197">
        <v>187000</v>
      </c>
      <c r="H2470" s="198">
        <f>IF(AND(E2469&gt;=H2469,E2470&gt;=E2469),E2469*(1+'Trading Model'!$E$13),IF(AND(E2470&lt;E2469,E2469&gt;=H2469),E2470*(1+'Trading Model'!$E$13),H2469))</f>
        <v>39.921000000000006</v>
      </c>
      <c r="I2470" s="198">
        <f>IF(K2470&gt;0,E2470*(1-'Trading Model'!E2480),IF(E2470&lt;I2469,I2469*(1-'Trading Model'!$E$14),I2469))</f>
        <v>13.794538294280692</v>
      </c>
      <c r="J2470" s="198">
        <f t="shared" si="311"/>
        <v>0</v>
      </c>
      <c r="K2470" s="198">
        <f t="shared" si="306"/>
        <v>0</v>
      </c>
      <c r="L2470" s="198">
        <f>COUNTIF(J2470:K2470,"&lt;&gt;0")*-'Trading Model'!$E$15</f>
        <v>0</v>
      </c>
      <c r="M2470" s="198">
        <f t="shared" si="304"/>
        <v>0</v>
      </c>
      <c r="N2470" s="75">
        <f t="shared" si="307"/>
        <v>73</v>
      </c>
      <c r="O2470" s="202">
        <f t="shared" si="308"/>
        <v>0</v>
      </c>
      <c r="P2470" s="199">
        <f t="shared" si="305"/>
        <v>0</v>
      </c>
      <c r="Q2470" s="203">
        <f t="shared" si="309"/>
        <v>-23.099999999998655</v>
      </c>
      <c r="R2470" s="203" t="s">
        <v>55</v>
      </c>
      <c r="S2470" s="201">
        <f t="shared" si="310"/>
        <v>7.6335877862594437E-3</v>
      </c>
    </row>
    <row r="2471" spans="1:19">
      <c r="A2471" s="196">
        <v>43553</v>
      </c>
      <c r="B2471" s="122">
        <v>14.65</v>
      </c>
      <c r="C2471" s="122">
        <v>14.8</v>
      </c>
      <c r="D2471" s="122">
        <v>14.3</v>
      </c>
      <c r="E2471" s="122">
        <v>14.6</v>
      </c>
      <c r="F2471" s="122">
        <v>14.224944000000001</v>
      </c>
      <c r="G2471" s="197">
        <v>226100</v>
      </c>
      <c r="H2471" s="198">
        <f>IF(AND(E2470&gt;=H2470,E2471&gt;=E2470),E2470*(1+'Trading Model'!$E$13),IF(AND(E2471&lt;E2470,E2470&gt;=H2470),E2471*(1+'Trading Model'!$E$13),H2470))</f>
        <v>39.921000000000006</v>
      </c>
      <c r="I2471" s="198">
        <f>IF(K2471&gt;0,E2471*(1-'Trading Model'!E2481),IF(E2471&lt;I2470,I2470*(1-'Trading Model'!$E$14),I2470))</f>
        <v>13.794538294280692</v>
      </c>
      <c r="J2471" s="198">
        <f t="shared" si="311"/>
        <v>0</v>
      </c>
      <c r="K2471" s="198">
        <f t="shared" si="306"/>
        <v>0</v>
      </c>
      <c r="L2471" s="198">
        <f>COUNTIF(J2471:K2471,"&lt;&gt;0")*-'Trading Model'!$E$15</f>
        <v>0</v>
      </c>
      <c r="M2471" s="198">
        <f t="shared" si="304"/>
        <v>0</v>
      </c>
      <c r="N2471" s="75">
        <f t="shared" si="307"/>
        <v>73</v>
      </c>
      <c r="O2471" s="202">
        <f t="shared" si="308"/>
        <v>0</v>
      </c>
      <c r="P2471" s="199">
        <f t="shared" si="305"/>
        <v>0</v>
      </c>
      <c r="Q2471" s="203">
        <f t="shared" si="309"/>
        <v>-23.099999999998655</v>
      </c>
      <c r="R2471" s="203" t="s">
        <v>55</v>
      </c>
      <c r="S2471" s="201">
        <f t="shared" si="310"/>
        <v>5.5096418732782926E-3</v>
      </c>
    </row>
    <row r="2472" spans="1:19">
      <c r="A2472" s="196">
        <v>43556</v>
      </c>
      <c r="B2472" s="122">
        <v>14.75</v>
      </c>
      <c r="C2472" s="122">
        <v>14.85</v>
      </c>
      <c r="D2472" s="122">
        <v>14.46</v>
      </c>
      <c r="E2472" s="122">
        <v>14.63</v>
      </c>
      <c r="F2472" s="122">
        <v>14.254173</v>
      </c>
      <c r="G2472" s="197">
        <v>189300</v>
      </c>
      <c r="H2472" s="198">
        <f>IF(AND(E2471&gt;=H2471,E2472&gt;=E2471),E2471*(1+'Trading Model'!$E$13),IF(AND(E2472&lt;E2471,E2471&gt;=H2471),E2472*(1+'Trading Model'!$E$13),H2471))</f>
        <v>39.921000000000006</v>
      </c>
      <c r="I2472" s="198">
        <f>IF(K2472&gt;0,E2472*(1-'Trading Model'!E2482),IF(E2472&lt;I2471,I2471*(1-'Trading Model'!$E$14),I2471))</f>
        <v>13.794538294280692</v>
      </c>
      <c r="J2472" s="198">
        <f t="shared" si="311"/>
        <v>0</v>
      </c>
      <c r="K2472" s="198">
        <f t="shared" si="306"/>
        <v>0</v>
      </c>
      <c r="L2472" s="198">
        <f>COUNTIF(J2472:K2472,"&lt;&gt;0")*-'Trading Model'!$E$15</f>
        <v>0</v>
      </c>
      <c r="M2472" s="198">
        <f t="shared" si="304"/>
        <v>0</v>
      </c>
      <c r="N2472" s="75">
        <f t="shared" si="307"/>
        <v>73</v>
      </c>
      <c r="O2472" s="202">
        <f t="shared" si="308"/>
        <v>0</v>
      </c>
      <c r="P2472" s="199">
        <f t="shared" si="305"/>
        <v>0</v>
      </c>
      <c r="Q2472" s="203">
        <f t="shared" si="309"/>
        <v>-23.099999999998655</v>
      </c>
      <c r="R2472" s="201">
        <f>E2472/B2468-1</f>
        <v>-4.6905537459283275E-2</v>
      </c>
      <c r="S2472" s="201">
        <f t="shared" si="310"/>
        <v>2.05479452054802E-3</v>
      </c>
    </row>
    <row r="2473" spans="1:19">
      <c r="A2473" s="196">
        <v>43557</v>
      </c>
      <c r="B2473" s="122">
        <v>14.59</v>
      </c>
      <c r="C2473" s="122">
        <v>14.68</v>
      </c>
      <c r="D2473" s="122">
        <v>14.24</v>
      </c>
      <c r="E2473" s="122">
        <v>14.4</v>
      </c>
      <c r="F2473" s="122">
        <v>14.030082</v>
      </c>
      <c r="G2473" s="197">
        <v>133400</v>
      </c>
      <c r="H2473" s="198">
        <f>IF(AND(E2472&gt;=H2472,E2473&gt;=E2472),E2472*(1+'Trading Model'!$E$13),IF(AND(E2473&lt;E2472,E2472&gt;=H2472),E2473*(1+'Trading Model'!$E$13),H2472))</f>
        <v>39.921000000000006</v>
      </c>
      <c r="I2473" s="198">
        <f>IF(K2473&gt;0,E2473*(1-'Trading Model'!E2483),IF(E2473&lt;I2472,I2472*(1-'Trading Model'!$E$14),I2472))</f>
        <v>13.794538294280692</v>
      </c>
      <c r="J2473" s="198">
        <f t="shared" si="311"/>
        <v>0</v>
      </c>
      <c r="K2473" s="198">
        <f t="shared" si="306"/>
        <v>0</v>
      </c>
      <c r="L2473" s="198">
        <f>COUNTIF(J2473:K2473,"&lt;&gt;0")*-'Trading Model'!$E$15</f>
        <v>0</v>
      </c>
      <c r="M2473" s="198">
        <f t="shared" si="304"/>
        <v>0</v>
      </c>
      <c r="N2473" s="75">
        <f t="shared" si="307"/>
        <v>73</v>
      </c>
      <c r="O2473" s="202">
        <f t="shared" si="308"/>
        <v>0</v>
      </c>
      <c r="P2473" s="199">
        <f t="shared" si="305"/>
        <v>0</v>
      </c>
      <c r="Q2473" s="203">
        <f t="shared" si="309"/>
        <v>-23.199999999998656</v>
      </c>
      <c r="R2473" s="160" t="s">
        <v>55</v>
      </c>
      <c r="S2473" s="201">
        <f t="shared" si="310"/>
        <v>-1.5721120984278913E-2</v>
      </c>
    </row>
    <row r="2474" spans="1:19">
      <c r="A2474" s="196">
        <v>43558</v>
      </c>
      <c r="B2474" s="122">
        <v>14.41</v>
      </c>
      <c r="C2474" s="122">
        <v>14.52</v>
      </c>
      <c r="D2474" s="122">
        <v>14.22</v>
      </c>
      <c r="E2474" s="122">
        <v>14.39</v>
      </c>
      <c r="F2474" s="122">
        <v>14.020339</v>
      </c>
      <c r="G2474" s="197">
        <v>94600</v>
      </c>
      <c r="H2474" s="198">
        <f>IF(AND(E2473&gt;=H2473,E2474&gt;=E2473),E2473*(1+'Trading Model'!$E$13),IF(AND(E2474&lt;E2473,E2473&gt;=H2473),E2474*(1+'Trading Model'!$E$13),H2473))</f>
        <v>39.921000000000006</v>
      </c>
      <c r="I2474" s="198">
        <f>IF(K2474&gt;0,E2474*(1-'Trading Model'!E2484),IF(E2474&lt;I2473,I2473*(1-'Trading Model'!$E$14),I2473))</f>
        <v>13.794538294280692</v>
      </c>
      <c r="J2474" s="198">
        <f t="shared" si="311"/>
        <v>0</v>
      </c>
      <c r="K2474" s="198">
        <f t="shared" si="306"/>
        <v>0</v>
      </c>
      <c r="L2474" s="198">
        <f>COUNTIF(J2474:K2474,"&lt;&gt;0")*-'Trading Model'!$E$15</f>
        <v>0</v>
      </c>
      <c r="M2474" s="198">
        <f t="shared" si="304"/>
        <v>0</v>
      </c>
      <c r="N2474" s="75">
        <f t="shared" si="307"/>
        <v>73</v>
      </c>
      <c r="O2474" s="202">
        <f t="shared" si="308"/>
        <v>0</v>
      </c>
      <c r="P2474" s="199">
        <f t="shared" si="305"/>
        <v>0</v>
      </c>
      <c r="Q2474" s="203">
        <f t="shared" si="309"/>
        <v>-23.299999999998658</v>
      </c>
      <c r="R2474" s="203" t="s">
        <v>55</v>
      </c>
      <c r="S2474" s="201">
        <f t="shared" si="310"/>
        <v>-6.9444444444444198E-4</v>
      </c>
    </row>
    <row r="2475" spans="1:19">
      <c r="A2475" s="196">
        <v>43559</v>
      </c>
      <c r="B2475" s="122">
        <v>14.32</v>
      </c>
      <c r="C2475" s="122">
        <v>14.43</v>
      </c>
      <c r="D2475" s="122">
        <v>13.88</v>
      </c>
      <c r="E2475" s="122">
        <v>14.18</v>
      </c>
      <c r="F2475" s="122">
        <v>13.815734000000001</v>
      </c>
      <c r="G2475" s="197">
        <v>829400</v>
      </c>
      <c r="H2475" s="198">
        <f>IF(AND(E2474&gt;=H2474,E2475&gt;=E2474),E2474*(1+'Trading Model'!$E$13),IF(AND(E2475&lt;E2474,E2474&gt;=H2474),E2475*(1+'Trading Model'!$E$13),H2474))</f>
        <v>39.921000000000006</v>
      </c>
      <c r="I2475" s="198">
        <f>IF(K2475&gt;0,E2475*(1-'Trading Model'!E2485),IF(E2475&lt;I2474,I2474*(1-'Trading Model'!$E$14),I2474))</f>
        <v>13.794538294280692</v>
      </c>
      <c r="J2475" s="198">
        <f t="shared" si="311"/>
        <v>0</v>
      </c>
      <c r="K2475" s="198">
        <f t="shared" si="306"/>
        <v>0</v>
      </c>
      <c r="L2475" s="198">
        <f>COUNTIF(J2475:K2475,"&lt;&gt;0")*-'Trading Model'!$E$15</f>
        <v>0</v>
      </c>
      <c r="M2475" s="198">
        <f t="shared" si="304"/>
        <v>0</v>
      </c>
      <c r="N2475" s="75">
        <f t="shared" si="307"/>
        <v>73</v>
      </c>
      <c r="O2475" s="202">
        <f t="shared" si="308"/>
        <v>0</v>
      </c>
      <c r="P2475" s="199">
        <f t="shared" si="305"/>
        <v>0</v>
      </c>
      <c r="Q2475" s="203">
        <f t="shared" si="309"/>
        <v>-23.399999999998659</v>
      </c>
      <c r="R2475" s="203" t="s">
        <v>55</v>
      </c>
      <c r="S2475" s="201">
        <f t="shared" si="310"/>
        <v>-1.4593467685893091E-2</v>
      </c>
    </row>
    <row r="2476" spans="1:19">
      <c r="A2476" s="196">
        <v>43560</v>
      </c>
      <c r="B2476" s="122">
        <v>14.19</v>
      </c>
      <c r="C2476" s="122">
        <v>14.48</v>
      </c>
      <c r="D2476" s="122">
        <v>13.98</v>
      </c>
      <c r="E2476" s="122">
        <v>14.13</v>
      </c>
      <c r="F2476" s="122">
        <v>13.767016999999999</v>
      </c>
      <c r="G2476" s="197">
        <v>305200</v>
      </c>
      <c r="H2476" s="198">
        <f>IF(AND(E2475&gt;=H2475,E2476&gt;=E2475),E2475*(1+'Trading Model'!$E$13),IF(AND(E2476&lt;E2475,E2475&gt;=H2475),E2476*(1+'Trading Model'!$E$13),H2475))</f>
        <v>39.921000000000006</v>
      </c>
      <c r="I2476" s="198">
        <f>IF(K2476&gt;0,E2476*(1-'Trading Model'!E2486),IF(E2476&lt;I2475,I2475*(1-'Trading Model'!$E$14),I2475))</f>
        <v>13.794538294280692</v>
      </c>
      <c r="J2476" s="198">
        <f t="shared" si="311"/>
        <v>0</v>
      </c>
      <c r="K2476" s="198">
        <f t="shared" si="306"/>
        <v>0</v>
      </c>
      <c r="L2476" s="198">
        <f>COUNTIF(J2476:K2476,"&lt;&gt;0")*-'Trading Model'!$E$15</f>
        <v>0</v>
      </c>
      <c r="M2476" s="198">
        <f t="shared" si="304"/>
        <v>0</v>
      </c>
      <c r="N2476" s="75">
        <f t="shared" si="307"/>
        <v>73</v>
      </c>
      <c r="O2476" s="202">
        <f t="shared" si="308"/>
        <v>0</v>
      </c>
      <c r="P2476" s="199">
        <f t="shared" si="305"/>
        <v>0</v>
      </c>
      <c r="Q2476" s="203">
        <f t="shared" si="309"/>
        <v>-23.499999999998661</v>
      </c>
      <c r="R2476" s="203" t="s">
        <v>55</v>
      </c>
      <c r="S2476" s="201">
        <f t="shared" si="310"/>
        <v>-3.5260930888574293E-3</v>
      </c>
    </row>
    <row r="2477" spans="1:19">
      <c r="A2477" s="196">
        <v>43563</v>
      </c>
      <c r="B2477" s="122">
        <v>14.05</v>
      </c>
      <c r="C2477" s="122">
        <v>14.55</v>
      </c>
      <c r="D2477" s="122">
        <v>13.8</v>
      </c>
      <c r="E2477" s="122">
        <v>14.39</v>
      </c>
      <c r="F2477" s="122">
        <v>14.020339</v>
      </c>
      <c r="G2477" s="197">
        <v>140100</v>
      </c>
      <c r="H2477" s="198">
        <f>IF(AND(E2476&gt;=H2476,E2477&gt;=E2476),E2476*(1+'Trading Model'!$E$13),IF(AND(E2477&lt;E2476,E2476&gt;=H2476),E2477*(1+'Trading Model'!$E$13),H2476))</f>
        <v>39.921000000000006</v>
      </c>
      <c r="I2477" s="198">
        <f>IF(K2477&gt;0,E2477*(1-'Trading Model'!E2487),IF(E2477&lt;I2476,I2476*(1-'Trading Model'!$E$14),I2476))</f>
        <v>13.794538294280692</v>
      </c>
      <c r="J2477" s="198">
        <f t="shared" si="311"/>
        <v>0</v>
      </c>
      <c r="K2477" s="198">
        <f t="shared" si="306"/>
        <v>0</v>
      </c>
      <c r="L2477" s="198">
        <f>COUNTIF(J2477:K2477,"&lt;&gt;0")*-'Trading Model'!$E$15</f>
        <v>0</v>
      </c>
      <c r="M2477" s="198">
        <f t="shared" si="304"/>
        <v>0</v>
      </c>
      <c r="N2477" s="75">
        <f t="shared" si="307"/>
        <v>73</v>
      </c>
      <c r="O2477" s="202">
        <f t="shared" si="308"/>
        <v>0</v>
      </c>
      <c r="P2477" s="199">
        <f t="shared" si="305"/>
        <v>0</v>
      </c>
      <c r="Q2477" s="203">
        <f t="shared" si="309"/>
        <v>-23.499999999998661</v>
      </c>
      <c r="R2477" s="201">
        <f>E2477/B2473-1</f>
        <v>-1.3708019191226772E-2</v>
      </c>
      <c r="S2477" s="201">
        <f t="shared" si="310"/>
        <v>1.840056617126673E-2</v>
      </c>
    </row>
    <row r="2478" spans="1:19">
      <c r="A2478" s="196">
        <v>43564</v>
      </c>
      <c r="B2478" s="122">
        <v>14.18</v>
      </c>
      <c r="C2478" s="122">
        <v>14.46</v>
      </c>
      <c r="D2478" s="122">
        <v>13.92</v>
      </c>
      <c r="E2478" s="122">
        <v>14.33</v>
      </c>
      <c r="F2478" s="122">
        <v>13.961880000000001</v>
      </c>
      <c r="G2478" s="197">
        <v>157200</v>
      </c>
      <c r="H2478" s="198">
        <f>IF(AND(E2477&gt;=H2477,E2478&gt;=E2477),E2477*(1+'Trading Model'!$E$13),IF(AND(E2478&lt;E2477,E2477&gt;=H2477),E2478*(1+'Trading Model'!$E$13),H2477))</f>
        <v>39.921000000000006</v>
      </c>
      <c r="I2478" s="198">
        <f>IF(K2478&gt;0,E2478*(1-'Trading Model'!E2488),IF(E2478&lt;I2477,I2477*(1-'Trading Model'!$E$14),I2477))</f>
        <v>13.794538294280692</v>
      </c>
      <c r="J2478" s="198">
        <f t="shared" si="311"/>
        <v>0</v>
      </c>
      <c r="K2478" s="198">
        <f t="shared" si="306"/>
        <v>0</v>
      </c>
      <c r="L2478" s="198">
        <f>COUNTIF(J2478:K2478,"&lt;&gt;0")*-'Trading Model'!$E$15</f>
        <v>0</v>
      </c>
      <c r="M2478" s="198">
        <f t="shared" si="304"/>
        <v>0</v>
      </c>
      <c r="N2478" s="75">
        <f t="shared" si="307"/>
        <v>73</v>
      </c>
      <c r="O2478" s="202">
        <f t="shared" si="308"/>
        <v>0</v>
      </c>
      <c r="P2478" s="199">
        <f t="shared" si="305"/>
        <v>0</v>
      </c>
      <c r="Q2478" s="203">
        <f t="shared" si="309"/>
        <v>-23.599999999998662</v>
      </c>
      <c r="R2478" s="160" t="s">
        <v>55</v>
      </c>
      <c r="S2478" s="201">
        <f t="shared" si="310"/>
        <v>-4.1695621959694229E-3</v>
      </c>
    </row>
    <row r="2479" spans="1:19">
      <c r="A2479" s="196">
        <v>43565</v>
      </c>
      <c r="B2479" s="122">
        <v>14.27</v>
      </c>
      <c r="C2479" s="122">
        <v>14.52</v>
      </c>
      <c r="D2479" s="122">
        <v>14.15</v>
      </c>
      <c r="E2479" s="122">
        <v>14.38</v>
      </c>
      <c r="F2479" s="122">
        <v>14.010595</v>
      </c>
      <c r="G2479" s="197">
        <v>224700</v>
      </c>
      <c r="H2479" s="198">
        <f>IF(AND(E2478&gt;=H2478,E2479&gt;=E2478),E2478*(1+'Trading Model'!$E$13),IF(AND(E2479&lt;E2478,E2478&gt;=H2478),E2479*(1+'Trading Model'!$E$13),H2478))</f>
        <v>39.921000000000006</v>
      </c>
      <c r="I2479" s="198">
        <f>IF(K2479&gt;0,E2479*(1-'Trading Model'!E2489),IF(E2479&lt;I2478,I2478*(1-'Trading Model'!$E$14),I2478))</f>
        <v>13.794538294280692</v>
      </c>
      <c r="J2479" s="198">
        <f t="shared" si="311"/>
        <v>0</v>
      </c>
      <c r="K2479" s="198">
        <f t="shared" si="306"/>
        <v>0</v>
      </c>
      <c r="L2479" s="198">
        <f>COUNTIF(J2479:K2479,"&lt;&gt;0")*-'Trading Model'!$E$15</f>
        <v>0</v>
      </c>
      <c r="M2479" s="198">
        <f t="shared" si="304"/>
        <v>0</v>
      </c>
      <c r="N2479" s="75">
        <f t="shared" si="307"/>
        <v>73</v>
      </c>
      <c r="O2479" s="202">
        <f t="shared" si="308"/>
        <v>0</v>
      </c>
      <c r="P2479" s="199">
        <f t="shared" si="305"/>
        <v>0</v>
      </c>
      <c r="Q2479" s="203">
        <f t="shared" si="309"/>
        <v>-23.599999999998662</v>
      </c>
      <c r="R2479" s="203" t="s">
        <v>55</v>
      </c>
      <c r="S2479" s="201">
        <f t="shared" si="310"/>
        <v>3.4891835310537633E-3</v>
      </c>
    </row>
    <row r="2480" spans="1:19">
      <c r="A2480" s="196">
        <v>43566</v>
      </c>
      <c r="B2480" s="122">
        <v>14.33</v>
      </c>
      <c r="C2480" s="122">
        <v>14.48</v>
      </c>
      <c r="D2480" s="122">
        <v>14</v>
      </c>
      <c r="E2480" s="122">
        <v>14.08</v>
      </c>
      <c r="F2480" s="122">
        <v>13.718302</v>
      </c>
      <c r="G2480" s="197">
        <v>99700</v>
      </c>
      <c r="H2480" s="198">
        <f>IF(AND(E2479&gt;=H2479,E2480&gt;=E2479),E2479*(1+'Trading Model'!$E$13),IF(AND(E2480&lt;E2479,E2479&gt;=H2479),E2480*(1+'Trading Model'!$E$13),H2479))</f>
        <v>39.921000000000006</v>
      </c>
      <c r="I2480" s="198">
        <f>IF(K2480&gt;0,E2480*(1-'Trading Model'!E2490),IF(E2480&lt;I2479,I2479*(1-'Trading Model'!$E$14),I2479))</f>
        <v>13.794538294280692</v>
      </c>
      <c r="J2480" s="198">
        <f t="shared" si="311"/>
        <v>0</v>
      </c>
      <c r="K2480" s="198">
        <f t="shared" si="306"/>
        <v>0</v>
      </c>
      <c r="L2480" s="198">
        <f>COUNTIF(J2480:K2480,"&lt;&gt;0")*-'Trading Model'!$E$15</f>
        <v>0</v>
      </c>
      <c r="M2480" s="198">
        <f t="shared" si="304"/>
        <v>0</v>
      </c>
      <c r="N2480" s="75">
        <f t="shared" si="307"/>
        <v>73</v>
      </c>
      <c r="O2480" s="202">
        <f t="shared" si="308"/>
        <v>0</v>
      </c>
      <c r="P2480" s="199">
        <f t="shared" si="305"/>
        <v>0</v>
      </c>
      <c r="Q2480" s="203">
        <f t="shared" si="309"/>
        <v>-23.699999999998663</v>
      </c>
      <c r="R2480" s="203" t="s">
        <v>55</v>
      </c>
      <c r="S2480" s="201">
        <f t="shared" si="310"/>
        <v>-2.0862308762169768E-2</v>
      </c>
    </row>
    <row r="2481" spans="1:19">
      <c r="A2481" s="196">
        <v>43567</v>
      </c>
      <c r="B2481" s="122">
        <v>14.01</v>
      </c>
      <c r="C2481" s="122">
        <v>14.4</v>
      </c>
      <c r="D2481" s="122">
        <v>13.96</v>
      </c>
      <c r="E2481" s="122">
        <v>14.34</v>
      </c>
      <c r="F2481" s="122">
        <v>13.971622999999999</v>
      </c>
      <c r="G2481" s="197">
        <v>158500</v>
      </c>
      <c r="H2481" s="198">
        <f>IF(AND(E2480&gt;=H2480,E2481&gt;=E2480),E2480*(1+'Trading Model'!$E$13),IF(AND(E2481&lt;E2480,E2480&gt;=H2480),E2481*(1+'Trading Model'!$E$13),H2480))</f>
        <v>39.921000000000006</v>
      </c>
      <c r="I2481" s="198">
        <f>IF(K2481&gt;0,E2481*(1-'Trading Model'!E2491),IF(E2481&lt;I2480,I2480*(1-'Trading Model'!$E$14),I2480))</f>
        <v>13.794538294280692</v>
      </c>
      <c r="J2481" s="198">
        <f t="shared" si="311"/>
        <v>0</v>
      </c>
      <c r="K2481" s="198">
        <f t="shared" si="306"/>
        <v>0</v>
      </c>
      <c r="L2481" s="198">
        <f>COUNTIF(J2481:K2481,"&lt;&gt;0")*-'Trading Model'!$E$15</f>
        <v>0</v>
      </c>
      <c r="M2481" s="198">
        <f t="shared" si="304"/>
        <v>0</v>
      </c>
      <c r="N2481" s="75">
        <f t="shared" si="307"/>
        <v>73</v>
      </c>
      <c r="O2481" s="202">
        <f t="shared" si="308"/>
        <v>0</v>
      </c>
      <c r="P2481" s="199">
        <f t="shared" si="305"/>
        <v>0</v>
      </c>
      <c r="Q2481" s="203">
        <f t="shared" si="309"/>
        <v>-23.699999999998663</v>
      </c>
      <c r="R2481" s="203" t="s">
        <v>55</v>
      </c>
      <c r="S2481" s="201">
        <f t="shared" si="310"/>
        <v>1.8465909090909172E-2</v>
      </c>
    </row>
    <row r="2482" spans="1:19">
      <c r="A2482" s="196">
        <v>43570</v>
      </c>
      <c r="B2482" s="122">
        <v>14.41</v>
      </c>
      <c r="C2482" s="122">
        <v>14.69</v>
      </c>
      <c r="D2482" s="122">
        <v>14.01</v>
      </c>
      <c r="E2482" s="122">
        <v>14.44</v>
      </c>
      <c r="F2482" s="122">
        <v>14.069054</v>
      </c>
      <c r="G2482" s="197">
        <v>238900</v>
      </c>
      <c r="H2482" s="198">
        <f>IF(AND(E2481&gt;=H2481,E2482&gt;=E2481),E2481*(1+'Trading Model'!$E$13),IF(AND(E2482&lt;E2481,E2481&gt;=H2481),E2482*(1+'Trading Model'!$E$13),H2481))</f>
        <v>39.921000000000006</v>
      </c>
      <c r="I2482" s="198">
        <f>IF(K2482&gt;0,E2482*(1-'Trading Model'!E2492),IF(E2482&lt;I2481,I2481*(1-'Trading Model'!$E$14),I2481))</f>
        <v>13.794538294280692</v>
      </c>
      <c r="J2482" s="198">
        <f t="shared" si="311"/>
        <v>0</v>
      </c>
      <c r="K2482" s="198">
        <f t="shared" si="306"/>
        <v>0</v>
      </c>
      <c r="L2482" s="198">
        <f>COUNTIF(J2482:K2482,"&lt;&gt;0")*-'Trading Model'!$E$15</f>
        <v>0</v>
      </c>
      <c r="M2482" s="198">
        <f t="shared" si="304"/>
        <v>0</v>
      </c>
      <c r="N2482" s="75">
        <f t="shared" si="307"/>
        <v>73</v>
      </c>
      <c r="O2482" s="202">
        <f t="shared" si="308"/>
        <v>0</v>
      </c>
      <c r="P2482" s="199">
        <f t="shared" si="305"/>
        <v>0</v>
      </c>
      <c r="Q2482" s="203">
        <f t="shared" si="309"/>
        <v>-23.699999999998663</v>
      </c>
      <c r="R2482" s="201">
        <f>E2482/B2478-1</f>
        <v>1.833568406205921E-2</v>
      </c>
      <c r="S2482" s="201">
        <f t="shared" si="310"/>
        <v>6.9735006973501434E-3</v>
      </c>
    </row>
    <row r="2483" spans="1:19">
      <c r="A2483" s="196">
        <v>43571</v>
      </c>
      <c r="B2483" s="122">
        <v>14.4</v>
      </c>
      <c r="C2483" s="122">
        <v>14.9</v>
      </c>
      <c r="D2483" s="122">
        <v>14.35</v>
      </c>
      <c r="E2483" s="122">
        <v>14.72</v>
      </c>
      <c r="F2483" s="122">
        <v>14.341862000000001</v>
      </c>
      <c r="G2483" s="197">
        <v>211000</v>
      </c>
      <c r="H2483" s="198">
        <f>IF(AND(E2482&gt;=H2482,E2483&gt;=E2482),E2482*(1+'Trading Model'!$E$13),IF(AND(E2483&lt;E2482,E2482&gt;=H2482),E2483*(1+'Trading Model'!$E$13),H2482))</f>
        <v>39.921000000000006</v>
      </c>
      <c r="I2483" s="198">
        <f>IF(K2483&gt;0,E2483*(1-'Trading Model'!E2493),IF(E2483&lt;I2482,I2482*(1-'Trading Model'!$E$14),I2482))</f>
        <v>13.794538294280692</v>
      </c>
      <c r="J2483" s="198">
        <f t="shared" si="311"/>
        <v>0</v>
      </c>
      <c r="K2483" s="198">
        <f t="shared" si="306"/>
        <v>0</v>
      </c>
      <c r="L2483" s="198">
        <f>COUNTIF(J2483:K2483,"&lt;&gt;0")*-'Trading Model'!$E$15</f>
        <v>0</v>
      </c>
      <c r="M2483" s="198">
        <f t="shared" si="304"/>
        <v>0</v>
      </c>
      <c r="N2483" s="75">
        <f t="shared" si="307"/>
        <v>73</v>
      </c>
      <c r="O2483" s="202">
        <f t="shared" si="308"/>
        <v>0</v>
      </c>
      <c r="P2483" s="199">
        <f t="shared" si="305"/>
        <v>0</v>
      </c>
      <c r="Q2483" s="203">
        <f t="shared" si="309"/>
        <v>-23.699999999998663</v>
      </c>
      <c r="R2483" s="160" t="s">
        <v>55</v>
      </c>
      <c r="S2483" s="201">
        <f t="shared" si="310"/>
        <v>1.939058171745156E-2</v>
      </c>
    </row>
    <row r="2484" spans="1:19">
      <c r="A2484" s="196">
        <v>43572</v>
      </c>
      <c r="B2484" s="122">
        <v>14.68</v>
      </c>
      <c r="C2484" s="122">
        <v>15.35</v>
      </c>
      <c r="D2484" s="122">
        <v>14.59</v>
      </c>
      <c r="E2484" s="122">
        <v>14.95</v>
      </c>
      <c r="F2484" s="122">
        <v>14.565951999999999</v>
      </c>
      <c r="G2484" s="197">
        <v>235800</v>
      </c>
      <c r="H2484" s="198">
        <f>IF(AND(E2483&gt;=H2483,E2484&gt;=E2483),E2483*(1+'Trading Model'!$E$13),IF(AND(E2484&lt;E2483,E2483&gt;=H2483),E2484*(1+'Trading Model'!$E$13),H2483))</f>
        <v>39.921000000000006</v>
      </c>
      <c r="I2484" s="198">
        <f>IF(K2484&gt;0,E2484*(1-'Trading Model'!E2494),IF(E2484&lt;I2483,I2483*(1-'Trading Model'!$E$14),I2483))</f>
        <v>13.794538294280692</v>
      </c>
      <c r="J2484" s="198">
        <f t="shared" si="311"/>
        <v>0</v>
      </c>
      <c r="K2484" s="198">
        <f t="shared" si="306"/>
        <v>0</v>
      </c>
      <c r="L2484" s="198">
        <f>COUNTIF(J2484:K2484,"&lt;&gt;0")*-'Trading Model'!$E$15</f>
        <v>0</v>
      </c>
      <c r="M2484" s="198">
        <f t="shared" si="304"/>
        <v>0</v>
      </c>
      <c r="N2484" s="75">
        <f t="shared" si="307"/>
        <v>73</v>
      </c>
      <c r="O2484" s="202">
        <f t="shared" si="308"/>
        <v>0</v>
      </c>
      <c r="P2484" s="199">
        <f t="shared" si="305"/>
        <v>0</v>
      </c>
      <c r="Q2484" s="203">
        <f t="shared" si="309"/>
        <v>-23.699999999998663</v>
      </c>
      <c r="R2484" s="203" t="s">
        <v>55</v>
      </c>
      <c r="S2484" s="201">
        <f t="shared" si="310"/>
        <v>1.5625E-2</v>
      </c>
    </row>
    <row r="2485" spans="1:19">
      <c r="A2485" s="196">
        <v>43573</v>
      </c>
      <c r="B2485" s="122">
        <v>14.82</v>
      </c>
      <c r="C2485" s="122">
        <v>14.98</v>
      </c>
      <c r="D2485" s="122">
        <v>14.28</v>
      </c>
      <c r="E2485" s="122">
        <v>14.47</v>
      </c>
      <c r="F2485" s="122">
        <v>14.098284</v>
      </c>
      <c r="G2485" s="197">
        <v>113300</v>
      </c>
      <c r="H2485" s="198">
        <f>IF(AND(E2484&gt;=H2484,E2485&gt;=E2484),E2484*(1+'Trading Model'!$E$13),IF(AND(E2485&lt;E2484,E2484&gt;=H2484),E2485*(1+'Trading Model'!$E$13),H2484))</f>
        <v>39.921000000000006</v>
      </c>
      <c r="I2485" s="198">
        <f>IF(K2485&gt;0,E2485*(1-'Trading Model'!E2495),IF(E2485&lt;I2484,I2484*(1-'Trading Model'!$E$14),I2484))</f>
        <v>13.794538294280692</v>
      </c>
      <c r="J2485" s="198">
        <f t="shared" si="311"/>
        <v>0</v>
      </c>
      <c r="K2485" s="198">
        <f t="shared" si="306"/>
        <v>0</v>
      </c>
      <c r="L2485" s="198">
        <f>COUNTIF(J2485:K2485,"&lt;&gt;0")*-'Trading Model'!$E$15</f>
        <v>0</v>
      </c>
      <c r="M2485" s="198">
        <f t="shared" si="304"/>
        <v>0</v>
      </c>
      <c r="N2485" s="75">
        <f t="shared" si="307"/>
        <v>73</v>
      </c>
      <c r="O2485" s="202">
        <f t="shared" si="308"/>
        <v>0</v>
      </c>
      <c r="P2485" s="199">
        <f t="shared" si="305"/>
        <v>0</v>
      </c>
      <c r="Q2485" s="203">
        <f t="shared" si="309"/>
        <v>-23.799999999998665</v>
      </c>
      <c r="R2485" s="203" t="s">
        <v>55</v>
      </c>
      <c r="S2485" s="201">
        <f t="shared" si="310"/>
        <v>-3.2107023411371172E-2</v>
      </c>
    </row>
    <row r="2486" spans="1:19">
      <c r="A2486" s="196">
        <v>43577</v>
      </c>
      <c r="B2486" s="122">
        <v>14.35</v>
      </c>
      <c r="C2486" s="122">
        <v>14.5</v>
      </c>
      <c r="D2486" s="122">
        <v>13.93</v>
      </c>
      <c r="E2486" s="122">
        <v>14.3</v>
      </c>
      <c r="F2486" s="122">
        <v>13.932651</v>
      </c>
      <c r="G2486" s="197">
        <v>174500</v>
      </c>
      <c r="H2486" s="198">
        <f>IF(AND(E2485&gt;=H2485,E2486&gt;=E2485),E2485*(1+'Trading Model'!$E$13),IF(AND(E2486&lt;E2485,E2485&gt;=H2485),E2486*(1+'Trading Model'!$E$13),H2485))</f>
        <v>39.921000000000006</v>
      </c>
      <c r="I2486" s="198">
        <f>IF(K2486&gt;0,E2486*(1-'Trading Model'!E2496),IF(E2486&lt;I2485,I2485*(1-'Trading Model'!$E$14),I2485))</f>
        <v>13.794538294280692</v>
      </c>
      <c r="J2486" s="198">
        <f t="shared" si="311"/>
        <v>0</v>
      </c>
      <c r="K2486" s="198">
        <f t="shared" si="306"/>
        <v>0</v>
      </c>
      <c r="L2486" s="198">
        <f>COUNTIF(J2486:K2486,"&lt;&gt;0")*-'Trading Model'!$E$15</f>
        <v>0</v>
      </c>
      <c r="M2486" s="198">
        <f t="shared" si="304"/>
        <v>0</v>
      </c>
      <c r="N2486" s="75">
        <f t="shared" si="307"/>
        <v>73</v>
      </c>
      <c r="O2486" s="202">
        <f t="shared" si="308"/>
        <v>0</v>
      </c>
      <c r="P2486" s="199">
        <f t="shared" si="305"/>
        <v>0</v>
      </c>
      <c r="Q2486" s="203">
        <f t="shared" si="309"/>
        <v>-23.899999999998666</v>
      </c>
      <c r="R2486" s="203" t="s">
        <v>55</v>
      </c>
      <c r="S2486" s="201">
        <f t="shared" si="310"/>
        <v>-1.1748445058742174E-2</v>
      </c>
    </row>
    <row r="2487" spans="1:19">
      <c r="A2487" s="196">
        <v>43578</v>
      </c>
      <c r="B2487" s="122">
        <v>14.36</v>
      </c>
      <c r="C2487" s="122">
        <v>14.46</v>
      </c>
      <c r="D2487" s="122">
        <v>14.06</v>
      </c>
      <c r="E2487" s="122">
        <v>14.33</v>
      </c>
      <c r="F2487" s="122">
        <v>13.961880000000001</v>
      </c>
      <c r="G2487" s="197">
        <v>217200</v>
      </c>
      <c r="H2487" s="198">
        <f>IF(AND(E2486&gt;=H2486,E2487&gt;=E2486),E2486*(1+'Trading Model'!$E$13),IF(AND(E2487&lt;E2486,E2486&gt;=H2486),E2487*(1+'Trading Model'!$E$13),H2486))</f>
        <v>39.921000000000006</v>
      </c>
      <c r="I2487" s="198">
        <f>IF(K2487&gt;0,E2487*(1-'Trading Model'!E2497),IF(E2487&lt;I2486,I2486*(1-'Trading Model'!$E$14),I2486))</f>
        <v>13.794538294280692</v>
      </c>
      <c r="J2487" s="198">
        <f t="shared" si="311"/>
        <v>0</v>
      </c>
      <c r="K2487" s="198">
        <f t="shared" si="306"/>
        <v>0</v>
      </c>
      <c r="L2487" s="198">
        <f>COUNTIF(J2487:K2487,"&lt;&gt;0")*-'Trading Model'!$E$15</f>
        <v>0</v>
      </c>
      <c r="M2487" s="198">
        <f t="shared" si="304"/>
        <v>0</v>
      </c>
      <c r="N2487" s="75">
        <f t="shared" si="307"/>
        <v>73</v>
      </c>
      <c r="O2487" s="202">
        <f t="shared" si="308"/>
        <v>0</v>
      </c>
      <c r="P2487" s="199">
        <f t="shared" si="305"/>
        <v>0</v>
      </c>
      <c r="Q2487" s="203">
        <f t="shared" si="309"/>
        <v>-23.899999999998666</v>
      </c>
      <c r="R2487" s="201">
        <f>E2487/B2483-1</f>
        <v>-4.8611111111110938E-3</v>
      </c>
      <c r="S2487" s="201">
        <f t="shared" si="310"/>
        <v>2.0979020979019491E-3</v>
      </c>
    </row>
    <row r="2488" spans="1:19">
      <c r="A2488" s="196">
        <v>43579</v>
      </c>
      <c r="B2488" s="122">
        <v>14.3</v>
      </c>
      <c r="C2488" s="122">
        <v>14.37</v>
      </c>
      <c r="D2488" s="122">
        <v>13.85</v>
      </c>
      <c r="E2488" s="122">
        <v>14.03</v>
      </c>
      <c r="F2488" s="122">
        <v>13.669586000000001</v>
      </c>
      <c r="G2488" s="197">
        <v>290300</v>
      </c>
      <c r="H2488" s="198">
        <f>IF(AND(E2487&gt;=H2487,E2488&gt;=E2487),E2487*(1+'Trading Model'!$E$13),IF(AND(E2488&lt;E2487,E2487&gt;=H2487),E2488*(1+'Trading Model'!$E$13),H2487))</f>
        <v>39.921000000000006</v>
      </c>
      <c r="I2488" s="198">
        <f>IF(K2488&gt;0,E2488*(1-'Trading Model'!E2498),IF(E2488&lt;I2487,I2487*(1-'Trading Model'!$E$14),I2487))</f>
        <v>13.794538294280692</v>
      </c>
      <c r="J2488" s="198">
        <f t="shared" si="311"/>
        <v>0</v>
      </c>
      <c r="K2488" s="198">
        <f t="shared" si="306"/>
        <v>0</v>
      </c>
      <c r="L2488" s="198">
        <f>COUNTIF(J2488:K2488,"&lt;&gt;0")*-'Trading Model'!$E$15</f>
        <v>0</v>
      </c>
      <c r="M2488" s="198">
        <f t="shared" si="304"/>
        <v>0</v>
      </c>
      <c r="N2488" s="75">
        <f t="shared" si="307"/>
        <v>73</v>
      </c>
      <c r="O2488" s="202">
        <f t="shared" si="308"/>
        <v>0</v>
      </c>
      <c r="P2488" s="199">
        <f t="shared" si="305"/>
        <v>0</v>
      </c>
      <c r="Q2488" s="203">
        <f t="shared" si="309"/>
        <v>-23.999999999998668</v>
      </c>
      <c r="R2488" s="160" t="s">
        <v>55</v>
      </c>
      <c r="S2488" s="201">
        <f t="shared" si="310"/>
        <v>-2.0935101186322469E-2</v>
      </c>
    </row>
    <row r="2489" spans="1:19">
      <c r="A2489" s="196">
        <v>43580</v>
      </c>
      <c r="B2489" s="122">
        <v>13.9</v>
      </c>
      <c r="C2489" s="122">
        <v>13.9</v>
      </c>
      <c r="D2489" s="122">
        <v>12.34</v>
      </c>
      <c r="E2489" s="122">
        <v>13.4</v>
      </c>
      <c r="F2489" s="122">
        <v>13.055770000000001</v>
      </c>
      <c r="G2489" s="197">
        <v>735000</v>
      </c>
      <c r="H2489" s="198">
        <f>IF(AND(E2488&gt;=H2488,E2489&gt;=E2488),E2488*(1+'Trading Model'!$E$13),IF(AND(E2489&lt;E2488,E2488&gt;=H2488),E2489*(1+'Trading Model'!$E$13),H2488))</f>
        <v>39.921000000000006</v>
      </c>
      <c r="I2489" s="198">
        <f>IF(K2489&gt;0,E2489*(1-'Trading Model'!E2499),IF(E2489&lt;I2488,I2488*(1-'Trading Model'!$E$14),I2488))</f>
        <v>13.104811379566657</v>
      </c>
      <c r="J2489" s="198">
        <f t="shared" si="311"/>
        <v>-13.4</v>
      </c>
      <c r="K2489" s="198">
        <f t="shared" si="306"/>
        <v>0</v>
      </c>
      <c r="L2489" s="198">
        <f>COUNTIF(J2489:K2489,"&lt;&gt;0")*-'Trading Model'!$E$15</f>
        <v>-0.1</v>
      </c>
      <c r="M2489" s="198">
        <f t="shared" si="304"/>
        <v>-13.5</v>
      </c>
      <c r="N2489" s="75">
        <f t="shared" si="307"/>
        <v>74</v>
      </c>
      <c r="O2489" s="202">
        <f t="shared" si="308"/>
        <v>0</v>
      </c>
      <c r="P2489" s="199">
        <f t="shared" si="305"/>
        <v>0</v>
      </c>
      <c r="Q2489" s="203">
        <f t="shared" si="309"/>
        <v>-24.099999999998669</v>
      </c>
      <c r="R2489" s="203" t="s">
        <v>55</v>
      </c>
      <c r="S2489" s="201">
        <f t="shared" si="310"/>
        <v>-4.4903777619386909E-2</v>
      </c>
    </row>
    <row r="2490" spans="1:19">
      <c r="A2490" s="196">
        <v>43581</v>
      </c>
      <c r="B2490" s="122">
        <v>13.4</v>
      </c>
      <c r="C2490" s="122">
        <v>13.67</v>
      </c>
      <c r="D2490" s="122">
        <v>13.24</v>
      </c>
      <c r="E2490" s="122">
        <v>13.3</v>
      </c>
      <c r="F2490" s="122">
        <v>12.95834</v>
      </c>
      <c r="G2490" s="197">
        <v>201500</v>
      </c>
      <c r="H2490" s="198">
        <f>IF(AND(E2489&gt;=H2489,E2490&gt;=E2489),E2489*(1+'Trading Model'!$E$13),IF(AND(E2490&lt;E2489,E2489&gt;=H2489),E2490*(1+'Trading Model'!$E$13),H2489))</f>
        <v>39.921000000000006</v>
      </c>
      <c r="I2490" s="198">
        <f>IF(K2490&gt;0,E2490*(1-'Trading Model'!E2500),IF(E2490&lt;I2489,I2489*(1-'Trading Model'!$E$14),I2489))</f>
        <v>13.104811379566657</v>
      </c>
      <c r="J2490" s="198">
        <f t="shared" si="311"/>
        <v>0</v>
      </c>
      <c r="K2490" s="198">
        <f t="shared" si="306"/>
        <v>0</v>
      </c>
      <c r="L2490" s="198">
        <f>COUNTIF(J2490:K2490,"&lt;&gt;0")*-'Trading Model'!$E$15</f>
        <v>0</v>
      </c>
      <c r="M2490" s="198">
        <f t="shared" si="304"/>
        <v>0</v>
      </c>
      <c r="N2490" s="75">
        <f t="shared" si="307"/>
        <v>74</v>
      </c>
      <c r="O2490" s="202">
        <f t="shared" si="308"/>
        <v>0</v>
      </c>
      <c r="P2490" s="199">
        <f t="shared" si="305"/>
        <v>0</v>
      </c>
      <c r="Q2490" s="203">
        <f t="shared" si="309"/>
        <v>-24.199999999998671</v>
      </c>
      <c r="R2490" s="203" t="s">
        <v>55</v>
      </c>
      <c r="S2490" s="201">
        <f t="shared" si="310"/>
        <v>-7.4626865671642006E-3</v>
      </c>
    </row>
    <row r="2491" spans="1:19">
      <c r="A2491" s="196">
        <v>43584</v>
      </c>
      <c r="B2491" s="122">
        <v>13.48</v>
      </c>
      <c r="C2491" s="122">
        <v>13.48</v>
      </c>
      <c r="D2491" s="122">
        <v>13.07</v>
      </c>
      <c r="E2491" s="122">
        <v>13.13</v>
      </c>
      <c r="F2491" s="122">
        <v>12.792706000000001</v>
      </c>
      <c r="G2491" s="197">
        <v>221200</v>
      </c>
      <c r="H2491" s="198">
        <f>IF(AND(E2490&gt;=H2490,E2491&gt;=E2490),E2490*(1+'Trading Model'!$E$13),IF(AND(E2491&lt;E2490,E2490&gt;=H2490),E2491*(1+'Trading Model'!$E$13),H2490))</f>
        <v>39.921000000000006</v>
      </c>
      <c r="I2491" s="198">
        <f>IF(K2491&gt;0,E2491*(1-'Trading Model'!E2501),IF(E2491&lt;I2490,I2490*(1-'Trading Model'!$E$14),I2490))</f>
        <v>13.104811379566657</v>
      </c>
      <c r="J2491" s="198">
        <f t="shared" si="311"/>
        <v>0</v>
      </c>
      <c r="K2491" s="198">
        <f t="shared" si="306"/>
        <v>0</v>
      </c>
      <c r="L2491" s="198">
        <f>COUNTIF(J2491:K2491,"&lt;&gt;0")*-'Trading Model'!$E$15</f>
        <v>0</v>
      </c>
      <c r="M2491" s="198">
        <f t="shared" si="304"/>
        <v>0</v>
      </c>
      <c r="N2491" s="75">
        <f t="shared" si="307"/>
        <v>74</v>
      </c>
      <c r="O2491" s="202">
        <f t="shared" si="308"/>
        <v>0</v>
      </c>
      <c r="P2491" s="199">
        <f t="shared" si="305"/>
        <v>0</v>
      </c>
      <c r="Q2491" s="203">
        <f t="shared" si="309"/>
        <v>-24.299999999998672</v>
      </c>
      <c r="R2491" s="203" t="s">
        <v>55</v>
      </c>
      <c r="S2491" s="201">
        <f t="shared" si="310"/>
        <v>-1.2781954887218006E-2</v>
      </c>
    </row>
    <row r="2492" spans="1:19">
      <c r="A2492" s="196">
        <v>43585</v>
      </c>
      <c r="B2492" s="122">
        <v>13.22</v>
      </c>
      <c r="C2492" s="122">
        <v>13.31</v>
      </c>
      <c r="D2492" s="122">
        <v>12.82</v>
      </c>
      <c r="E2492" s="122">
        <v>13.15</v>
      </c>
      <c r="F2492" s="122">
        <v>12.812192</v>
      </c>
      <c r="G2492" s="197">
        <v>300600</v>
      </c>
      <c r="H2492" s="198">
        <f>IF(AND(E2491&gt;=H2491,E2492&gt;=E2491),E2491*(1+'Trading Model'!$E$13),IF(AND(E2492&lt;E2491,E2491&gt;=H2491),E2492*(1+'Trading Model'!$E$13),H2491))</f>
        <v>39.921000000000006</v>
      </c>
      <c r="I2492" s="198">
        <f>IF(K2492&gt;0,E2492*(1-'Trading Model'!E2502),IF(E2492&lt;I2491,I2491*(1-'Trading Model'!$E$14),I2491))</f>
        <v>13.104811379566657</v>
      </c>
      <c r="J2492" s="198">
        <f t="shared" si="311"/>
        <v>0</v>
      </c>
      <c r="K2492" s="198">
        <f t="shared" si="306"/>
        <v>0</v>
      </c>
      <c r="L2492" s="198">
        <f>COUNTIF(J2492:K2492,"&lt;&gt;0")*-'Trading Model'!$E$15</f>
        <v>0</v>
      </c>
      <c r="M2492" s="198">
        <f t="shared" si="304"/>
        <v>0</v>
      </c>
      <c r="N2492" s="75">
        <f t="shared" si="307"/>
        <v>74</v>
      </c>
      <c r="O2492" s="202">
        <f t="shared" si="308"/>
        <v>0</v>
      </c>
      <c r="P2492" s="199">
        <f t="shared" si="305"/>
        <v>0</v>
      </c>
      <c r="Q2492" s="203">
        <f t="shared" si="309"/>
        <v>-24.299999999998672</v>
      </c>
      <c r="R2492" s="201">
        <f>E2492/B2488-1</f>
        <v>-8.0419580419580416E-2</v>
      </c>
      <c r="S2492" s="201">
        <f t="shared" si="310"/>
        <v>1.5232292460014563E-3</v>
      </c>
    </row>
    <row r="2493" spans="1:19">
      <c r="A2493" s="196">
        <v>43586</v>
      </c>
      <c r="B2493" s="122">
        <v>13.14</v>
      </c>
      <c r="C2493" s="122">
        <v>13.45</v>
      </c>
      <c r="D2493" s="122">
        <v>13.14</v>
      </c>
      <c r="E2493" s="122">
        <v>13.21</v>
      </c>
      <c r="F2493" s="122">
        <v>12.870651000000001</v>
      </c>
      <c r="G2493" s="197">
        <v>100900</v>
      </c>
      <c r="H2493" s="198">
        <f>IF(AND(E2492&gt;=H2492,E2493&gt;=E2492),E2492*(1+'Trading Model'!$E$13),IF(AND(E2493&lt;E2492,E2492&gt;=H2492),E2493*(1+'Trading Model'!$E$13),H2492))</f>
        <v>39.921000000000006</v>
      </c>
      <c r="I2493" s="198">
        <f>IF(K2493&gt;0,E2493*(1-'Trading Model'!E2503),IF(E2493&lt;I2492,I2492*(1-'Trading Model'!$E$14),I2492))</f>
        <v>13.104811379566657</v>
      </c>
      <c r="J2493" s="198">
        <f t="shared" si="311"/>
        <v>0</v>
      </c>
      <c r="K2493" s="198">
        <f t="shared" si="306"/>
        <v>0</v>
      </c>
      <c r="L2493" s="198">
        <f>COUNTIF(J2493:K2493,"&lt;&gt;0")*-'Trading Model'!$E$15</f>
        <v>0</v>
      </c>
      <c r="M2493" s="198">
        <f t="shared" si="304"/>
        <v>0</v>
      </c>
      <c r="N2493" s="75">
        <f t="shared" si="307"/>
        <v>74</v>
      </c>
      <c r="O2493" s="202">
        <f t="shared" si="308"/>
        <v>0</v>
      </c>
      <c r="P2493" s="199">
        <f t="shared" si="305"/>
        <v>0</v>
      </c>
      <c r="Q2493" s="203">
        <f t="shared" si="309"/>
        <v>-24.299999999998672</v>
      </c>
      <c r="R2493" s="160" t="s">
        <v>55</v>
      </c>
      <c r="S2493" s="201">
        <f t="shared" si="310"/>
        <v>4.5627376425856347E-3</v>
      </c>
    </row>
    <row r="2494" spans="1:19">
      <c r="A2494" s="196">
        <v>43587</v>
      </c>
      <c r="B2494" s="122">
        <v>13.22</v>
      </c>
      <c r="C2494" s="122">
        <v>13.46</v>
      </c>
      <c r="D2494" s="122">
        <v>13.19</v>
      </c>
      <c r="E2494" s="122">
        <v>13.43</v>
      </c>
      <c r="F2494" s="122">
        <v>13.085000000000001</v>
      </c>
      <c r="G2494" s="197">
        <v>394700</v>
      </c>
      <c r="H2494" s="198">
        <f>IF(AND(E2493&gt;=H2493,E2494&gt;=E2493),E2493*(1+'Trading Model'!$E$13),IF(AND(E2494&lt;E2493,E2493&gt;=H2493),E2494*(1+'Trading Model'!$E$13),H2493))</f>
        <v>39.921000000000006</v>
      </c>
      <c r="I2494" s="198">
        <f>IF(K2494&gt;0,E2494*(1-'Trading Model'!E2504),IF(E2494&lt;I2493,I2493*(1-'Trading Model'!$E$14),I2493))</f>
        <v>13.104811379566657</v>
      </c>
      <c r="J2494" s="198">
        <f t="shared" si="311"/>
        <v>0</v>
      </c>
      <c r="K2494" s="198">
        <f t="shared" si="306"/>
        <v>0</v>
      </c>
      <c r="L2494" s="198">
        <f>COUNTIF(J2494:K2494,"&lt;&gt;0")*-'Trading Model'!$E$15</f>
        <v>0</v>
      </c>
      <c r="M2494" s="198">
        <f t="shared" si="304"/>
        <v>0</v>
      </c>
      <c r="N2494" s="75">
        <f t="shared" si="307"/>
        <v>74</v>
      </c>
      <c r="O2494" s="202">
        <f t="shared" si="308"/>
        <v>0</v>
      </c>
      <c r="P2494" s="199">
        <f t="shared" si="305"/>
        <v>0</v>
      </c>
      <c r="Q2494" s="203">
        <f t="shared" si="309"/>
        <v>-24.299999999998672</v>
      </c>
      <c r="R2494" s="203" t="s">
        <v>55</v>
      </c>
      <c r="S2494" s="201">
        <f t="shared" si="310"/>
        <v>1.6654049962149697E-2</v>
      </c>
    </row>
    <row r="2495" spans="1:19">
      <c r="A2495" s="196">
        <v>43588</v>
      </c>
      <c r="B2495" s="122">
        <v>13.14</v>
      </c>
      <c r="C2495" s="122">
        <v>13.92</v>
      </c>
      <c r="D2495" s="122">
        <v>13.14</v>
      </c>
      <c r="E2495" s="122">
        <v>13.92</v>
      </c>
      <c r="F2495" s="122">
        <v>13.92</v>
      </c>
      <c r="G2495" s="197">
        <v>388300</v>
      </c>
      <c r="H2495" s="198">
        <f>IF(AND(E2494&gt;=H2494,E2495&gt;=E2494),E2494*(1+'Trading Model'!$E$13),IF(AND(E2495&lt;E2494,E2494&gt;=H2494),E2495*(1+'Trading Model'!$E$13),H2494))</f>
        <v>39.921000000000006</v>
      </c>
      <c r="I2495" s="198">
        <f>IF(K2495&gt;0,E2495*(1-'Trading Model'!E2505),IF(E2495&lt;I2494,I2494*(1-'Trading Model'!$E$14),I2494))</f>
        <v>13.104811379566657</v>
      </c>
      <c r="J2495" s="198">
        <f t="shared" si="311"/>
        <v>0</v>
      </c>
      <c r="K2495" s="198">
        <f t="shared" si="306"/>
        <v>0</v>
      </c>
      <c r="L2495" s="198">
        <f>COUNTIF(J2495:K2495,"&lt;&gt;0")*-'Trading Model'!$E$15</f>
        <v>0</v>
      </c>
      <c r="M2495" s="198">
        <f t="shared" si="304"/>
        <v>0</v>
      </c>
      <c r="N2495" s="75">
        <f t="shared" si="307"/>
        <v>74</v>
      </c>
      <c r="O2495" s="202">
        <f t="shared" si="308"/>
        <v>0.34499999999999997</v>
      </c>
      <c r="P2495" s="199">
        <f t="shared" si="305"/>
        <v>0.34499999999999997</v>
      </c>
      <c r="Q2495" s="203">
        <f t="shared" si="309"/>
        <v>-24.299999999998672</v>
      </c>
      <c r="R2495" s="203" t="s">
        <v>55</v>
      </c>
      <c r="S2495" s="201">
        <f t="shared" si="310"/>
        <v>3.6485480268056536E-2</v>
      </c>
    </row>
    <row r="2496" spans="1:19">
      <c r="A2496" s="196">
        <v>43591</v>
      </c>
      <c r="B2496" s="122">
        <v>13.65</v>
      </c>
      <c r="C2496" s="122">
        <v>14.42</v>
      </c>
      <c r="D2496" s="122">
        <v>13.61</v>
      </c>
      <c r="E2496" s="122">
        <v>14.29</v>
      </c>
      <c r="F2496" s="122">
        <v>14.29</v>
      </c>
      <c r="G2496" s="197">
        <v>189300</v>
      </c>
      <c r="H2496" s="198">
        <f>IF(AND(E2495&gt;=H2495,E2496&gt;=E2495),E2495*(1+'Trading Model'!$E$13),IF(AND(E2496&lt;E2495,E2495&gt;=H2495),E2496*(1+'Trading Model'!$E$13),H2495))</f>
        <v>39.921000000000006</v>
      </c>
      <c r="I2496" s="198">
        <f>IF(K2496&gt;0,E2496*(1-'Trading Model'!E2506),IF(E2496&lt;I2495,I2495*(1-'Trading Model'!$E$14),I2495))</f>
        <v>13.104811379566657</v>
      </c>
      <c r="J2496" s="198">
        <f t="shared" si="311"/>
        <v>0</v>
      </c>
      <c r="K2496" s="198">
        <f t="shared" si="306"/>
        <v>0</v>
      </c>
      <c r="L2496" s="198">
        <f>COUNTIF(J2496:K2496,"&lt;&gt;0")*-'Trading Model'!$E$15</f>
        <v>0</v>
      </c>
      <c r="M2496" s="198">
        <f t="shared" si="304"/>
        <v>0</v>
      </c>
      <c r="N2496" s="75">
        <f t="shared" si="307"/>
        <v>74</v>
      </c>
      <c r="O2496" s="202">
        <f t="shared" si="308"/>
        <v>0</v>
      </c>
      <c r="P2496" s="199">
        <f t="shared" si="305"/>
        <v>0</v>
      </c>
      <c r="Q2496" s="203">
        <f t="shared" si="309"/>
        <v>-24.299999999998672</v>
      </c>
      <c r="R2496" s="203" t="s">
        <v>55</v>
      </c>
      <c r="S2496" s="201">
        <f t="shared" si="310"/>
        <v>2.6580459770114917E-2</v>
      </c>
    </row>
    <row r="2497" spans="1:19">
      <c r="A2497" s="196">
        <v>43592</v>
      </c>
      <c r="B2497" s="122">
        <v>14.01</v>
      </c>
      <c r="C2497" s="122">
        <v>14.91</v>
      </c>
      <c r="D2497" s="122">
        <v>14.01</v>
      </c>
      <c r="E2497" s="122">
        <v>14.73</v>
      </c>
      <c r="F2497" s="122">
        <v>14.73</v>
      </c>
      <c r="G2497" s="197">
        <v>302400</v>
      </c>
      <c r="H2497" s="198">
        <f>IF(AND(E2496&gt;=H2496,E2497&gt;=E2496),E2496*(1+'Trading Model'!$E$13),IF(AND(E2497&lt;E2496,E2496&gt;=H2496),E2497*(1+'Trading Model'!$E$13),H2496))</f>
        <v>39.921000000000006</v>
      </c>
      <c r="I2497" s="198">
        <f>IF(K2497&gt;0,E2497*(1-'Trading Model'!E2507),IF(E2497&lt;I2496,I2496*(1-'Trading Model'!$E$14),I2496))</f>
        <v>13.104811379566657</v>
      </c>
      <c r="J2497" s="198">
        <f t="shared" si="311"/>
        <v>0</v>
      </c>
      <c r="K2497" s="198">
        <f t="shared" si="306"/>
        <v>0</v>
      </c>
      <c r="L2497" s="198">
        <f>COUNTIF(J2497:K2497,"&lt;&gt;0")*-'Trading Model'!$E$15</f>
        <v>0</v>
      </c>
      <c r="M2497" s="198">
        <f t="shared" si="304"/>
        <v>0</v>
      </c>
      <c r="N2497" s="75">
        <f t="shared" si="307"/>
        <v>74</v>
      </c>
      <c r="O2497" s="202">
        <f t="shared" si="308"/>
        <v>0</v>
      </c>
      <c r="P2497" s="199">
        <f t="shared" si="305"/>
        <v>0</v>
      </c>
      <c r="Q2497" s="203">
        <f t="shared" si="309"/>
        <v>-24.299999999998672</v>
      </c>
      <c r="R2497" s="201">
        <f>E2497/B2493-1</f>
        <v>0.12100456621004563</v>
      </c>
      <c r="S2497" s="201">
        <f t="shared" si="310"/>
        <v>3.0790762771168767E-2</v>
      </c>
    </row>
    <row r="2498" spans="1:19">
      <c r="A2498" s="196">
        <v>43593</v>
      </c>
      <c r="B2498" s="122">
        <v>14.8</v>
      </c>
      <c r="C2498" s="122">
        <v>15.77</v>
      </c>
      <c r="D2498" s="122">
        <v>14.78</v>
      </c>
      <c r="E2498" s="122">
        <v>15.57</v>
      </c>
      <c r="F2498" s="122">
        <v>15.57</v>
      </c>
      <c r="G2498" s="197">
        <v>741800</v>
      </c>
      <c r="H2498" s="198">
        <f>IF(AND(E2497&gt;=H2497,E2498&gt;=E2497),E2497*(1+'Trading Model'!$E$13),IF(AND(E2498&lt;E2497,E2497&gt;=H2497),E2498*(1+'Trading Model'!$E$13),H2497))</f>
        <v>39.921000000000006</v>
      </c>
      <c r="I2498" s="198">
        <f>IF(K2498&gt;0,E2498*(1-'Trading Model'!E2508),IF(E2498&lt;I2497,I2497*(1-'Trading Model'!$E$14),I2497))</f>
        <v>13.104811379566657</v>
      </c>
      <c r="J2498" s="198">
        <f t="shared" si="311"/>
        <v>0</v>
      </c>
      <c r="K2498" s="198">
        <f t="shared" si="306"/>
        <v>0</v>
      </c>
      <c r="L2498" s="198">
        <f>COUNTIF(J2498:K2498,"&lt;&gt;0")*-'Trading Model'!$E$15</f>
        <v>0</v>
      </c>
      <c r="M2498" s="198">
        <f t="shared" si="304"/>
        <v>0</v>
      </c>
      <c r="N2498" s="75">
        <f t="shared" si="307"/>
        <v>74</v>
      </c>
      <c r="O2498" s="202">
        <f t="shared" si="308"/>
        <v>0</v>
      </c>
      <c r="P2498" s="199">
        <f t="shared" si="305"/>
        <v>0</v>
      </c>
      <c r="Q2498" s="203">
        <f t="shared" si="309"/>
        <v>-24.299999999998672</v>
      </c>
      <c r="R2498" s="160" t="s">
        <v>55</v>
      </c>
      <c r="S2498" s="201">
        <f t="shared" si="310"/>
        <v>5.7026476578411422E-2</v>
      </c>
    </row>
    <row r="2499" spans="1:19">
      <c r="A2499" s="196">
        <v>43594</v>
      </c>
      <c r="B2499" s="122">
        <v>15.22</v>
      </c>
      <c r="C2499" s="122">
        <v>15.89</v>
      </c>
      <c r="D2499" s="122">
        <v>14.9</v>
      </c>
      <c r="E2499" s="122">
        <v>15.51</v>
      </c>
      <c r="F2499" s="122">
        <v>15.51</v>
      </c>
      <c r="G2499" s="197">
        <v>609500</v>
      </c>
      <c r="H2499" s="198">
        <f>IF(AND(E2498&gt;=H2498,E2499&gt;=E2498),E2498*(1+'Trading Model'!$E$13),IF(AND(E2499&lt;E2498,E2498&gt;=H2498),E2499*(1+'Trading Model'!$E$13),H2498))</f>
        <v>39.921000000000006</v>
      </c>
      <c r="I2499" s="198">
        <f>IF(K2499&gt;0,E2499*(1-'Trading Model'!E2509),IF(E2499&lt;I2498,I2498*(1-'Trading Model'!$E$14),I2498))</f>
        <v>13.104811379566657</v>
      </c>
      <c r="J2499" s="198">
        <f t="shared" si="311"/>
        <v>0</v>
      </c>
      <c r="K2499" s="198">
        <f t="shared" si="306"/>
        <v>0</v>
      </c>
      <c r="L2499" s="198">
        <f>COUNTIF(J2499:K2499,"&lt;&gt;0")*-'Trading Model'!$E$15</f>
        <v>0</v>
      </c>
      <c r="M2499" s="198">
        <f t="shared" ref="M2499:M2519" si="312">SUM(J2499:L2499)</f>
        <v>0</v>
      </c>
      <c r="N2499" s="75">
        <f t="shared" si="307"/>
        <v>74</v>
      </c>
      <c r="O2499" s="202">
        <f t="shared" si="308"/>
        <v>0</v>
      </c>
      <c r="P2499" s="199">
        <f t="shared" ref="P2499:P2519" si="313">IFERROR(VLOOKUP(A2499,Dividends,2,FALSE),$U$1)</f>
        <v>0</v>
      </c>
      <c r="Q2499" s="203">
        <f t="shared" si="309"/>
        <v>-24.399999999998673</v>
      </c>
      <c r="R2499" s="203" t="s">
        <v>55</v>
      </c>
      <c r="S2499" s="201">
        <f t="shared" si="310"/>
        <v>-3.8535645472062008E-3</v>
      </c>
    </row>
    <row r="2500" spans="1:19">
      <c r="A2500" s="196">
        <v>43595</v>
      </c>
      <c r="B2500" s="122">
        <v>15.41</v>
      </c>
      <c r="C2500" s="122">
        <v>15.54</v>
      </c>
      <c r="D2500" s="122">
        <v>14.81</v>
      </c>
      <c r="E2500" s="122">
        <v>14.85</v>
      </c>
      <c r="F2500" s="122">
        <v>14.85</v>
      </c>
      <c r="G2500" s="197">
        <v>643200</v>
      </c>
      <c r="H2500" s="198">
        <f>IF(AND(E2499&gt;=H2499,E2500&gt;=E2499),E2499*(1+'Trading Model'!$E$13),IF(AND(E2500&lt;E2499,E2499&gt;=H2499),E2500*(1+'Trading Model'!$E$13),H2499))</f>
        <v>39.921000000000006</v>
      </c>
      <c r="I2500" s="198">
        <f>IF(K2500&gt;0,E2500*(1-'Trading Model'!E2510),IF(E2500&lt;I2499,I2499*(1-'Trading Model'!$E$14),I2499))</f>
        <v>13.104811379566657</v>
      </c>
      <c r="J2500" s="198">
        <f t="shared" si="311"/>
        <v>0</v>
      </c>
      <c r="K2500" s="198">
        <f t="shared" ref="K2500:K2518" si="314">IF(E2500&gt;=H2500,E2500,0)</f>
        <v>0</v>
      </c>
      <c r="L2500" s="198">
        <f>COUNTIF(J2500:K2500,"&lt;&gt;0")*-'Trading Model'!$E$15</f>
        <v>0</v>
      </c>
      <c r="M2500" s="198">
        <f t="shared" si="312"/>
        <v>0</v>
      </c>
      <c r="N2500" s="75">
        <f t="shared" ref="N2500:N2518" si="315">IF(AND(J2500&lt;0,K2500&gt;0),N2499,(IF(J2500&lt;0,N2499+1,IF(K2500&gt;0,N2499+1,N2499))))</f>
        <v>74</v>
      </c>
      <c r="O2500" s="202">
        <f t="shared" ref="O2500:O2518" si="316">P2500</f>
        <v>0</v>
      </c>
      <c r="P2500" s="199">
        <f t="shared" si="313"/>
        <v>0</v>
      </c>
      <c r="Q2500" s="203">
        <f t="shared" ref="Q2500:Q2519" si="317">IF(E2500&lt;E2499,Q2499-0.1,Q2499)</f>
        <v>-24.499999999998675</v>
      </c>
      <c r="R2500" s="203" t="s">
        <v>55</v>
      </c>
      <c r="S2500" s="201">
        <f t="shared" ref="S2500:S2519" si="318">E2500/E2499-1</f>
        <v>-4.2553191489361764E-2</v>
      </c>
    </row>
    <row r="2501" spans="1:19">
      <c r="A2501" s="196">
        <v>43598</v>
      </c>
      <c r="B2501" s="122">
        <v>14.53</v>
      </c>
      <c r="C2501" s="122">
        <v>14.77</v>
      </c>
      <c r="D2501" s="122">
        <v>14.04</v>
      </c>
      <c r="E2501" s="122">
        <v>14.38</v>
      </c>
      <c r="F2501" s="122">
        <v>14.38</v>
      </c>
      <c r="G2501" s="197">
        <v>242200</v>
      </c>
      <c r="H2501" s="198">
        <f>IF(AND(E2500&gt;=H2500,E2501&gt;=E2500),E2500*(1+'Trading Model'!$E$13),IF(AND(E2501&lt;E2500,E2500&gt;=H2500),E2501*(1+'Trading Model'!$E$13),H2500))</f>
        <v>39.921000000000006</v>
      </c>
      <c r="I2501" s="198">
        <f>IF(K2501&gt;0,E2501*(1-'Trading Model'!E2511),IF(E2501&lt;I2500,I2500*(1-'Trading Model'!$E$14),I2500))</f>
        <v>13.104811379566657</v>
      </c>
      <c r="J2501" s="198">
        <f t="shared" ref="J2501:J2518" si="319">IF(E2501&gt;=H2501,-E2501,IF(E2501&lt;=I2500,-E2501,0))</f>
        <v>0</v>
      </c>
      <c r="K2501" s="198">
        <f t="shared" si="314"/>
        <v>0</v>
      </c>
      <c r="L2501" s="198">
        <f>COUNTIF(J2501:K2501,"&lt;&gt;0")*-'Trading Model'!$E$15</f>
        <v>0</v>
      </c>
      <c r="M2501" s="198">
        <f t="shared" si="312"/>
        <v>0</v>
      </c>
      <c r="N2501" s="75">
        <f t="shared" si="315"/>
        <v>74</v>
      </c>
      <c r="O2501" s="202">
        <f t="shared" si="316"/>
        <v>0</v>
      </c>
      <c r="P2501" s="199">
        <f t="shared" si="313"/>
        <v>0</v>
      </c>
      <c r="Q2501" s="203">
        <f t="shared" si="317"/>
        <v>-24.599999999998676</v>
      </c>
      <c r="R2501" s="203" t="s">
        <v>55</v>
      </c>
      <c r="S2501" s="201">
        <f t="shared" si="318"/>
        <v>-3.1649831649831595E-2</v>
      </c>
    </row>
    <row r="2502" spans="1:19">
      <c r="A2502" s="196">
        <v>43599</v>
      </c>
      <c r="B2502" s="122">
        <v>14.61</v>
      </c>
      <c r="C2502" s="122">
        <v>14.77</v>
      </c>
      <c r="D2502" s="122">
        <v>13.97</v>
      </c>
      <c r="E2502" s="122">
        <v>14.53</v>
      </c>
      <c r="F2502" s="122">
        <v>14.53</v>
      </c>
      <c r="G2502" s="197">
        <v>405500</v>
      </c>
      <c r="H2502" s="198">
        <f>IF(AND(E2501&gt;=H2501,E2502&gt;=E2501),E2501*(1+'Trading Model'!$E$13),IF(AND(E2502&lt;E2501,E2501&gt;=H2501),E2502*(1+'Trading Model'!$E$13),H2501))</f>
        <v>39.921000000000006</v>
      </c>
      <c r="I2502" s="198">
        <f>IF(K2502&gt;0,E2502*(1-'Trading Model'!E2512),IF(E2502&lt;I2501,I2501*(1-'Trading Model'!$E$14),I2501))</f>
        <v>13.104811379566657</v>
      </c>
      <c r="J2502" s="198">
        <f t="shared" si="319"/>
        <v>0</v>
      </c>
      <c r="K2502" s="198">
        <f t="shared" si="314"/>
        <v>0</v>
      </c>
      <c r="L2502" s="198">
        <f>COUNTIF(J2502:K2502,"&lt;&gt;0")*-'Trading Model'!$E$15</f>
        <v>0</v>
      </c>
      <c r="M2502" s="198">
        <f t="shared" si="312"/>
        <v>0</v>
      </c>
      <c r="N2502" s="75">
        <f t="shared" si="315"/>
        <v>74</v>
      </c>
      <c r="O2502" s="202">
        <f t="shared" si="316"/>
        <v>0</v>
      </c>
      <c r="P2502" s="199">
        <f t="shared" si="313"/>
        <v>0</v>
      </c>
      <c r="Q2502" s="203">
        <f t="shared" si="317"/>
        <v>-24.599999999998676</v>
      </c>
      <c r="R2502" s="201">
        <f>E2502/B2498-1</f>
        <v>-1.8243243243243334E-2</v>
      </c>
      <c r="S2502" s="201">
        <f t="shared" si="318"/>
        <v>1.0431154381084662E-2</v>
      </c>
    </row>
    <row r="2503" spans="1:19">
      <c r="A2503" s="196">
        <v>43600</v>
      </c>
      <c r="B2503" s="122">
        <v>14.3</v>
      </c>
      <c r="C2503" s="122">
        <v>14.84</v>
      </c>
      <c r="D2503" s="122">
        <v>14.11</v>
      </c>
      <c r="E2503" s="122">
        <v>14.72</v>
      </c>
      <c r="F2503" s="122">
        <v>14.72</v>
      </c>
      <c r="G2503" s="197">
        <v>521600</v>
      </c>
      <c r="H2503" s="198">
        <f>IF(AND(E2502&gt;=H2502,E2503&gt;=E2502),E2502*(1+'Trading Model'!$E$13),IF(AND(E2503&lt;E2502,E2502&gt;=H2502),E2503*(1+'Trading Model'!$E$13),H2502))</f>
        <v>39.921000000000006</v>
      </c>
      <c r="I2503" s="198">
        <f>IF(K2503&gt;0,E2503*(1-'Trading Model'!E2513),IF(E2503&lt;I2502,I2502*(1-'Trading Model'!$E$14),I2502))</f>
        <v>13.104811379566657</v>
      </c>
      <c r="J2503" s="198">
        <f t="shared" si="319"/>
        <v>0</v>
      </c>
      <c r="K2503" s="198">
        <f t="shared" si="314"/>
        <v>0</v>
      </c>
      <c r="L2503" s="198">
        <f>COUNTIF(J2503:K2503,"&lt;&gt;0")*-'Trading Model'!$E$15</f>
        <v>0</v>
      </c>
      <c r="M2503" s="198">
        <f t="shared" si="312"/>
        <v>0</v>
      </c>
      <c r="N2503" s="75">
        <f t="shared" si="315"/>
        <v>74</v>
      </c>
      <c r="O2503" s="202">
        <f t="shared" si="316"/>
        <v>0</v>
      </c>
      <c r="P2503" s="199">
        <f t="shared" si="313"/>
        <v>0</v>
      </c>
      <c r="Q2503" s="203">
        <f t="shared" si="317"/>
        <v>-24.599999999998676</v>
      </c>
      <c r="R2503" s="160" t="s">
        <v>55</v>
      </c>
      <c r="S2503" s="201">
        <f t="shared" si="318"/>
        <v>1.3076393668272734E-2</v>
      </c>
    </row>
    <row r="2504" spans="1:19">
      <c r="A2504" s="196">
        <v>43601</v>
      </c>
      <c r="B2504" s="122">
        <v>14.82</v>
      </c>
      <c r="C2504" s="122">
        <v>15.23</v>
      </c>
      <c r="D2504" s="122">
        <v>14.53</v>
      </c>
      <c r="E2504" s="122">
        <v>15.04</v>
      </c>
      <c r="F2504" s="122">
        <v>15.04</v>
      </c>
      <c r="G2504" s="197">
        <v>372700</v>
      </c>
      <c r="H2504" s="198">
        <f>IF(AND(E2503&gt;=H2503,E2504&gt;=E2503),E2503*(1+'Trading Model'!$E$13),IF(AND(E2504&lt;E2503,E2503&gt;=H2503),E2504*(1+'Trading Model'!$E$13),H2503))</f>
        <v>39.921000000000006</v>
      </c>
      <c r="I2504" s="198">
        <f>IF(K2504&gt;0,E2504*(1-'Trading Model'!E2514),IF(E2504&lt;I2503,I2503*(1-'Trading Model'!$E$14),I2503))</f>
        <v>13.104811379566657</v>
      </c>
      <c r="J2504" s="198">
        <f t="shared" si="319"/>
        <v>0</v>
      </c>
      <c r="K2504" s="198">
        <f t="shared" si="314"/>
        <v>0</v>
      </c>
      <c r="L2504" s="198">
        <f>COUNTIF(J2504:K2504,"&lt;&gt;0")*-'Trading Model'!$E$15</f>
        <v>0</v>
      </c>
      <c r="M2504" s="198">
        <f t="shared" si="312"/>
        <v>0</v>
      </c>
      <c r="N2504" s="75">
        <f t="shared" si="315"/>
        <v>74</v>
      </c>
      <c r="O2504" s="202">
        <f t="shared" si="316"/>
        <v>0</v>
      </c>
      <c r="P2504" s="199">
        <f t="shared" si="313"/>
        <v>0</v>
      </c>
      <c r="Q2504" s="203">
        <f t="shared" si="317"/>
        <v>-24.599999999998676</v>
      </c>
      <c r="R2504" s="203" t="s">
        <v>55</v>
      </c>
      <c r="S2504" s="201">
        <f t="shared" si="318"/>
        <v>2.1739130434782483E-2</v>
      </c>
    </row>
    <row r="2505" spans="1:19">
      <c r="A2505" s="196">
        <v>43602</v>
      </c>
      <c r="B2505" s="122">
        <v>14.78</v>
      </c>
      <c r="C2505" s="122">
        <v>15.5</v>
      </c>
      <c r="D2505" s="122">
        <v>14.67</v>
      </c>
      <c r="E2505" s="122">
        <v>14.98</v>
      </c>
      <c r="F2505" s="122">
        <v>14.98</v>
      </c>
      <c r="G2505" s="197">
        <v>557000</v>
      </c>
      <c r="H2505" s="198">
        <f>IF(AND(E2504&gt;=H2504,E2505&gt;=E2504),E2504*(1+'Trading Model'!$E$13),IF(AND(E2505&lt;E2504,E2504&gt;=H2504),E2505*(1+'Trading Model'!$E$13),H2504))</f>
        <v>39.921000000000006</v>
      </c>
      <c r="I2505" s="198">
        <f>IF(K2505&gt;0,E2505*(1-'Trading Model'!E2515),IF(E2505&lt;I2504,I2504*(1-'Trading Model'!$E$14),I2504))</f>
        <v>13.104811379566657</v>
      </c>
      <c r="J2505" s="198">
        <f t="shared" si="319"/>
        <v>0</v>
      </c>
      <c r="K2505" s="198">
        <f t="shared" si="314"/>
        <v>0</v>
      </c>
      <c r="L2505" s="198">
        <f>COUNTIF(J2505:K2505,"&lt;&gt;0")*-'Trading Model'!$E$15</f>
        <v>0</v>
      </c>
      <c r="M2505" s="198">
        <f t="shared" si="312"/>
        <v>0</v>
      </c>
      <c r="N2505" s="75">
        <f t="shared" si="315"/>
        <v>74</v>
      </c>
      <c r="O2505" s="202">
        <f t="shared" si="316"/>
        <v>0</v>
      </c>
      <c r="P2505" s="199">
        <f t="shared" si="313"/>
        <v>0</v>
      </c>
      <c r="Q2505" s="203">
        <f t="shared" si="317"/>
        <v>-24.699999999998678</v>
      </c>
      <c r="R2505" s="203" t="s">
        <v>55</v>
      </c>
      <c r="S2505" s="201">
        <f t="shared" si="318"/>
        <v>-3.9893617021276029E-3</v>
      </c>
    </row>
    <row r="2506" spans="1:19">
      <c r="A2506" s="196">
        <v>43605</v>
      </c>
      <c r="B2506" s="122">
        <v>14.88</v>
      </c>
      <c r="C2506" s="122">
        <v>15.15</v>
      </c>
      <c r="D2506" s="122">
        <v>14.06</v>
      </c>
      <c r="E2506" s="122">
        <v>14.81</v>
      </c>
      <c r="F2506" s="122">
        <v>14.81</v>
      </c>
      <c r="G2506" s="197">
        <v>747000</v>
      </c>
      <c r="H2506" s="198">
        <f>IF(AND(E2505&gt;=H2505,E2506&gt;=E2505),E2505*(1+'Trading Model'!$E$13),IF(AND(E2506&lt;E2505,E2505&gt;=H2505),E2506*(1+'Trading Model'!$E$13),H2505))</f>
        <v>39.921000000000006</v>
      </c>
      <c r="I2506" s="198">
        <f>IF(K2506&gt;0,E2506*(1-'Trading Model'!E2516),IF(E2506&lt;I2505,I2505*(1-'Trading Model'!$E$14),I2505))</f>
        <v>13.104811379566657</v>
      </c>
      <c r="J2506" s="198">
        <f t="shared" si="319"/>
        <v>0</v>
      </c>
      <c r="K2506" s="198">
        <f t="shared" si="314"/>
        <v>0</v>
      </c>
      <c r="L2506" s="198">
        <f>COUNTIF(J2506:K2506,"&lt;&gt;0")*-'Trading Model'!$E$15</f>
        <v>0</v>
      </c>
      <c r="M2506" s="198">
        <f t="shared" si="312"/>
        <v>0</v>
      </c>
      <c r="N2506" s="75">
        <f t="shared" si="315"/>
        <v>74</v>
      </c>
      <c r="O2506" s="202">
        <f t="shared" si="316"/>
        <v>0</v>
      </c>
      <c r="P2506" s="199">
        <f t="shared" si="313"/>
        <v>0</v>
      </c>
      <c r="Q2506" s="203">
        <f t="shared" si="317"/>
        <v>-24.799999999998679</v>
      </c>
      <c r="R2506" s="203" t="s">
        <v>55</v>
      </c>
      <c r="S2506" s="201">
        <f t="shared" si="318"/>
        <v>-1.1348464619492682E-2</v>
      </c>
    </row>
    <row r="2507" spans="1:19">
      <c r="A2507" s="196">
        <v>43606</v>
      </c>
      <c r="B2507" s="122">
        <v>14.81</v>
      </c>
      <c r="C2507" s="122">
        <v>15.51</v>
      </c>
      <c r="D2507" s="122">
        <v>14.81</v>
      </c>
      <c r="E2507" s="122">
        <v>15.41</v>
      </c>
      <c r="F2507" s="122">
        <v>15.41</v>
      </c>
      <c r="G2507" s="197">
        <v>544200</v>
      </c>
      <c r="H2507" s="198">
        <f>IF(AND(E2506&gt;=H2506,E2507&gt;=E2506),E2506*(1+'Trading Model'!$E$13),IF(AND(E2507&lt;E2506,E2506&gt;=H2506),E2507*(1+'Trading Model'!$E$13),H2506))</f>
        <v>39.921000000000006</v>
      </c>
      <c r="I2507" s="198">
        <f>IF(K2507&gt;0,E2507*(1-'Trading Model'!E2517),IF(E2507&lt;I2506,I2506*(1-'Trading Model'!$E$14),I2506))</f>
        <v>13.104811379566657</v>
      </c>
      <c r="J2507" s="198">
        <f t="shared" si="319"/>
        <v>0</v>
      </c>
      <c r="K2507" s="198">
        <f t="shared" si="314"/>
        <v>0</v>
      </c>
      <c r="L2507" s="198">
        <f>COUNTIF(J2507:K2507,"&lt;&gt;0")*-'Trading Model'!$E$15</f>
        <v>0</v>
      </c>
      <c r="M2507" s="198">
        <f t="shared" si="312"/>
        <v>0</v>
      </c>
      <c r="N2507" s="75">
        <f t="shared" si="315"/>
        <v>74</v>
      </c>
      <c r="O2507" s="202">
        <f t="shared" si="316"/>
        <v>0</v>
      </c>
      <c r="P2507" s="199">
        <f t="shared" si="313"/>
        <v>0</v>
      </c>
      <c r="Q2507" s="203">
        <f t="shared" si="317"/>
        <v>-24.799999999998679</v>
      </c>
      <c r="R2507" s="201">
        <f>E2507/B2503-1</f>
        <v>7.762237762237767E-2</v>
      </c>
      <c r="S2507" s="201">
        <f t="shared" si="318"/>
        <v>4.0513166779203136E-2</v>
      </c>
    </row>
    <row r="2508" spans="1:19">
      <c r="A2508" s="196">
        <v>43607</v>
      </c>
      <c r="B2508" s="122">
        <v>15.51</v>
      </c>
      <c r="C2508" s="122">
        <v>16.209999</v>
      </c>
      <c r="D2508" s="122">
        <v>15.36</v>
      </c>
      <c r="E2508" s="122">
        <v>15.77</v>
      </c>
      <c r="F2508" s="122">
        <v>15.77</v>
      </c>
      <c r="G2508" s="197">
        <v>743600</v>
      </c>
      <c r="H2508" s="198">
        <f>IF(AND(E2507&gt;=H2507,E2508&gt;=E2507),E2507*(1+'Trading Model'!$E$13),IF(AND(E2508&lt;E2507,E2507&gt;=H2507),E2508*(1+'Trading Model'!$E$13),H2507))</f>
        <v>39.921000000000006</v>
      </c>
      <c r="I2508" s="198">
        <f>IF(K2508&gt;0,E2508*(1-'Trading Model'!E2518),IF(E2508&lt;I2507,I2507*(1-'Trading Model'!$E$14),I2507))</f>
        <v>13.104811379566657</v>
      </c>
      <c r="J2508" s="198">
        <f t="shared" si="319"/>
        <v>0</v>
      </c>
      <c r="K2508" s="198">
        <f t="shared" si="314"/>
        <v>0</v>
      </c>
      <c r="L2508" s="198">
        <f>COUNTIF(J2508:K2508,"&lt;&gt;0")*-'Trading Model'!$E$15</f>
        <v>0</v>
      </c>
      <c r="M2508" s="198">
        <f t="shared" si="312"/>
        <v>0</v>
      </c>
      <c r="N2508" s="75">
        <f t="shared" si="315"/>
        <v>74</v>
      </c>
      <c r="O2508" s="202">
        <f t="shared" si="316"/>
        <v>0</v>
      </c>
      <c r="P2508" s="199">
        <f t="shared" si="313"/>
        <v>0</v>
      </c>
      <c r="Q2508" s="203">
        <f t="shared" si="317"/>
        <v>-24.799999999998679</v>
      </c>
      <c r="R2508" s="160" t="s">
        <v>55</v>
      </c>
      <c r="S2508" s="201">
        <f t="shared" si="318"/>
        <v>2.3361453601557391E-2</v>
      </c>
    </row>
    <row r="2509" spans="1:19">
      <c r="A2509" s="196">
        <v>43608</v>
      </c>
      <c r="B2509" s="122">
        <v>15.52</v>
      </c>
      <c r="C2509" s="122">
        <v>15.9</v>
      </c>
      <c r="D2509" s="122">
        <v>15.23</v>
      </c>
      <c r="E2509" s="122">
        <v>15.58</v>
      </c>
      <c r="F2509" s="122">
        <v>15.58</v>
      </c>
      <c r="G2509" s="197">
        <v>611300</v>
      </c>
      <c r="H2509" s="198">
        <f>IF(AND(E2508&gt;=H2508,E2509&gt;=E2508),E2508*(1+'Trading Model'!$E$13),IF(AND(E2509&lt;E2508,E2508&gt;=H2508),E2509*(1+'Trading Model'!$E$13),H2508))</f>
        <v>39.921000000000006</v>
      </c>
      <c r="I2509" s="198">
        <f>IF(K2509&gt;0,E2509*(1-'Trading Model'!E2519),IF(E2509&lt;I2508,I2508*(1-'Trading Model'!$E$14),I2508))</f>
        <v>13.104811379566657</v>
      </c>
      <c r="J2509" s="198">
        <f t="shared" si="319"/>
        <v>0</v>
      </c>
      <c r="K2509" s="198">
        <f t="shared" si="314"/>
        <v>0</v>
      </c>
      <c r="L2509" s="198">
        <f>COUNTIF(J2509:K2509,"&lt;&gt;0")*-'Trading Model'!$E$15</f>
        <v>0</v>
      </c>
      <c r="M2509" s="198">
        <f t="shared" si="312"/>
        <v>0</v>
      </c>
      <c r="N2509" s="75">
        <f t="shared" si="315"/>
        <v>74</v>
      </c>
      <c r="O2509" s="202">
        <f t="shared" si="316"/>
        <v>0</v>
      </c>
      <c r="P2509" s="199">
        <f t="shared" si="313"/>
        <v>0</v>
      </c>
      <c r="Q2509" s="203">
        <f t="shared" si="317"/>
        <v>-24.899999999998681</v>
      </c>
      <c r="R2509" s="203" t="s">
        <v>55</v>
      </c>
      <c r="S2509" s="201">
        <f t="shared" si="318"/>
        <v>-1.2048192771084265E-2</v>
      </c>
    </row>
    <row r="2510" spans="1:19">
      <c r="A2510" s="196">
        <v>43609</v>
      </c>
      <c r="B2510" s="122">
        <v>15.75</v>
      </c>
      <c r="C2510" s="122">
        <v>16.010000000000002</v>
      </c>
      <c r="D2510" s="122">
        <v>15.14</v>
      </c>
      <c r="E2510" s="122">
        <v>15.77</v>
      </c>
      <c r="F2510" s="122">
        <v>15.77</v>
      </c>
      <c r="G2510" s="197">
        <v>945700</v>
      </c>
      <c r="H2510" s="198">
        <f>IF(AND(E2509&gt;=H2509,E2510&gt;=E2509),E2509*(1+'Trading Model'!$E$13),IF(AND(E2510&lt;E2509,E2509&gt;=H2509),E2510*(1+'Trading Model'!$E$13),H2509))</f>
        <v>39.921000000000006</v>
      </c>
      <c r="I2510" s="198">
        <f>IF(K2510&gt;0,E2510*(1-'Trading Model'!E2520),IF(E2510&lt;I2509,I2509*(1-'Trading Model'!$E$14),I2509))</f>
        <v>13.104811379566657</v>
      </c>
      <c r="J2510" s="198">
        <f t="shared" si="319"/>
        <v>0</v>
      </c>
      <c r="K2510" s="198">
        <f t="shared" si="314"/>
        <v>0</v>
      </c>
      <c r="L2510" s="198">
        <f>COUNTIF(J2510:K2510,"&lt;&gt;0")*-'Trading Model'!$E$15</f>
        <v>0</v>
      </c>
      <c r="M2510" s="198">
        <f t="shared" si="312"/>
        <v>0</v>
      </c>
      <c r="N2510" s="75">
        <f t="shared" si="315"/>
        <v>74</v>
      </c>
      <c r="O2510" s="202">
        <f t="shared" si="316"/>
        <v>0</v>
      </c>
      <c r="P2510" s="199">
        <f t="shared" si="313"/>
        <v>0</v>
      </c>
      <c r="Q2510" s="203">
        <f t="shared" si="317"/>
        <v>-24.899999999998681</v>
      </c>
      <c r="R2510" s="203" t="s">
        <v>55</v>
      </c>
      <c r="S2510" s="201">
        <f t="shared" si="318"/>
        <v>1.2195121951219523E-2</v>
      </c>
    </row>
    <row r="2511" spans="1:19">
      <c r="A2511" s="196">
        <v>43613</v>
      </c>
      <c r="B2511" s="122">
        <v>15.87</v>
      </c>
      <c r="C2511" s="122">
        <v>16.809999000000001</v>
      </c>
      <c r="D2511" s="122">
        <v>15.11</v>
      </c>
      <c r="E2511" s="122">
        <v>15.58</v>
      </c>
      <c r="F2511" s="122">
        <v>15.58</v>
      </c>
      <c r="G2511" s="197">
        <v>10814100</v>
      </c>
      <c r="H2511" s="198">
        <f>IF(AND(E2510&gt;=H2510,E2511&gt;=E2510),E2510*(1+'Trading Model'!$E$13),IF(AND(E2511&lt;E2510,E2510&gt;=H2510),E2511*(1+'Trading Model'!$E$13),H2510))</f>
        <v>39.921000000000006</v>
      </c>
      <c r="I2511" s="198">
        <f>IF(K2511&gt;0,E2511*(1-'Trading Model'!E2521),IF(E2511&lt;I2510,I2510*(1-'Trading Model'!$E$14),I2510))</f>
        <v>13.104811379566657</v>
      </c>
      <c r="J2511" s="198">
        <f t="shared" si="319"/>
        <v>0</v>
      </c>
      <c r="K2511" s="198">
        <f t="shared" si="314"/>
        <v>0</v>
      </c>
      <c r="L2511" s="198">
        <f>COUNTIF(J2511:K2511,"&lt;&gt;0")*-'Trading Model'!$E$15</f>
        <v>0</v>
      </c>
      <c r="M2511" s="198">
        <f t="shared" si="312"/>
        <v>0</v>
      </c>
      <c r="N2511" s="75">
        <f t="shared" si="315"/>
        <v>74</v>
      </c>
      <c r="O2511" s="202">
        <f t="shared" si="316"/>
        <v>0</v>
      </c>
      <c r="P2511" s="199">
        <f t="shared" si="313"/>
        <v>0</v>
      </c>
      <c r="Q2511" s="203">
        <f t="shared" si="317"/>
        <v>-24.999999999998682</v>
      </c>
      <c r="R2511" s="203" t="s">
        <v>55</v>
      </c>
      <c r="S2511" s="201">
        <f t="shared" si="318"/>
        <v>-1.2048192771084265E-2</v>
      </c>
    </row>
    <row r="2512" spans="1:19">
      <c r="A2512" s="196">
        <v>43614</v>
      </c>
      <c r="B2512" s="122">
        <v>15.57</v>
      </c>
      <c r="C2512" s="122">
        <v>15.6</v>
      </c>
      <c r="D2512" s="122">
        <v>14.59</v>
      </c>
      <c r="E2512" s="122">
        <v>14.81</v>
      </c>
      <c r="F2512" s="122">
        <v>14.81</v>
      </c>
      <c r="G2512" s="197">
        <v>981600</v>
      </c>
      <c r="H2512" s="198">
        <f>IF(AND(E2511&gt;=H2511,E2512&gt;=E2511),E2511*(1+'Trading Model'!$E$13),IF(AND(E2512&lt;E2511,E2511&gt;=H2511),E2512*(1+'Trading Model'!$E$13),H2511))</f>
        <v>39.921000000000006</v>
      </c>
      <c r="I2512" s="198">
        <f>IF(K2512&gt;0,E2512*(1-'Trading Model'!E2522),IF(E2512&lt;I2511,I2511*(1-'Trading Model'!$E$14),I2511))</f>
        <v>13.104811379566657</v>
      </c>
      <c r="J2512" s="198">
        <f t="shared" si="319"/>
        <v>0</v>
      </c>
      <c r="K2512" s="198">
        <f t="shared" si="314"/>
        <v>0</v>
      </c>
      <c r="L2512" s="198">
        <f>COUNTIF(J2512:K2512,"&lt;&gt;0")*-'Trading Model'!$E$15</f>
        <v>0</v>
      </c>
      <c r="M2512" s="198">
        <f t="shared" si="312"/>
        <v>0</v>
      </c>
      <c r="N2512" s="75">
        <f t="shared" si="315"/>
        <v>74</v>
      </c>
      <c r="O2512" s="202">
        <f t="shared" si="316"/>
        <v>0</v>
      </c>
      <c r="P2512" s="199">
        <f t="shared" si="313"/>
        <v>0</v>
      </c>
      <c r="Q2512" s="203">
        <f t="shared" si="317"/>
        <v>-25.099999999998683</v>
      </c>
      <c r="R2512" s="201">
        <f>E2512/B2508-1</f>
        <v>-4.5132172791747194E-2</v>
      </c>
      <c r="S2512" s="201">
        <f t="shared" si="318"/>
        <v>-4.9422336328626471E-2</v>
      </c>
    </row>
    <row r="2513" spans="1:19">
      <c r="A2513" s="196">
        <v>43615</v>
      </c>
      <c r="B2513" s="122">
        <v>14.71</v>
      </c>
      <c r="C2513" s="122">
        <v>14.95</v>
      </c>
      <c r="D2513" s="122">
        <v>14.38</v>
      </c>
      <c r="E2513" s="122">
        <v>14.6</v>
      </c>
      <c r="F2513" s="122">
        <v>14.6</v>
      </c>
      <c r="G2513" s="197">
        <v>649300</v>
      </c>
      <c r="H2513" s="198">
        <f>IF(AND(E2512&gt;=H2512,E2513&gt;=E2512),E2512*(1+'Trading Model'!$E$13),IF(AND(E2513&lt;E2512,E2512&gt;=H2512),E2513*(1+'Trading Model'!$E$13),H2512))</f>
        <v>39.921000000000006</v>
      </c>
      <c r="I2513" s="198">
        <f>IF(K2513&gt;0,E2513*(1-'Trading Model'!E2523),IF(E2513&lt;I2512,I2512*(1-'Trading Model'!$E$14),I2512))</f>
        <v>13.104811379566657</v>
      </c>
      <c r="J2513" s="198">
        <f t="shared" si="319"/>
        <v>0</v>
      </c>
      <c r="K2513" s="198">
        <f t="shared" si="314"/>
        <v>0</v>
      </c>
      <c r="L2513" s="198">
        <f>COUNTIF(J2513:K2513,"&lt;&gt;0")*-'Trading Model'!$E$15</f>
        <v>0</v>
      </c>
      <c r="M2513" s="198">
        <f t="shared" si="312"/>
        <v>0</v>
      </c>
      <c r="N2513" s="75">
        <f t="shared" si="315"/>
        <v>74</v>
      </c>
      <c r="O2513" s="202">
        <f t="shared" si="316"/>
        <v>0</v>
      </c>
      <c r="P2513" s="199">
        <f t="shared" si="313"/>
        <v>0</v>
      </c>
      <c r="Q2513" s="203">
        <f t="shared" si="317"/>
        <v>-25.199999999998685</v>
      </c>
      <c r="R2513" s="160" t="s">
        <v>55</v>
      </c>
      <c r="S2513" s="201">
        <f t="shared" si="318"/>
        <v>-1.4179608372721142E-2</v>
      </c>
    </row>
    <row r="2514" spans="1:19">
      <c r="A2514" s="196">
        <v>43616</v>
      </c>
      <c r="B2514" s="122">
        <v>14.48</v>
      </c>
      <c r="C2514" s="122">
        <v>15.35</v>
      </c>
      <c r="D2514" s="122">
        <v>14.43</v>
      </c>
      <c r="E2514" s="122">
        <v>14.83</v>
      </c>
      <c r="F2514" s="122">
        <v>14.83</v>
      </c>
      <c r="G2514" s="197">
        <v>455100</v>
      </c>
      <c r="H2514" s="198">
        <f>IF(AND(E2513&gt;=H2513,E2514&gt;=E2513),E2513*(1+'Trading Model'!$E$13),IF(AND(E2514&lt;E2513,E2513&gt;=H2513),E2514*(1+'Trading Model'!$E$13),H2513))</f>
        <v>39.921000000000006</v>
      </c>
      <c r="I2514" s="198">
        <f>IF(K2514&gt;0,E2514*(1-'Trading Model'!E2524),IF(E2514&lt;I2513,I2513*(1-'Trading Model'!$E$14),I2513))</f>
        <v>13.104811379566657</v>
      </c>
      <c r="J2514" s="198">
        <f t="shared" si="319"/>
        <v>0</v>
      </c>
      <c r="K2514" s="198">
        <f t="shared" si="314"/>
        <v>0</v>
      </c>
      <c r="L2514" s="198">
        <f>COUNTIF(J2514:K2514,"&lt;&gt;0")*-'Trading Model'!$E$15</f>
        <v>0</v>
      </c>
      <c r="M2514" s="198">
        <f t="shared" si="312"/>
        <v>0</v>
      </c>
      <c r="N2514" s="75">
        <f t="shared" si="315"/>
        <v>74</v>
      </c>
      <c r="O2514" s="202">
        <f t="shared" si="316"/>
        <v>0</v>
      </c>
      <c r="P2514" s="199">
        <f t="shared" si="313"/>
        <v>0</v>
      </c>
      <c r="Q2514" s="203">
        <f t="shared" si="317"/>
        <v>-25.199999999998685</v>
      </c>
      <c r="R2514" s="203" t="s">
        <v>55</v>
      </c>
      <c r="S2514" s="201">
        <f t="shared" si="318"/>
        <v>1.5753424657534376E-2</v>
      </c>
    </row>
    <row r="2515" spans="1:19">
      <c r="A2515" s="196">
        <v>43619</v>
      </c>
      <c r="B2515" s="122">
        <v>14.83</v>
      </c>
      <c r="C2515" s="122">
        <v>15.43</v>
      </c>
      <c r="D2515" s="122">
        <v>13.62</v>
      </c>
      <c r="E2515" s="122">
        <v>14.9</v>
      </c>
      <c r="F2515" s="122">
        <v>14.9</v>
      </c>
      <c r="G2515" s="197">
        <v>823600</v>
      </c>
      <c r="H2515" s="198">
        <f>IF(AND(E2514&gt;=H2514,E2515&gt;=E2514),E2514*(1+'Trading Model'!$E$13),IF(AND(E2515&lt;E2514,E2514&gt;=H2514),E2515*(1+'Trading Model'!$E$13),H2514))</f>
        <v>39.921000000000006</v>
      </c>
      <c r="I2515" s="198">
        <f>IF(K2515&gt;0,E2515*(1-'Trading Model'!E2525),IF(E2515&lt;I2514,I2514*(1-'Trading Model'!$E$14),I2514))</f>
        <v>13.104811379566657</v>
      </c>
      <c r="J2515" s="198">
        <f t="shared" si="319"/>
        <v>0</v>
      </c>
      <c r="K2515" s="198">
        <f t="shared" si="314"/>
        <v>0</v>
      </c>
      <c r="L2515" s="198">
        <f>COUNTIF(J2515:K2515,"&lt;&gt;0")*-'Trading Model'!$E$15</f>
        <v>0</v>
      </c>
      <c r="M2515" s="198">
        <f t="shared" si="312"/>
        <v>0</v>
      </c>
      <c r="N2515" s="75">
        <f t="shared" si="315"/>
        <v>74</v>
      </c>
      <c r="O2515" s="202">
        <f t="shared" si="316"/>
        <v>0</v>
      </c>
      <c r="P2515" s="199">
        <f t="shared" si="313"/>
        <v>0</v>
      </c>
      <c r="Q2515" s="203">
        <f t="shared" si="317"/>
        <v>-25.199999999998685</v>
      </c>
      <c r="R2515" s="203" t="s">
        <v>55</v>
      </c>
      <c r="S2515" s="201">
        <f t="shared" si="318"/>
        <v>4.7201618341199403E-3</v>
      </c>
    </row>
    <row r="2516" spans="1:19">
      <c r="A2516" s="196">
        <v>43620</v>
      </c>
      <c r="B2516" s="122">
        <v>14.98</v>
      </c>
      <c r="C2516" s="122">
        <v>15.08</v>
      </c>
      <c r="D2516" s="122">
        <v>14.58</v>
      </c>
      <c r="E2516" s="122">
        <v>14.98</v>
      </c>
      <c r="F2516" s="122">
        <v>14.98</v>
      </c>
      <c r="G2516" s="197">
        <v>278200</v>
      </c>
      <c r="H2516" s="198">
        <f>IF(AND(E2515&gt;=H2515,E2516&gt;=E2515),E2515*(1+'Trading Model'!$E$13),IF(AND(E2516&lt;E2515,E2515&gt;=H2515),E2516*(1+'Trading Model'!$E$13),H2515))</f>
        <v>39.921000000000006</v>
      </c>
      <c r="I2516" s="198">
        <f>IF(K2516&gt;0,E2516*(1-'Trading Model'!E2526),IF(E2516&lt;I2515,I2515*(1-'Trading Model'!$E$14),I2515))</f>
        <v>13.104811379566657</v>
      </c>
      <c r="J2516" s="198">
        <f t="shared" si="319"/>
        <v>0</v>
      </c>
      <c r="K2516" s="198">
        <f t="shared" si="314"/>
        <v>0</v>
      </c>
      <c r="L2516" s="198">
        <f>COUNTIF(J2516:K2516,"&lt;&gt;0")*-'Trading Model'!$E$15</f>
        <v>0</v>
      </c>
      <c r="M2516" s="198">
        <f t="shared" si="312"/>
        <v>0</v>
      </c>
      <c r="N2516" s="75">
        <f t="shared" si="315"/>
        <v>74</v>
      </c>
      <c r="O2516" s="202">
        <f t="shared" si="316"/>
        <v>0</v>
      </c>
      <c r="P2516" s="199">
        <f t="shared" si="313"/>
        <v>0</v>
      </c>
      <c r="Q2516" s="203">
        <f t="shared" si="317"/>
        <v>-25.199999999998685</v>
      </c>
      <c r="R2516" s="203" t="s">
        <v>55</v>
      </c>
      <c r="S2516" s="201">
        <f t="shared" si="318"/>
        <v>5.3691275167784269E-3</v>
      </c>
    </row>
    <row r="2517" spans="1:19">
      <c r="A2517" s="196">
        <v>43621</v>
      </c>
      <c r="B2517" s="122">
        <v>14.83</v>
      </c>
      <c r="C2517" s="122">
        <v>15.54</v>
      </c>
      <c r="D2517" s="122">
        <v>14.74</v>
      </c>
      <c r="E2517" s="122">
        <v>15.52</v>
      </c>
      <c r="F2517" s="122">
        <v>15.52</v>
      </c>
      <c r="G2517" s="197">
        <v>339600</v>
      </c>
      <c r="H2517" s="198">
        <f>IF(AND(E2516&gt;=H2516,E2517&gt;=E2516),E2516*(1+'Trading Model'!$E$13),IF(AND(E2517&lt;E2516,E2516&gt;=H2516),E2517*(1+'Trading Model'!$E$13),H2516))</f>
        <v>39.921000000000006</v>
      </c>
      <c r="I2517" s="198">
        <f>IF(K2517&gt;0,E2517*(1-'Trading Model'!E2527),IF(E2517&lt;I2516,I2516*(1-'Trading Model'!$E$14),I2516))</f>
        <v>13.104811379566657</v>
      </c>
      <c r="J2517" s="198">
        <f t="shared" si="319"/>
        <v>0</v>
      </c>
      <c r="K2517" s="198">
        <f t="shared" si="314"/>
        <v>0</v>
      </c>
      <c r="L2517" s="198">
        <f>COUNTIF(J2517:K2517,"&lt;&gt;0")*-'Trading Model'!$E$15</f>
        <v>0</v>
      </c>
      <c r="M2517" s="198">
        <f t="shared" si="312"/>
        <v>0</v>
      </c>
      <c r="N2517" s="75">
        <f t="shared" si="315"/>
        <v>74</v>
      </c>
      <c r="O2517" s="202">
        <f t="shared" si="316"/>
        <v>0</v>
      </c>
      <c r="P2517" s="199">
        <f t="shared" si="313"/>
        <v>0</v>
      </c>
      <c r="Q2517" s="203">
        <f t="shared" si="317"/>
        <v>-25.199999999998685</v>
      </c>
      <c r="R2517" s="201">
        <f>E2517/B2513-1</f>
        <v>5.5064581917063204E-2</v>
      </c>
      <c r="S2517" s="201">
        <f t="shared" si="318"/>
        <v>3.6048064085447251E-2</v>
      </c>
    </row>
    <row r="2518" spans="1:19">
      <c r="A2518" s="196">
        <v>43622</v>
      </c>
      <c r="B2518" s="122">
        <v>15.6</v>
      </c>
      <c r="C2518" s="122">
        <v>15.67</v>
      </c>
      <c r="D2518" s="122">
        <v>15.18</v>
      </c>
      <c r="E2518" s="122">
        <v>15.45</v>
      </c>
      <c r="F2518" s="122">
        <v>15.45</v>
      </c>
      <c r="G2518" s="197">
        <v>279900</v>
      </c>
      <c r="H2518" s="198">
        <f>IF(AND(E2517&gt;=H2517,E2518&gt;=E2517),E2517*(1+'Trading Model'!$E$13),IF(AND(E2518&lt;E2517,E2517&gt;=H2517),E2518*(1+'Trading Model'!$E$13),H2517))</f>
        <v>39.921000000000006</v>
      </c>
      <c r="I2518" s="198">
        <f>IF(K2518&gt;0,E2518*(1-'Trading Model'!E2528),IF(E2518&lt;I2517,I2517*(1-'Trading Model'!$E$14),I2517))</f>
        <v>13.104811379566657</v>
      </c>
      <c r="J2518" s="198">
        <f t="shared" si="319"/>
        <v>0</v>
      </c>
      <c r="K2518" s="198">
        <f t="shared" si="314"/>
        <v>0</v>
      </c>
      <c r="L2518" s="198">
        <f>COUNTIF(J2518:K2518,"&lt;&gt;0")*-'Trading Model'!$E$15</f>
        <v>0</v>
      </c>
      <c r="M2518" s="198">
        <f t="shared" si="312"/>
        <v>0</v>
      </c>
      <c r="N2518" s="75">
        <f t="shared" si="315"/>
        <v>74</v>
      </c>
      <c r="O2518" s="202">
        <f t="shared" si="316"/>
        <v>0</v>
      </c>
      <c r="P2518" s="199">
        <f t="shared" si="313"/>
        <v>0</v>
      </c>
      <c r="Q2518" s="203">
        <f t="shared" si="317"/>
        <v>-25.299999999998686</v>
      </c>
      <c r="R2518" s="160" t="s">
        <v>55</v>
      </c>
      <c r="S2518" s="201">
        <f t="shared" si="318"/>
        <v>-4.5103092783504994E-3</v>
      </c>
    </row>
    <row r="2519" spans="1:19">
      <c r="A2519" s="196">
        <v>43623</v>
      </c>
      <c r="B2519" s="122">
        <v>15.46</v>
      </c>
      <c r="C2519" s="122">
        <v>15.64</v>
      </c>
      <c r="D2519" s="122">
        <v>15.24</v>
      </c>
      <c r="E2519" s="122">
        <v>15.34</v>
      </c>
      <c r="F2519" s="122">
        <v>15.34</v>
      </c>
      <c r="G2519" s="197">
        <v>193000</v>
      </c>
      <c r="H2519" s="198">
        <f>H2518</f>
        <v>39.921000000000006</v>
      </c>
      <c r="I2519" s="198">
        <f>I2518</f>
        <v>13.104811379566657</v>
      </c>
      <c r="J2519" s="198">
        <v>0</v>
      </c>
      <c r="K2519" s="198">
        <f>E2519*(COUNTIF(J3:J2518,"&lt;&gt;0")-COUNTIF(K3:K2518,"&lt;&gt;0"))</f>
        <v>1135.1600000000001</v>
      </c>
      <c r="L2519" s="198">
        <f>N2518*-'Trading Model'!$E$15</f>
        <v>-7.4</v>
      </c>
      <c r="M2519" s="198">
        <f t="shared" si="312"/>
        <v>1127.76</v>
      </c>
      <c r="N2519" s="153">
        <v>0</v>
      </c>
      <c r="O2519" s="202">
        <f>E2519</f>
        <v>15.34</v>
      </c>
      <c r="P2519" s="199">
        <f t="shared" si="313"/>
        <v>0</v>
      </c>
      <c r="Q2519" s="203">
        <f t="shared" si="317"/>
        <v>-25.399999999998688</v>
      </c>
      <c r="R2519" s="203" t="s">
        <v>55</v>
      </c>
      <c r="S2519" s="201">
        <f t="shared" si="318"/>
        <v>-7.11974110032354E-3</v>
      </c>
    </row>
    <row r="2520" spans="1:19">
      <c r="K2520" s="169"/>
    </row>
    <row r="1048576" spans="18:18">
      <c r="R1048576" s="201"/>
    </row>
  </sheetData>
  <pageMargins left="0.7" right="0.7" top="0.75" bottom="0.75" header="0.3" footer="0.3"/>
  <pageSetup orientation="landscape"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B944-AFCF-4148-AECB-3E23DB9FA8B2}">
  <sheetPr>
    <tabColor theme="1"/>
  </sheetPr>
  <dimension ref="A1:AN80"/>
  <sheetViews>
    <sheetView zoomScaleNormal="100" workbookViewId="0">
      <selection activeCell="C25" sqref="C25"/>
    </sheetView>
  </sheetViews>
  <sheetFormatPr baseColWidth="10" defaultColWidth="8.83203125" defaultRowHeight="13"/>
  <cols>
    <col min="1" max="1" width="51.5" customWidth="1"/>
    <col min="3" max="12" width="10.33203125" bestFit="1" customWidth="1"/>
    <col min="13" max="13" width="11.1640625" bestFit="1" customWidth="1"/>
    <col min="15" max="15" width="38.1640625" customWidth="1"/>
    <col min="28" max="28" width="57.5" bestFit="1" customWidth="1"/>
    <col min="29" max="29" width="8.5" customWidth="1"/>
  </cols>
  <sheetData>
    <row r="1" spans="1:40">
      <c r="A1" s="2" t="s">
        <v>63</v>
      </c>
      <c r="B1" s="2"/>
      <c r="C1" s="2"/>
      <c r="D1" s="2"/>
      <c r="E1" s="2"/>
      <c r="F1" s="2"/>
      <c r="G1" s="2"/>
      <c r="H1" s="2"/>
      <c r="I1" s="2"/>
      <c r="J1" s="2"/>
      <c r="K1" s="2"/>
      <c r="L1" s="2"/>
      <c r="M1" s="2"/>
      <c r="O1" s="2" t="s">
        <v>81</v>
      </c>
      <c r="P1" s="2"/>
      <c r="Q1" s="2"/>
      <c r="R1" s="2"/>
      <c r="S1" s="2"/>
      <c r="T1" s="2"/>
      <c r="U1" s="2"/>
      <c r="V1" s="2"/>
      <c r="W1" s="2"/>
      <c r="X1" s="2"/>
      <c r="Y1" s="2"/>
      <c r="Z1" s="2"/>
      <c r="AA1" s="68"/>
      <c r="AB1" s="2" t="s">
        <v>115</v>
      </c>
      <c r="AC1" s="2"/>
      <c r="AD1" s="2"/>
      <c r="AE1" s="2"/>
      <c r="AF1" s="2"/>
      <c r="AG1" s="2"/>
      <c r="AH1" s="2"/>
      <c r="AI1" s="2"/>
      <c r="AJ1" s="2"/>
      <c r="AK1" s="2"/>
      <c r="AL1" s="2"/>
      <c r="AM1" s="2"/>
      <c r="AN1" s="2"/>
    </row>
    <row r="2" spans="1:40">
      <c r="A2" s="67" t="s">
        <v>455</v>
      </c>
      <c r="B2" s="67"/>
      <c r="C2" s="67"/>
      <c r="D2" s="67"/>
      <c r="E2" s="67"/>
      <c r="F2" s="67"/>
      <c r="G2" s="67"/>
      <c r="H2" s="67"/>
      <c r="I2" s="67"/>
      <c r="J2" s="67"/>
      <c r="K2" s="67"/>
      <c r="L2" s="67"/>
      <c r="M2" s="67"/>
      <c r="O2" s="5" t="s">
        <v>455</v>
      </c>
      <c r="P2" s="5"/>
      <c r="Q2" s="5"/>
      <c r="R2" s="5"/>
      <c r="S2" s="5"/>
      <c r="T2" s="5"/>
      <c r="U2" s="6"/>
      <c r="V2" s="6"/>
      <c r="W2" s="6"/>
      <c r="X2" s="6"/>
      <c r="Y2" s="6"/>
      <c r="Z2" s="6"/>
      <c r="AA2" s="3"/>
      <c r="AB2" s="5" t="s">
        <v>455</v>
      </c>
      <c r="AC2" s="5"/>
      <c r="AD2" s="5"/>
      <c r="AE2" s="5"/>
      <c r="AF2" s="5"/>
      <c r="AG2" s="5"/>
      <c r="AH2" s="9"/>
      <c r="AI2" s="9"/>
      <c r="AJ2" s="9"/>
      <c r="AK2" s="9"/>
      <c r="AL2" s="9"/>
      <c r="AM2" s="9"/>
      <c r="AN2" s="10"/>
    </row>
    <row r="3" spans="1:40">
      <c r="A3" s="67"/>
      <c r="B3" s="67"/>
      <c r="C3" s="67" t="s">
        <v>396</v>
      </c>
      <c r="D3" s="67" t="s">
        <v>397</v>
      </c>
      <c r="E3" s="67" t="s">
        <v>398</v>
      </c>
      <c r="F3" s="67" t="s">
        <v>399</v>
      </c>
      <c r="G3" s="67" t="s">
        <v>400</v>
      </c>
      <c r="H3" s="67" t="s">
        <v>401</v>
      </c>
      <c r="I3" s="67" t="s">
        <v>402</v>
      </c>
      <c r="J3" s="67" t="s">
        <v>403</v>
      </c>
      <c r="K3" s="67" t="s">
        <v>404</v>
      </c>
      <c r="L3" s="67" t="s">
        <v>405</v>
      </c>
      <c r="M3" s="67" t="s">
        <v>9</v>
      </c>
      <c r="O3" s="1"/>
      <c r="P3" s="1"/>
      <c r="Q3" s="71" t="s">
        <v>396</v>
      </c>
      <c r="R3" s="71" t="s">
        <v>397</v>
      </c>
      <c r="S3" s="71" t="s">
        <v>398</v>
      </c>
      <c r="T3" s="71" t="s">
        <v>399</v>
      </c>
      <c r="U3" s="71" t="s">
        <v>400</v>
      </c>
      <c r="V3" s="71" t="s">
        <v>401</v>
      </c>
      <c r="W3" s="71" t="s">
        <v>402</v>
      </c>
      <c r="X3" s="71" t="s">
        <v>403</v>
      </c>
      <c r="Y3" s="71" t="s">
        <v>404</v>
      </c>
      <c r="Z3" s="71" t="s">
        <v>405</v>
      </c>
      <c r="AA3" s="3"/>
      <c r="AB3" s="1"/>
      <c r="AC3" s="1"/>
      <c r="AD3" s="71" t="s">
        <v>396</v>
      </c>
      <c r="AE3" s="71" t="s">
        <v>397</v>
      </c>
      <c r="AF3" s="71" t="s">
        <v>398</v>
      </c>
      <c r="AG3" s="71" t="s">
        <v>399</v>
      </c>
      <c r="AH3" s="71" t="s">
        <v>400</v>
      </c>
      <c r="AI3" s="71" t="s">
        <v>401</v>
      </c>
      <c r="AJ3" s="71" t="s">
        <v>402</v>
      </c>
      <c r="AK3" s="71" t="s">
        <v>403</v>
      </c>
      <c r="AL3" s="71" t="s">
        <v>404</v>
      </c>
      <c r="AM3" s="71" t="s">
        <v>405</v>
      </c>
      <c r="AN3" s="6" t="s">
        <v>9</v>
      </c>
    </row>
    <row r="4" spans="1:40">
      <c r="A4" s="67" t="s">
        <v>10</v>
      </c>
      <c r="B4" s="67"/>
      <c r="C4" s="67">
        <v>12226</v>
      </c>
      <c r="D4" s="67">
        <v>14659</v>
      </c>
      <c r="E4" s="67">
        <v>18553</v>
      </c>
      <c r="F4" s="67">
        <v>22196</v>
      </c>
      <c r="G4" s="67">
        <v>27350</v>
      </c>
      <c r="H4" s="67">
        <v>33388</v>
      </c>
      <c r="I4" s="67">
        <v>40540</v>
      </c>
      <c r="J4" s="67">
        <v>53323</v>
      </c>
      <c r="K4" s="67">
        <v>65319</v>
      </c>
      <c r="L4" s="67">
        <v>168046</v>
      </c>
      <c r="M4" s="67">
        <v>163649</v>
      </c>
      <c r="O4" s="67" t="s">
        <v>50</v>
      </c>
      <c r="P4" s="67"/>
      <c r="Q4" s="67"/>
      <c r="R4" s="67"/>
      <c r="S4" s="67"/>
      <c r="T4" s="67"/>
      <c r="U4" s="67"/>
      <c r="V4" s="67"/>
      <c r="W4" s="67"/>
      <c r="X4" s="67"/>
      <c r="Y4" s="67"/>
      <c r="Z4" s="67"/>
      <c r="AA4" s="3"/>
      <c r="AB4" s="67" t="s">
        <v>116</v>
      </c>
      <c r="AC4" s="67"/>
      <c r="AD4" s="67"/>
      <c r="AE4" s="67"/>
      <c r="AF4" s="67"/>
      <c r="AG4" s="67"/>
      <c r="AH4" s="67"/>
      <c r="AI4" s="67"/>
      <c r="AJ4" s="67"/>
      <c r="AK4" s="67"/>
      <c r="AL4" s="67"/>
      <c r="AM4" s="67"/>
      <c r="AN4" s="67"/>
    </row>
    <row r="5" spans="1:40">
      <c r="A5" s="67" t="s">
        <v>64</v>
      </c>
      <c r="B5" s="67"/>
      <c r="C5" s="67">
        <v>6099</v>
      </c>
      <c r="D5" s="67">
        <v>2584</v>
      </c>
      <c r="E5" s="67">
        <v>3160</v>
      </c>
      <c r="F5" s="67">
        <v>3750</v>
      </c>
      <c r="G5" s="67">
        <v>5648</v>
      </c>
      <c r="H5" s="67">
        <v>7153</v>
      </c>
      <c r="I5" s="67">
        <v>6765</v>
      </c>
      <c r="J5" s="67">
        <v>8741</v>
      </c>
      <c r="K5" s="67">
        <v>30024</v>
      </c>
      <c r="L5" s="67">
        <v>16261</v>
      </c>
      <c r="M5" s="67">
        <v>16016</v>
      </c>
      <c r="O5" s="67" t="s">
        <v>82</v>
      </c>
      <c r="P5" s="67"/>
      <c r="Q5" s="67"/>
      <c r="R5" s="67"/>
      <c r="S5" s="67"/>
      <c r="T5" s="67"/>
      <c r="U5" s="67"/>
      <c r="V5" s="67"/>
      <c r="W5" s="67"/>
      <c r="X5" s="67"/>
      <c r="Y5" s="67"/>
      <c r="Z5" s="67"/>
      <c r="AA5" s="3"/>
      <c r="AB5" s="67" t="s">
        <v>75</v>
      </c>
      <c r="AC5" s="67"/>
      <c r="AD5" s="67">
        <v>1405</v>
      </c>
      <c r="AE5" s="67">
        <v>1949</v>
      </c>
      <c r="AF5" s="67">
        <v>2542</v>
      </c>
      <c r="AG5" s="67">
        <v>2732</v>
      </c>
      <c r="AH5" s="67">
        <v>3254</v>
      </c>
      <c r="AI5" s="67">
        <v>3729</v>
      </c>
      <c r="AJ5" s="67">
        <v>3435</v>
      </c>
      <c r="AK5" s="67">
        <v>4005</v>
      </c>
      <c r="AL5" s="67">
        <v>7724</v>
      </c>
      <c r="AM5" s="67">
        <v>5536</v>
      </c>
      <c r="AN5" s="67">
        <v>-4586</v>
      </c>
    </row>
    <row r="6" spans="1:40">
      <c r="A6" s="67" t="s">
        <v>65</v>
      </c>
      <c r="B6" s="67"/>
      <c r="C6" s="67">
        <v>6127</v>
      </c>
      <c r="D6" s="67">
        <v>12075</v>
      </c>
      <c r="E6" s="67">
        <v>15393</v>
      </c>
      <c r="F6" s="67">
        <v>18446</v>
      </c>
      <c r="G6" s="67">
        <v>21702</v>
      </c>
      <c r="H6" s="67">
        <v>26235</v>
      </c>
      <c r="I6" s="67">
        <v>33775</v>
      </c>
      <c r="J6" s="67">
        <v>44582</v>
      </c>
      <c r="K6" s="67">
        <v>35295</v>
      </c>
      <c r="L6" s="67">
        <v>151785</v>
      </c>
      <c r="M6" s="67">
        <v>147633</v>
      </c>
      <c r="O6" s="67" t="s">
        <v>43</v>
      </c>
      <c r="P6" s="67"/>
      <c r="Q6" s="67"/>
      <c r="R6" s="67"/>
      <c r="S6" s="67"/>
      <c r="T6" s="67"/>
      <c r="U6" s="67"/>
      <c r="V6" s="67"/>
      <c r="W6" s="67"/>
      <c r="X6" s="67"/>
      <c r="Y6" s="67"/>
      <c r="Z6" s="67"/>
      <c r="AA6" s="3"/>
      <c r="AB6" s="67" t="s">
        <v>117</v>
      </c>
      <c r="AC6" s="67"/>
      <c r="AD6" s="67">
        <v>1138</v>
      </c>
      <c r="AE6" s="67">
        <v>1712</v>
      </c>
      <c r="AF6" s="67">
        <v>1556</v>
      </c>
      <c r="AG6" s="67">
        <v>2612</v>
      </c>
      <c r="AH6" s="67">
        <v>2873</v>
      </c>
      <c r="AI6" s="67">
        <v>3243</v>
      </c>
      <c r="AJ6" s="67">
        <v>4438</v>
      </c>
      <c r="AK6" s="67">
        <v>6198</v>
      </c>
      <c r="AL6" s="67">
        <v>6928</v>
      </c>
      <c r="AM6" s="67">
        <v>33021</v>
      </c>
      <c r="AN6" s="67">
        <v>34545</v>
      </c>
    </row>
    <row r="7" spans="1:40">
      <c r="A7" s="67" t="s">
        <v>66</v>
      </c>
      <c r="B7" s="67"/>
      <c r="C7" s="67"/>
      <c r="D7" s="67"/>
      <c r="E7" s="67"/>
      <c r="F7" s="67"/>
      <c r="G7" s="67"/>
      <c r="H7" s="67"/>
      <c r="I7" s="67"/>
      <c r="J7" s="67"/>
      <c r="K7" s="67"/>
      <c r="L7" s="67"/>
      <c r="M7" s="67"/>
      <c r="O7" s="67" t="s">
        <v>83</v>
      </c>
      <c r="P7" s="67"/>
      <c r="Q7" s="67">
        <v>62</v>
      </c>
      <c r="R7" s="67">
        <v>1385</v>
      </c>
      <c r="S7" s="67">
        <v>2818</v>
      </c>
      <c r="T7" s="67">
        <v>3160</v>
      </c>
      <c r="U7" s="67">
        <v>5229</v>
      </c>
      <c r="V7" s="67">
        <v>825</v>
      </c>
      <c r="W7" s="67">
        <v>870</v>
      </c>
      <c r="X7" s="67">
        <v>3945</v>
      </c>
      <c r="Y7" s="67">
        <v>2732</v>
      </c>
      <c r="Z7" s="67">
        <v>6891</v>
      </c>
      <c r="AA7" s="3"/>
      <c r="AB7" s="67" t="s">
        <v>459</v>
      </c>
      <c r="AC7" s="67"/>
      <c r="AD7" s="67"/>
      <c r="AE7" s="67"/>
      <c r="AF7" s="67">
        <v>602</v>
      </c>
      <c r="AG7" s="67"/>
      <c r="AH7" s="67"/>
      <c r="AI7" s="67"/>
      <c r="AJ7" s="67"/>
      <c r="AK7" s="67"/>
      <c r="AL7" s="67"/>
      <c r="AM7" s="67"/>
      <c r="AN7" s="67"/>
    </row>
    <row r="8" spans="1:40">
      <c r="A8" s="67" t="s">
        <v>67</v>
      </c>
      <c r="B8" s="67"/>
      <c r="C8" s="67">
        <v>3365</v>
      </c>
      <c r="D8" s="67">
        <v>5399</v>
      </c>
      <c r="E8" s="67">
        <v>7054</v>
      </c>
      <c r="F8" s="67">
        <v>9276</v>
      </c>
      <c r="G8" s="67">
        <v>10398</v>
      </c>
      <c r="H8" s="67">
        <v>13171</v>
      </c>
      <c r="I8" s="67">
        <v>16975</v>
      </c>
      <c r="J8" s="67">
        <v>22576</v>
      </c>
      <c r="K8" s="67">
        <v>4331</v>
      </c>
      <c r="L8" s="67">
        <v>69654</v>
      </c>
      <c r="M8" s="67">
        <v>69854</v>
      </c>
      <c r="O8" s="67" t="s">
        <v>422</v>
      </c>
      <c r="P8" s="67"/>
      <c r="Q8" s="67">
        <v>1227</v>
      </c>
      <c r="R8" s="67">
        <v>2</v>
      </c>
      <c r="S8" s="67"/>
      <c r="T8" s="67">
        <v>563</v>
      </c>
      <c r="U8" s="67">
        <v>123</v>
      </c>
      <c r="V8" s="67">
        <v>53</v>
      </c>
      <c r="W8" s="67">
        <v>1430</v>
      </c>
      <c r="X8" s="67">
        <v>1751</v>
      </c>
      <c r="Y8" s="67">
        <v>3525</v>
      </c>
      <c r="Z8" s="67">
        <v>1371</v>
      </c>
      <c r="AA8" s="3"/>
      <c r="AB8" s="67" t="s">
        <v>427</v>
      </c>
      <c r="AC8" s="67"/>
      <c r="AD8" s="67"/>
      <c r="AE8" s="67"/>
      <c r="AF8" s="67"/>
      <c r="AG8" s="67"/>
      <c r="AH8" s="67">
        <v>187</v>
      </c>
      <c r="AI8" s="67">
        <v>25</v>
      </c>
      <c r="AJ8" s="67">
        <v>230</v>
      </c>
      <c r="AK8" s="67">
        <v>383</v>
      </c>
      <c r="AL8" s="67">
        <v>1113</v>
      </c>
      <c r="AM8" s="67">
        <v>2090</v>
      </c>
      <c r="AN8" s="67">
        <v>2067</v>
      </c>
    </row>
    <row r="9" spans="1:40">
      <c r="A9" s="67" t="s">
        <v>456</v>
      </c>
      <c r="B9" s="67"/>
      <c r="C9" s="67"/>
      <c r="D9" s="67"/>
      <c r="E9" s="67"/>
      <c r="F9" s="67">
        <v>90</v>
      </c>
      <c r="G9" s="67"/>
      <c r="H9" s="67"/>
      <c r="I9" s="67"/>
      <c r="J9" s="67"/>
      <c r="K9" s="67"/>
      <c r="L9" s="67">
        <v>2273</v>
      </c>
      <c r="M9" s="67"/>
      <c r="O9" s="67" t="s">
        <v>84</v>
      </c>
      <c r="P9" s="67"/>
      <c r="Q9" s="67">
        <v>1289</v>
      </c>
      <c r="R9" s="67">
        <v>1387</v>
      </c>
      <c r="S9" s="67">
        <v>2818</v>
      </c>
      <c r="T9" s="67">
        <v>3723</v>
      </c>
      <c r="U9" s="67">
        <v>5352</v>
      </c>
      <c r="V9" s="67">
        <v>878</v>
      </c>
      <c r="W9" s="67">
        <v>2300</v>
      </c>
      <c r="X9" s="67">
        <v>5696</v>
      </c>
      <c r="Y9" s="67">
        <v>6257</v>
      </c>
      <c r="Z9" s="67">
        <v>8262</v>
      </c>
      <c r="AA9" s="3"/>
      <c r="AB9" s="67" t="s">
        <v>423</v>
      </c>
      <c r="AC9" s="67"/>
      <c r="AD9" s="67">
        <v>167</v>
      </c>
      <c r="AE9" s="67"/>
      <c r="AF9" s="67"/>
      <c r="AG9" s="67"/>
      <c r="AH9" s="67"/>
      <c r="AI9" s="67"/>
      <c r="AJ9" s="67"/>
      <c r="AK9" s="67"/>
      <c r="AL9" s="67">
        <v>3902</v>
      </c>
      <c r="AM9" s="67">
        <v>-8773</v>
      </c>
      <c r="AN9" s="67">
        <v>-7781</v>
      </c>
    </row>
    <row r="10" spans="1:40">
      <c r="A10" s="67" t="s">
        <v>293</v>
      </c>
      <c r="B10" s="67"/>
      <c r="C10" s="67"/>
      <c r="D10" s="67">
        <v>3288</v>
      </c>
      <c r="E10" s="67">
        <v>4212</v>
      </c>
      <c r="F10" s="67">
        <v>4968</v>
      </c>
      <c r="G10" s="67">
        <v>5845</v>
      </c>
      <c r="H10" s="67">
        <v>7048</v>
      </c>
      <c r="I10" s="67">
        <v>9058</v>
      </c>
      <c r="J10" s="67">
        <v>12738</v>
      </c>
      <c r="K10" s="67">
        <v>17423</v>
      </c>
      <c r="L10" s="67">
        <v>54447</v>
      </c>
      <c r="M10" s="67">
        <v>57224</v>
      </c>
      <c r="O10" s="67" t="s">
        <v>56</v>
      </c>
      <c r="P10" s="67"/>
      <c r="Q10" s="67">
        <v>1163</v>
      </c>
      <c r="R10" s="67">
        <v>1463</v>
      </c>
      <c r="S10" s="67">
        <v>1790</v>
      </c>
      <c r="T10" s="67">
        <v>2181</v>
      </c>
      <c r="U10" s="67">
        <v>2986</v>
      </c>
      <c r="V10" s="67">
        <v>4124</v>
      </c>
      <c r="W10" s="67">
        <v>5663</v>
      </c>
      <c r="X10" s="67">
        <v>7577</v>
      </c>
      <c r="Y10" s="67">
        <v>8636</v>
      </c>
      <c r="Z10" s="67">
        <v>20002</v>
      </c>
      <c r="AA10" s="3"/>
      <c r="AB10" s="67" t="s">
        <v>118</v>
      </c>
      <c r="AC10" s="67"/>
      <c r="AD10" s="67">
        <v>-205</v>
      </c>
      <c r="AE10" s="67">
        <v>-30</v>
      </c>
      <c r="AF10" s="67">
        <v>16</v>
      </c>
      <c r="AG10" s="67">
        <v>-730</v>
      </c>
      <c r="AH10" s="67">
        <v>-25</v>
      </c>
      <c r="AI10" s="67">
        <v>-1468</v>
      </c>
      <c r="AJ10" s="67">
        <v>-3182</v>
      </c>
      <c r="AK10" s="67">
        <v>-2839</v>
      </c>
      <c r="AL10" s="67">
        <v>-1271</v>
      </c>
      <c r="AM10" s="67">
        <v>-8188</v>
      </c>
      <c r="AN10" s="67">
        <v>-88</v>
      </c>
    </row>
    <row r="11" spans="1:40">
      <c r="A11" s="67" t="s">
        <v>68</v>
      </c>
      <c r="B11" s="67"/>
      <c r="C11" s="67">
        <v>3365</v>
      </c>
      <c r="D11" s="67">
        <v>8687</v>
      </c>
      <c r="E11" s="67">
        <v>11266</v>
      </c>
      <c r="F11" s="67">
        <v>14334</v>
      </c>
      <c r="G11" s="67">
        <v>16243</v>
      </c>
      <c r="H11" s="67">
        <v>20219</v>
      </c>
      <c r="I11" s="67">
        <v>26033</v>
      </c>
      <c r="J11" s="67">
        <v>35314</v>
      </c>
      <c r="K11" s="67">
        <v>21754</v>
      </c>
      <c r="L11" s="67">
        <v>126374</v>
      </c>
      <c r="M11" s="67">
        <v>127078</v>
      </c>
      <c r="O11" s="67" t="s">
        <v>85</v>
      </c>
      <c r="P11" s="67"/>
      <c r="Q11" s="67">
        <v>243</v>
      </c>
      <c r="R11" s="67">
        <v>452</v>
      </c>
      <c r="S11" s="67">
        <v>536</v>
      </c>
      <c r="T11" s="67">
        <v>633</v>
      </c>
      <c r="U11" s="67">
        <v>772</v>
      </c>
      <c r="V11" s="67">
        <v>721</v>
      </c>
      <c r="W11" s="67">
        <v>2193</v>
      </c>
      <c r="X11" s="67">
        <v>1278</v>
      </c>
      <c r="Y11" s="67">
        <v>1854</v>
      </c>
      <c r="Z11" s="67">
        <v>2737</v>
      </c>
      <c r="AA11" s="3"/>
      <c r="AB11" s="67" t="s">
        <v>119</v>
      </c>
      <c r="AC11" s="67"/>
      <c r="AD11" s="67">
        <v>-281</v>
      </c>
      <c r="AE11" s="67">
        <v>-476</v>
      </c>
      <c r="AF11" s="67">
        <v>-516</v>
      </c>
      <c r="AG11" s="67">
        <v>-654</v>
      </c>
      <c r="AH11" s="67">
        <v>-1065</v>
      </c>
      <c r="AI11" s="67">
        <v>-1646</v>
      </c>
      <c r="AJ11" s="67">
        <v>-2364</v>
      </c>
      <c r="AK11" s="67">
        <v>-2773</v>
      </c>
      <c r="AL11" s="67">
        <v>-2072</v>
      </c>
      <c r="AM11" s="67">
        <v>-4092</v>
      </c>
      <c r="AN11" s="67">
        <v>-321</v>
      </c>
    </row>
    <row r="12" spans="1:40">
      <c r="A12" s="67" t="s">
        <v>69</v>
      </c>
      <c r="B12" s="67"/>
      <c r="C12" s="67">
        <v>2762</v>
      </c>
      <c r="D12" s="67">
        <v>3388</v>
      </c>
      <c r="E12" s="67">
        <v>4127</v>
      </c>
      <c r="F12" s="67">
        <v>4112</v>
      </c>
      <c r="G12" s="67">
        <v>5459</v>
      </c>
      <c r="H12" s="67">
        <v>6016</v>
      </c>
      <c r="I12" s="67">
        <v>7742</v>
      </c>
      <c r="J12" s="67">
        <v>9268</v>
      </c>
      <c r="K12" s="67">
        <v>13541</v>
      </c>
      <c r="L12" s="67">
        <v>25411</v>
      </c>
      <c r="M12" s="67">
        <v>20555</v>
      </c>
      <c r="O12" s="67" t="s">
        <v>86</v>
      </c>
      <c r="P12" s="67"/>
      <c r="Q12" s="67"/>
      <c r="R12" s="67"/>
      <c r="S12" s="67"/>
      <c r="T12" s="67"/>
      <c r="U12" s="67">
        <v>352</v>
      </c>
      <c r="V12" s="67"/>
      <c r="W12" s="67">
        <v>403</v>
      </c>
      <c r="X12" s="67">
        <v>620</v>
      </c>
      <c r="Y12" s="67">
        <v>845</v>
      </c>
      <c r="Z12" s="67">
        <v>1564</v>
      </c>
      <c r="AA12" s="3"/>
      <c r="AB12" s="67" t="s">
        <v>120</v>
      </c>
      <c r="AC12" s="67"/>
      <c r="AD12" s="67">
        <v>-38</v>
      </c>
      <c r="AE12" s="67">
        <v>-236</v>
      </c>
      <c r="AF12" s="67">
        <v>-101</v>
      </c>
      <c r="AG12" s="67">
        <v>-108</v>
      </c>
      <c r="AH12" s="67">
        <v>-251</v>
      </c>
      <c r="AI12" s="67">
        <v>-50</v>
      </c>
      <c r="AJ12" s="67">
        <v>-1522</v>
      </c>
      <c r="AK12" s="67">
        <v>837</v>
      </c>
      <c r="AL12" s="67">
        <v>-618</v>
      </c>
      <c r="AM12" s="67">
        <v>-11</v>
      </c>
      <c r="AN12" s="67">
        <v>-203</v>
      </c>
    </row>
    <row r="13" spans="1:40">
      <c r="A13" s="67" t="s">
        <v>70</v>
      </c>
      <c r="B13" s="67"/>
      <c r="C13" s="67">
        <v>173</v>
      </c>
      <c r="D13" s="67">
        <v>184</v>
      </c>
      <c r="E13" s="67">
        <v>140</v>
      </c>
      <c r="F13" s="67">
        <v>341</v>
      </c>
      <c r="G13" s="67">
        <v>111</v>
      </c>
      <c r="H13" s="67">
        <v>1248</v>
      </c>
      <c r="I13" s="67">
        <v>757</v>
      </c>
      <c r="J13" s="67">
        <v>1895</v>
      </c>
      <c r="K13" s="67">
        <v>1344</v>
      </c>
      <c r="L13" s="67">
        <v>5146</v>
      </c>
      <c r="M13" s="67">
        <v>6036</v>
      </c>
      <c r="O13" s="67" t="s">
        <v>424</v>
      </c>
      <c r="P13" s="67"/>
      <c r="Q13" s="67">
        <v>248</v>
      </c>
      <c r="R13" s="67">
        <v>322</v>
      </c>
      <c r="S13" s="67">
        <v>306</v>
      </c>
      <c r="T13" s="67">
        <v>449</v>
      </c>
      <c r="U13" s="67">
        <v>289</v>
      </c>
      <c r="V13" s="67">
        <v>670</v>
      </c>
      <c r="W13" s="67">
        <v>933</v>
      </c>
      <c r="X13" s="67">
        <v>391</v>
      </c>
      <c r="Y13" s="67">
        <v>646</v>
      </c>
      <c r="Z13" s="67">
        <v>922</v>
      </c>
      <c r="AA13" s="3"/>
      <c r="AB13" s="67" t="s">
        <v>58</v>
      </c>
      <c r="AC13" s="67"/>
      <c r="AD13" s="67">
        <v>194</v>
      </c>
      <c r="AE13" s="67">
        <v>540</v>
      </c>
      <c r="AF13" s="67">
        <v>376</v>
      </c>
      <c r="AG13" s="67">
        <v>169</v>
      </c>
      <c r="AH13" s="67">
        <v>1411</v>
      </c>
      <c r="AI13" s="67">
        <v>-408</v>
      </c>
      <c r="AJ13" s="67">
        <v>1368</v>
      </c>
      <c r="AK13" s="67">
        <v>-1391</v>
      </c>
      <c r="AL13" s="67">
        <v>1067</v>
      </c>
      <c r="AM13" s="67">
        <v>885</v>
      </c>
      <c r="AN13" s="67">
        <v>-2983</v>
      </c>
    </row>
    <row r="14" spans="1:40">
      <c r="A14" s="67" t="s">
        <v>71</v>
      </c>
      <c r="B14" s="67"/>
      <c r="C14" s="67">
        <v>-372</v>
      </c>
      <c r="D14" s="67">
        <v>-179</v>
      </c>
      <c r="E14" s="67">
        <v>-50</v>
      </c>
      <c r="F14" s="67">
        <v>424</v>
      </c>
      <c r="G14" s="67">
        <v>-302</v>
      </c>
      <c r="H14" s="67">
        <v>928</v>
      </c>
      <c r="I14" s="67">
        <v>-1858</v>
      </c>
      <c r="J14" s="67">
        <v>-1774</v>
      </c>
      <c r="K14" s="67">
        <v>-571</v>
      </c>
      <c r="L14" s="67">
        <v>-17567</v>
      </c>
      <c r="M14" s="67">
        <v>-20951</v>
      </c>
      <c r="O14" s="67" t="s">
        <v>87</v>
      </c>
      <c r="P14" s="67"/>
      <c r="Q14" s="67">
        <v>2943</v>
      </c>
      <c r="R14" s="67">
        <v>3624</v>
      </c>
      <c r="S14" s="67">
        <v>5450</v>
      </c>
      <c r="T14" s="67">
        <v>6986</v>
      </c>
      <c r="U14" s="67">
        <v>9751</v>
      </c>
      <c r="V14" s="67">
        <v>6393</v>
      </c>
      <c r="W14" s="67">
        <v>11492</v>
      </c>
      <c r="X14" s="67">
        <v>15562</v>
      </c>
      <c r="Y14" s="67">
        <v>18238</v>
      </c>
      <c r="Z14" s="67">
        <v>33487</v>
      </c>
      <c r="AA14" s="3"/>
      <c r="AB14" s="67" t="s">
        <v>100</v>
      </c>
      <c r="AC14" s="67"/>
      <c r="AD14" s="67"/>
      <c r="AE14" s="67"/>
      <c r="AF14" s="67"/>
      <c r="AG14" s="67"/>
      <c r="AH14" s="67">
        <v>50</v>
      </c>
      <c r="AI14" s="67"/>
      <c r="AJ14" s="67"/>
      <c r="AK14" s="67"/>
      <c r="AL14" s="67">
        <v>513</v>
      </c>
      <c r="AM14" s="67"/>
      <c r="AN14" s="67"/>
    </row>
    <row r="15" spans="1:40">
      <c r="A15" s="67" t="s">
        <v>72</v>
      </c>
      <c r="B15" s="67"/>
      <c r="C15" s="67">
        <v>2217</v>
      </c>
      <c r="D15" s="67">
        <v>3025</v>
      </c>
      <c r="E15" s="67">
        <v>3937</v>
      </c>
      <c r="F15" s="67">
        <v>4195</v>
      </c>
      <c r="G15" s="67">
        <v>5046</v>
      </c>
      <c r="H15" s="67">
        <v>5696</v>
      </c>
      <c r="I15" s="67">
        <v>5127</v>
      </c>
      <c r="J15" s="67">
        <v>5599</v>
      </c>
      <c r="K15" s="67">
        <v>11626</v>
      </c>
      <c r="L15" s="67">
        <v>2698</v>
      </c>
      <c r="M15" s="67">
        <v>-6432</v>
      </c>
      <c r="O15" s="67" t="s">
        <v>88</v>
      </c>
      <c r="P15" s="67"/>
      <c r="Q15" s="67"/>
      <c r="R15" s="67"/>
      <c r="S15" s="67"/>
      <c r="T15" s="67"/>
      <c r="U15" s="67"/>
      <c r="V15" s="67"/>
      <c r="W15" s="67"/>
      <c r="X15" s="67"/>
      <c r="Y15" s="67"/>
      <c r="Z15" s="67"/>
      <c r="AA15" s="3"/>
      <c r="AB15" s="67" t="s">
        <v>407</v>
      </c>
      <c r="AC15" s="67"/>
      <c r="AD15" s="67">
        <v>-17</v>
      </c>
      <c r="AE15" s="67">
        <v>193</v>
      </c>
      <c r="AF15" s="67">
        <v>38</v>
      </c>
      <c r="AG15" s="67">
        <v>84</v>
      </c>
      <c r="AH15" s="67">
        <v>67</v>
      </c>
      <c r="AI15" s="67">
        <v>195</v>
      </c>
      <c r="AJ15" s="67">
        <v>483</v>
      </c>
      <c r="AK15" s="67">
        <v>13</v>
      </c>
      <c r="AL15" s="67">
        <v>982</v>
      </c>
      <c r="AM15" s="67">
        <v>-2030</v>
      </c>
      <c r="AN15" s="67">
        <v>-1370</v>
      </c>
    </row>
    <row r="16" spans="1:40">
      <c r="A16" s="67" t="s">
        <v>73</v>
      </c>
      <c r="B16" s="67"/>
      <c r="C16" s="67">
        <v>797</v>
      </c>
      <c r="D16" s="67">
        <v>1076</v>
      </c>
      <c r="E16" s="67">
        <v>1395</v>
      </c>
      <c r="F16" s="67">
        <v>1463</v>
      </c>
      <c r="G16" s="67">
        <v>1792</v>
      </c>
      <c r="H16" s="67">
        <v>1967</v>
      </c>
      <c r="I16" s="67">
        <v>1692</v>
      </c>
      <c r="J16" s="67">
        <v>1594</v>
      </c>
      <c r="K16" s="67">
        <v>3902</v>
      </c>
      <c r="L16" s="67">
        <v>-2838</v>
      </c>
      <c r="M16" s="67">
        <v>-1846</v>
      </c>
      <c r="O16" s="67" t="s">
        <v>89</v>
      </c>
      <c r="P16" s="67"/>
      <c r="Q16" s="67"/>
      <c r="R16" s="67"/>
      <c r="S16" s="67"/>
      <c r="T16" s="67"/>
      <c r="U16" s="67"/>
      <c r="V16" s="67"/>
      <c r="W16" s="67"/>
      <c r="X16" s="67"/>
      <c r="Y16" s="67"/>
      <c r="Z16" s="67"/>
      <c r="AA16" s="3"/>
      <c r="AB16" s="67" t="s">
        <v>121</v>
      </c>
      <c r="AC16" s="67"/>
      <c r="AD16" s="67">
        <v>-63</v>
      </c>
      <c r="AE16" s="67">
        <v>-51</v>
      </c>
      <c r="AF16" s="67">
        <v>219</v>
      </c>
      <c r="AG16" s="67">
        <v>-221</v>
      </c>
      <c r="AH16" s="67">
        <v>-237</v>
      </c>
      <c r="AI16" s="67">
        <v>441</v>
      </c>
      <c r="AJ16" s="67">
        <v>-1147</v>
      </c>
      <c r="AK16" s="67">
        <v>475</v>
      </c>
      <c r="AL16" s="67">
        <v>-1143</v>
      </c>
      <c r="AM16" s="67">
        <v>-2940</v>
      </c>
      <c r="AN16" s="67">
        <v>4789</v>
      </c>
    </row>
    <row r="17" spans="1:40">
      <c r="A17" s="67" t="s">
        <v>74</v>
      </c>
      <c r="B17" s="67"/>
      <c r="C17" s="67">
        <v>1420</v>
      </c>
      <c r="D17" s="67">
        <v>1949</v>
      </c>
      <c r="E17" s="67">
        <v>2542</v>
      </c>
      <c r="F17" s="67">
        <v>2732</v>
      </c>
      <c r="G17" s="67">
        <v>3254</v>
      </c>
      <c r="H17" s="67">
        <v>3729</v>
      </c>
      <c r="I17" s="67">
        <v>3435</v>
      </c>
      <c r="J17" s="67">
        <v>4005</v>
      </c>
      <c r="K17" s="67">
        <v>7724</v>
      </c>
      <c r="L17" s="67">
        <v>5536</v>
      </c>
      <c r="M17" s="67">
        <v>-4586</v>
      </c>
      <c r="O17" s="67" t="s">
        <v>90</v>
      </c>
      <c r="P17" s="67"/>
      <c r="Q17" s="67">
        <v>28140</v>
      </c>
      <c r="R17" s="67">
        <v>29508</v>
      </c>
      <c r="S17" s="67">
        <v>32019</v>
      </c>
      <c r="T17" s="67">
        <v>34834</v>
      </c>
      <c r="U17" s="67">
        <v>39442</v>
      </c>
      <c r="V17" s="67">
        <v>44886</v>
      </c>
      <c r="W17" s="67">
        <v>52749</v>
      </c>
      <c r="X17" s="67">
        <v>62718</v>
      </c>
      <c r="Y17" s="67">
        <v>73713</v>
      </c>
      <c r="Z17" s="67">
        <v>201245</v>
      </c>
      <c r="AA17" s="3"/>
      <c r="AB17" s="67" t="s">
        <v>122</v>
      </c>
      <c r="AC17" s="67"/>
      <c r="AD17" s="67">
        <v>783</v>
      </c>
      <c r="AE17" s="67">
        <v>613</v>
      </c>
      <c r="AF17" s="67">
        <v>680</v>
      </c>
      <c r="AG17" s="67">
        <v>415</v>
      </c>
      <c r="AH17" s="67">
        <v>850</v>
      </c>
      <c r="AI17" s="67">
        <v>192</v>
      </c>
      <c r="AJ17" s="67">
        <v>1891</v>
      </c>
      <c r="AK17" s="67">
        <v>3618</v>
      </c>
      <c r="AL17" s="67">
        <v>936</v>
      </c>
      <c r="AM17" s="67">
        <v>18740</v>
      </c>
      <c r="AN17" s="67">
        <v>19230</v>
      </c>
    </row>
    <row r="18" spans="1:40">
      <c r="A18" s="67" t="s">
        <v>421</v>
      </c>
      <c r="B18" s="67"/>
      <c r="C18" s="67">
        <v>-15</v>
      </c>
      <c r="D18" s="67">
        <v>-14</v>
      </c>
      <c r="E18" s="67">
        <v>-29</v>
      </c>
      <c r="F18" s="67">
        <v>-47</v>
      </c>
      <c r="G18" s="67">
        <v>-52</v>
      </c>
      <c r="H18" s="67">
        <v>-56</v>
      </c>
      <c r="I18" s="67">
        <v>-32</v>
      </c>
      <c r="J18" s="67">
        <v>-30</v>
      </c>
      <c r="K18" s="67">
        <v>-94</v>
      </c>
      <c r="L18" s="67">
        <v>-242</v>
      </c>
      <c r="M18" s="67">
        <v>-262</v>
      </c>
      <c r="O18" s="67" t="s">
        <v>91</v>
      </c>
      <c r="P18" s="67"/>
      <c r="Q18" s="67">
        <v>-21301</v>
      </c>
      <c r="R18" s="67">
        <v>-22143</v>
      </c>
      <c r="S18" s="67">
        <v>-23772</v>
      </c>
      <c r="T18" s="67">
        <v>-25799</v>
      </c>
      <c r="U18" s="67">
        <v>-28216</v>
      </c>
      <c r="V18" s="67">
        <v>-31077</v>
      </c>
      <c r="W18" s="67">
        <v>-34786</v>
      </c>
      <c r="X18" s="67">
        <v>-39553</v>
      </c>
      <c r="Y18" s="67">
        <v>-45175</v>
      </c>
      <c r="Z18" s="67">
        <v>-50769</v>
      </c>
      <c r="AA18" s="3"/>
      <c r="AB18" s="67" t="s">
        <v>123</v>
      </c>
      <c r="AC18" s="67"/>
      <c r="AD18" s="67">
        <v>3288</v>
      </c>
      <c r="AE18" s="67">
        <v>4244</v>
      </c>
      <c r="AF18" s="67">
        <v>5396</v>
      </c>
      <c r="AG18" s="67">
        <v>5029</v>
      </c>
      <c r="AH18" s="67">
        <v>7139</v>
      </c>
      <c r="AI18" s="67">
        <v>5721</v>
      </c>
      <c r="AJ18" s="67">
        <v>6812</v>
      </c>
      <c r="AK18" s="67">
        <v>11365</v>
      </c>
      <c r="AL18" s="67">
        <v>19332</v>
      </c>
      <c r="AM18" s="67">
        <v>42426</v>
      </c>
      <c r="AN18" s="67">
        <v>43387</v>
      </c>
    </row>
    <row r="19" spans="1:40">
      <c r="A19" s="67" t="s">
        <v>75</v>
      </c>
      <c r="B19" s="67"/>
      <c r="C19" s="67">
        <v>1405</v>
      </c>
      <c r="D19" s="67">
        <v>1935</v>
      </c>
      <c r="E19" s="67">
        <v>2513</v>
      </c>
      <c r="F19" s="67">
        <v>2685</v>
      </c>
      <c r="G19" s="67">
        <v>3202</v>
      </c>
      <c r="H19" s="67">
        <v>3673</v>
      </c>
      <c r="I19" s="67">
        <v>3403</v>
      </c>
      <c r="J19" s="67">
        <v>3975</v>
      </c>
      <c r="K19" s="67">
        <v>7630</v>
      </c>
      <c r="L19" s="67">
        <v>5294</v>
      </c>
      <c r="M19" s="67">
        <v>-4848</v>
      </c>
      <c r="O19" s="67" t="s">
        <v>92</v>
      </c>
      <c r="P19" s="67"/>
      <c r="Q19" s="67">
        <v>6839</v>
      </c>
      <c r="R19" s="67">
        <v>7365</v>
      </c>
      <c r="S19" s="67">
        <v>8247</v>
      </c>
      <c r="T19" s="67">
        <v>9035</v>
      </c>
      <c r="U19" s="67">
        <v>11226</v>
      </c>
      <c r="V19" s="67">
        <v>13809</v>
      </c>
      <c r="W19" s="67">
        <v>17963</v>
      </c>
      <c r="X19" s="67">
        <v>23165</v>
      </c>
      <c r="Y19" s="67">
        <v>28538</v>
      </c>
      <c r="Z19" s="67">
        <v>150476</v>
      </c>
      <c r="AA19" s="3"/>
      <c r="AB19" s="67" t="s">
        <v>124</v>
      </c>
      <c r="AC19" s="67"/>
      <c r="AD19" s="67"/>
      <c r="AE19" s="67"/>
      <c r="AF19" s="67"/>
      <c r="AG19" s="67"/>
      <c r="AH19" s="67"/>
      <c r="AI19" s="67"/>
      <c r="AJ19" s="67"/>
      <c r="AK19" s="67"/>
      <c r="AL19" s="67"/>
      <c r="AM19" s="67"/>
      <c r="AN19" s="67"/>
    </row>
    <row r="20" spans="1:40">
      <c r="A20" s="67" t="s">
        <v>76</v>
      </c>
      <c r="B20" s="67"/>
      <c r="C20" s="67">
        <v>1405</v>
      </c>
      <c r="D20" s="67">
        <v>1935</v>
      </c>
      <c r="E20" s="67">
        <v>2513</v>
      </c>
      <c r="F20" s="67">
        <v>2685</v>
      </c>
      <c r="G20" s="67">
        <v>3202</v>
      </c>
      <c r="H20" s="67">
        <v>3673</v>
      </c>
      <c r="I20" s="67">
        <v>3403</v>
      </c>
      <c r="J20" s="67">
        <v>3975</v>
      </c>
      <c r="K20" s="67">
        <v>7630</v>
      </c>
      <c r="L20" s="67">
        <v>5294</v>
      </c>
      <c r="M20" s="67">
        <v>-4848</v>
      </c>
      <c r="O20" s="67" t="s">
        <v>57</v>
      </c>
      <c r="P20" s="67"/>
      <c r="Q20" s="67">
        <v>1</v>
      </c>
      <c r="R20" s="67">
        <v>1</v>
      </c>
      <c r="S20" s="67">
        <v>1</v>
      </c>
      <c r="T20" s="67">
        <v>70</v>
      </c>
      <c r="U20" s="67">
        <v>243</v>
      </c>
      <c r="V20" s="67">
        <v>301</v>
      </c>
      <c r="W20" s="67">
        <v>333</v>
      </c>
      <c r="X20" s="67">
        <v>347</v>
      </c>
      <c r="Y20" s="67">
        <v>2657</v>
      </c>
      <c r="Z20" s="67">
        <v>5595</v>
      </c>
      <c r="AA20" s="3"/>
      <c r="AB20" s="67" t="s">
        <v>125</v>
      </c>
      <c r="AC20" s="67"/>
      <c r="AD20" s="67">
        <v>-1474</v>
      </c>
      <c r="AE20" s="67">
        <v>-1758</v>
      </c>
      <c r="AF20" s="67">
        <v>-2179</v>
      </c>
      <c r="AG20" s="67">
        <v>-2465</v>
      </c>
      <c r="AH20" s="67">
        <v>-3352</v>
      </c>
      <c r="AI20" s="67">
        <v>-4895</v>
      </c>
      <c r="AJ20" s="67">
        <v>-5148</v>
      </c>
      <c r="AK20" s="67">
        <v>-9541</v>
      </c>
      <c r="AL20" s="67">
        <v>-10727</v>
      </c>
      <c r="AM20" s="67">
        <v>-39574</v>
      </c>
      <c r="AN20" s="67">
        <v>-39096</v>
      </c>
    </row>
    <row r="21" spans="1:40">
      <c r="A21" s="67" t="s">
        <v>77</v>
      </c>
      <c r="B21" s="67"/>
      <c r="C21" s="67"/>
      <c r="D21" s="67"/>
      <c r="E21" s="67"/>
      <c r="F21" s="67"/>
      <c r="G21" s="67"/>
      <c r="H21" s="67"/>
      <c r="I21" s="67"/>
      <c r="J21" s="67"/>
      <c r="K21" s="67"/>
      <c r="L21" s="67"/>
      <c r="M21" s="67"/>
      <c r="O21" s="67" t="s">
        <v>294</v>
      </c>
      <c r="P21" s="67"/>
      <c r="Q21" s="67"/>
      <c r="R21" s="67"/>
      <c r="S21" s="67"/>
      <c r="T21" s="67"/>
      <c r="U21" s="67"/>
      <c r="V21" s="67"/>
      <c r="W21" s="67"/>
      <c r="X21" s="67"/>
      <c r="Y21" s="67">
        <v>2</v>
      </c>
      <c r="Z21" s="67">
        <v>120449</v>
      </c>
      <c r="AA21" s="8"/>
      <c r="AB21" s="67" t="s">
        <v>460</v>
      </c>
      <c r="AC21" s="67"/>
      <c r="AD21" s="67">
        <v>15</v>
      </c>
      <c r="AE21" s="67">
        <v>10</v>
      </c>
      <c r="AF21" s="67">
        <v>39</v>
      </c>
      <c r="AG21" s="67">
        <v>13</v>
      </c>
      <c r="AH21" s="67">
        <v>21</v>
      </c>
      <c r="AI21" s="67">
        <v>17</v>
      </c>
      <c r="AJ21" s="67">
        <v>39</v>
      </c>
      <c r="AK21" s="67">
        <v>19</v>
      </c>
      <c r="AL21" s="67">
        <v>27</v>
      </c>
      <c r="AM21" s="67">
        <v>6</v>
      </c>
      <c r="AN21" s="67">
        <v>1</v>
      </c>
    </row>
    <row r="22" spans="1:40">
      <c r="A22" s="67" t="s">
        <v>78</v>
      </c>
      <c r="B22" s="67"/>
      <c r="C22" s="67">
        <v>7.15</v>
      </c>
      <c r="D22" s="67">
        <v>9.85</v>
      </c>
      <c r="E22" s="67">
        <v>12.75</v>
      </c>
      <c r="F22" s="67">
        <v>13.65</v>
      </c>
      <c r="G22" s="67">
        <v>16.350000000000001</v>
      </c>
      <c r="H22" s="67">
        <v>18.95</v>
      </c>
      <c r="I22" s="67">
        <v>17.55</v>
      </c>
      <c r="J22" s="67">
        <v>20.5</v>
      </c>
      <c r="K22" s="67">
        <v>39.35</v>
      </c>
      <c r="L22" s="67">
        <v>12.3</v>
      </c>
      <c r="M22" s="67">
        <v>-11.25</v>
      </c>
      <c r="O22" s="67" t="s">
        <v>295</v>
      </c>
      <c r="P22" s="67"/>
      <c r="Q22" s="67">
        <v>773</v>
      </c>
      <c r="R22" s="67">
        <v>1233</v>
      </c>
      <c r="S22" s="67">
        <v>1488</v>
      </c>
      <c r="T22" s="67">
        <v>1514</v>
      </c>
      <c r="U22" s="67">
        <v>1519</v>
      </c>
      <c r="V22" s="67">
        <v>5331</v>
      </c>
      <c r="W22" s="67">
        <v>7659</v>
      </c>
      <c r="X22" s="67">
        <v>7592</v>
      </c>
      <c r="Y22" s="67">
        <v>7096</v>
      </c>
      <c r="Z22" s="67">
        <v>59870</v>
      </c>
      <c r="AA22" s="3"/>
      <c r="AB22" s="67" t="s">
        <v>319</v>
      </c>
      <c r="AC22" s="67"/>
      <c r="AD22" s="67"/>
      <c r="AE22" s="67"/>
      <c r="AF22" s="67"/>
      <c r="AG22" s="67"/>
      <c r="AH22" s="67"/>
      <c r="AI22" s="67"/>
      <c r="AJ22" s="67"/>
      <c r="AK22" s="67"/>
      <c r="AL22" s="67">
        <v>8</v>
      </c>
      <c r="AM22" s="67">
        <v>3936</v>
      </c>
      <c r="AN22" s="67">
        <v>-729</v>
      </c>
    </row>
    <row r="23" spans="1:40">
      <c r="A23" s="67" t="s">
        <v>79</v>
      </c>
      <c r="B23" s="67"/>
      <c r="C23" s="67">
        <v>7.15</v>
      </c>
      <c r="D23" s="67">
        <v>9.85</v>
      </c>
      <c r="E23" s="67">
        <v>12.75</v>
      </c>
      <c r="F23" s="67">
        <v>13.65</v>
      </c>
      <c r="G23" s="67">
        <v>16.350000000000001</v>
      </c>
      <c r="H23" s="67">
        <v>18.95</v>
      </c>
      <c r="I23" s="67">
        <v>17.55</v>
      </c>
      <c r="J23" s="67">
        <v>20.5</v>
      </c>
      <c r="K23" s="67">
        <v>39.35</v>
      </c>
      <c r="L23" s="67">
        <v>12.3</v>
      </c>
      <c r="M23" s="67">
        <v>-11.25</v>
      </c>
      <c r="O23" s="67" t="s">
        <v>423</v>
      </c>
      <c r="P23" s="67"/>
      <c r="Q23" s="67"/>
      <c r="R23" s="67"/>
      <c r="S23" s="67"/>
      <c r="T23" s="67">
        <v>62</v>
      </c>
      <c r="U23" s="67">
        <v>128</v>
      </c>
      <c r="V23" s="67">
        <v>140</v>
      </c>
      <c r="W23" s="67"/>
      <c r="X23" s="67"/>
      <c r="Y23" s="67"/>
      <c r="Z23" s="67">
        <v>78</v>
      </c>
      <c r="AA23" s="3"/>
      <c r="AB23" s="67" t="s">
        <v>126</v>
      </c>
      <c r="AC23" s="67"/>
      <c r="AD23" s="67"/>
      <c r="AE23" s="67"/>
      <c r="AF23" s="67"/>
      <c r="AG23" s="67"/>
      <c r="AH23" s="67"/>
      <c r="AI23" s="67"/>
      <c r="AJ23" s="67"/>
      <c r="AK23" s="67"/>
      <c r="AL23" s="67">
        <v>-2627</v>
      </c>
      <c r="AM23" s="67"/>
      <c r="AN23" s="67"/>
    </row>
    <row r="24" spans="1:40">
      <c r="A24" s="67" t="s">
        <v>80</v>
      </c>
      <c r="B24" s="67"/>
      <c r="C24" s="67"/>
      <c r="D24" s="67"/>
      <c r="E24" s="67"/>
      <c r="F24" s="67"/>
      <c r="G24" s="67"/>
      <c r="H24" s="67"/>
      <c r="I24" s="67"/>
      <c r="J24" s="67"/>
      <c r="K24" s="67"/>
      <c r="L24" s="67"/>
      <c r="M24" s="67"/>
      <c r="O24" s="67" t="s">
        <v>93</v>
      </c>
      <c r="P24" s="67"/>
      <c r="Q24" s="67">
        <v>77</v>
      </c>
      <c r="R24" s="67">
        <v>100</v>
      </c>
      <c r="S24" s="67">
        <v>133</v>
      </c>
      <c r="T24" s="67">
        <v>142</v>
      </c>
      <c r="U24" s="67">
        <v>263</v>
      </c>
      <c r="V24" s="67">
        <v>343</v>
      </c>
      <c r="W24" s="67">
        <v>1018</v>
      </c>
      <c r="X24" s="67">
        <v>1248</v>
      </c>
      <c r="Y24" s="67">
        <v>1057</v>
      </c>
      <c r="Z24" s="67">
        <v>1783</v>
      </c>
      <c r="AA24" s="3"/>
      <c r="AB24" s="67" t="s">
        <v>127</v>
      </c>
      <c r="AC24" s="67"/>
      <c r="AD24" s="67">
        <v>245</v>
      </c>
      <c r="AE24" s="67"/>
      <c r="AF24" s="67"/>
      <c r="AG24" s="67"/>
      <c r="AH24" s="67"/>
      <c r="AI24" s="67"/>
      <c r="AJ24" s="67"/>
      <c r="AK24" s="67"/>
      <c r="AL24" s="67"/>
      <c r="AM24" s="67">
        <v>7197</v>
      </c>
      <c r="AN24" s="67">
        <v>6678</v>
      </c>
    </row>
    <row r="25" spans="1:40" s="62" customFormat="1">
      <c r="A25" s="67" t="s">
        <v>78</v>
      </c>
      <c r="B25" s="67"/>
      <c r="C25" s="67">
        <v>197</v>
      </c>
      <c r="D25" s="67">
        <v>197</v>
      </c>
      <c r="E25" s="67">
        <v>197</v>
      </c>
      <c r="F25" s="67">
        <v>197</v>
      </c>
      <c r="G25" s="67">
        <v>196</v>
      </c>
      <c r="H25" s="67">
        <v>194</v>
      </c>
      <c r="I25" s="67">
        <v>194</v>
      </c>
      <c r="J25" s="67">
        <v>194</v>
      </c>
      <c r="K25" s="67">
        <v>194</v>
      </c>
      <c r="L25" s="67">
        <v>431</v>
      </c>
      <c r="M25" s="67">
        <v>431</v>
      </c>
      <c r="O25" s="67" t="s">
        <v>94</v>
      </c>
      <c r="P25" s="67"/>
      <c r="Q25" s="67">
        <v>7690</v>
      </c>
      <c r="R25" s="67">
        <v>8699</v>
      </c>
      <c r="S25" s="67">
        <v>9869</v>
      </c>
      <c r="T25" s="67">
        <v>10823</v>
      </c>
      <c r="U25" s="67">
        <v>13379</v>
      </c>
      <c r="V25" s="67">
        <v>19924</v>
      </c>
      <c r="W25" s="67">
        <v>26973</v>
      </c>
      <c r="X25" s="67">
        <v>32352</v>
      </c>
      <c r="Y25" s="67">
        <v>39350</v>
      </c>
      <c r="Z25" s="67">
        <v>338251</v>
      </c>
      <c r="AA25" s="3"/>
      <c r="AB25" s="67" t="s">
        <v>428</v>
      </c>
      <c r="AC25" s="67"/>
      <c r="AD25" s="67">
        <v>-17</v>
      </c>
      <c r="AE25" s="67">
        <v>-594</v>
      </c>
      <c r="AF25" s="67">
        <v>-900</v>
      </c>
      <c r="AG25" s="67">
        <v>-861</v>
      </c>
      <c r="AH25" s="67">
        <v>-846</v>
      </c>
      <c r="AI25" s="67">
        <v>-4209</v>
      </c>
      <c r="AJ25" s="67">
        <v>-3566</v>
      </c>
      <c r="AK25" s="67">
        <v>-1798</v>
      </c>
      <c r="AL25" s="67">
        <v>-971</v>
      </c>
      <c r="AM25" s="67">
        <v>-2906</v>
      </c>
      <c r="AN25" s="67">
        <v>-2099</v>
      </c>
    </row>
    <row r="26" spans="1:40" s="62" customFormat="1">
      <c r="A26" s="67" t="s">
        <v>79</v>
      </c>
      <c r="B26" s="67"/>
      <c r="C26" s="67">
        <v>197</v>
      </c>
      <c r="D26" s="67">
        <v>197</v>
      </c>
      <c r="E26" s="67">
        <v>197</v>
      </c>
      <c r="F26" s="67">
        <v>197</v>
      </c>
      <c r="G26" s="67">
        <v>196</v>
      </c>
      <c r="H26" s="67">
        <v>194</v>
      </c>
      <c r="I26" s="67">
        <v>194</v>
      </c>
      <c r="J26" s="67">
        <v>194</v>
      </c>
      <c r="K26" s="67">
        <v>194</v>
      </c>
      <c r="L26" s="67">
        <v>431</v>
      </c>
      <c r="M26" s="67">
        <v>431</v>
      </c>
      <c r="O26" s="67" t="s">
        <v>95</v>
      </c>
      <c r="P26" s="67"/>
      <c r="Q26" s="67">
        <v>10633</v>
      </c>
      <c r="R26" s="67">
        <v>12323</v>
      </c>
      <c r="S26" s="67">
        <v>15319</v>
      </c>
      <c r="T26" s="67">
        <v>17809</v>
      </c>
      <c r="U26" s="67">
        <v>23130</v>
      </c>
      <c r="V26" s="67">
        <v>26317</v>
      </c>
      <c r="W26" s="67">
        <v>38465</v>
      </c>
      <c r="X26" s="67">
        <v>47914</v>
      </c>
      <c r="Y26" s="67">
        <v>57588</v>
      </c>
      <c r="Z26" s="67">
        <v>371738</v>
      </c>
      <c r="AA26" s="3"/>
      <c r="AB26" s="67" t="s">
        <v>128</v>
      </c>
      <c r="AC26" s="67"/>
      <c r="AD26" s="67"/>
      <c r="AE26" s="67">
        <v>15</v>
      </c>
      <c r="AF26" s="67">
        <v>20</v>
      </c>
      <c r="AG26" s="67">
        <v>-632</v>
      </c>
      <c r="AH26" s="67">
        <v>283</v>
      </c>
      <c r="AI26" s="67">
        <v>-339</v>
      </c>
      <c r="AJ26" s="67">
        <v>-976</v>
      </c>
      <c r="AK26" s="67">
        <v>-20</v>
      </c>
      <c r="AL26" s="67">
        <v>-4</v>
      </c>
      <c r="AM26" s="67">
        <v>56</v>
      </c>
      <c r="AN26" s="67">
        <v>106</v>
      </c>
    </row>
    <row r="27" spans="1:40" s="62" customFormat="1">
      <c r="A27" s="67" t="s">
        <v>14</v>
      </c>
      <c r="B27" s="67"/>
      <c r="C27" s="67">
        <v>3528</v>
      </c>
      <c r="D27" s="67">
        <v>4921</v>
      </c>
      <c r="E27" s="67">
        <v>6235</v>
      </c>
      <c r="F27" s="67">
        <v>7148</v>
      </c>
      <c r="G27" s="67">
        <v>8030</v>
      </c>
      <c r="H27" s="67">
        <v>10187</v>
      </c>
      <c r="I27" s="67">
        <v>10322</v>
      </c>
      <c r="J27" s="67">
        <v>13692</v>
      </c>
      <c r="K27" s="67">
        <v>19898</v>
      </c>
      <c r="L27" s="67">
        <v>42955</v>
      </c>
      <c r="M27" s="67">
        <v>36239</v>
      </c>
      <c r="O27" s="67" t="s">
        <v>96</v>
      </c>
      <c r="P27" s="67"/>
      <c r="Q27" s="67"/>
      <c r="R27" s="67"/>
      <c r="S27" s="67"/>
      <c r="T27" s="67"/>
      <c r="U27" s="67"/>
      <c r="V27" s="67"/>
      <c r="W27" s="67"/>
      <c r="X27" s="67"/>
      <c r="Y27" s="67"/>
      <c r="Z27" s="67"/>
      <c r="AA27" s="3"/>
      <c r="AB27" s="67" t="s">
        <v>129</v>
      </c>
      <c r="AC27" s="67"/>
      <c r="AD27" s="67">
        <v>-1231</v>
      </c>
      <c r="AE27" s="67">
        <v>-2327</v>
      </c>
      <c r="AF27" s="67">
        <v>-3020</v>
      </c>
      <c r="AG27" s="67">
        <v>-3945</v>
      </c>
      <c r="AH27" s="67">
        <v>-3894</v>
      </c>
      <c r="AI27" s="67">
        <v>-9426</v>
      </c>
      <c r="AJ27" s="67">
        <v>-9651</v>
      </c>
      <c r="AK27" s="67">
        <v>-11340</v>
      </c>
      <c r="AL27" s="67">
        <v>-14294</v>
      </c>
      <c r="AM27" s="67">
        <v>-31285</v>
      </c>
      <c r="AN27" s="67">
        <v>-35139</v>
      </c>
    </row>
    <row r="28" spans="1:40">
      <c r="A28" s="271"/>
      <c r="B28" s="271"/>
      <c r="C28" s="271"/>
      <c r="D28" s="271"/>
      <c r="E28" s="271"/>
      <c r="F28" s="271"/>
      <c r="G28" s="271"/>
      <c r="H28" s="271"/>
      <c r="I28" s="272"/>
      <c r="J28" s="272"/>
      <c r="K28" s="272"/>
      <c r="L28" s="272"/>
      <c r="M28" s="272"/>
      <c r="O28" s="67" t="s">
        <v>97</v>
      </c>
      <c r="P28" s="67"/>
      <c r="Q28" s="67"/>
      <c r="R28" s="67"/>
      <c r="S28" s="67"/>
      <c r="T28" s="67"/>
      <c r="U28" s="67"/>
      <c r="V28" s="67"/>
      <c r="W28" s="67"/>
      <c r="X28" s="67"/>
      <c r="Y28" s="67"/>
      <c r="Z28" s="67"/>
      <c r="AA28" s="3"/>
      <c r="AB28" s="67" t="s">
        <v>130</v>
      </c>
      <c r="AC28" s="67"/>
      <c r="AD28" s="67"/>
      <c r="AE28" s="67"/>
      <c r="AF28" s="67"/>
      <c r="AG28" s="67"/>
      <c r="AH28" s="67"/>
      <c r="AI28" s="67"/>
      <c r="AJ28" s="67"/>
      <c r="AK28" s="67"/>
      <c r="AL28" s="67"/>
      <c r="AM28" s="67"/>
      <c r="AN28" s="67"/>
    </row>
    <row r="29" spans="1:40">
      <c r="O29" s="67" t="s">
        <v>98</v>
      </c>
      <c r="P29" s="67"/>
      <c r="Q29" s="67"/>
      <c r="R29" s="67"/>
      <c r="S29" s="67"/>
      <c r="T29" s="67"/>
      <c r="U29" s="67"/>
      <c r="V29" s="67"/>
      <c r="W29" s="67"/>
      <c r="X29" s="67"/>
      <c r="Y29" s="67"/>
      <c r="Z29" s="67"/>
      <c r="AA29" s="3"/>
      <c r="AB29" s="67" t="s">
        <v>131</v>
      </c>
      <c r="AC29" s="67"/>
      <c r="AD29" s="67">
        <v>361</v>
      </c>
      <c r="AE29" s="67">
        <v>175</v>
      </c>
      <c r="AF29" s="67">
        <v>78</v>
      </c>
      <c r="AG29" s="67">
        <v>47</v>
      </c>
      <c r="AH29" s="67">
        <v>208</v>
      </c>
      <c r="AI29" s="67"/>
      <c r="AJ29" s="67">
        <v>4301</v>
      </c>
      <c r="AK29" s="67">
        <v>9337</v>
      </c>
      <c r="AL29" s="67">
        <v>1730</v>
      </c>
      <c r="AM29" s="67">
        <v>27769</v>
      </c>
      <c r="AN29" s="67">
        <v>7329</v>
      </c>
    </row>
    <row r="30" spans="1:40">
      <c r="A30" s="212"/>
      <c r="C30" s="213"/>
      <c r="D30" s="213"/>
      <c r="E30" s="213"/>
      <c r="F30" s="213"/>
      <c r="G30" s="213"/>
      <c r="H30" s="213"/>
      <c r="I30" s="213"/>
      <c r="J30" s="213"/>
      <c r="K30" s="213"/>
      <c r="L30" s="213"/>
      <c r="M30" s="213"/>
      <c r="O30" s="67" t="s">
        <v>99</v>
      </c>
      <c r="P30" s="67"/>
      <c r="Q30" s="67">
        <v>763</v>
      </c>
      <c r="R30" s="67">
        <v>40</v>
      </c>
      <c r="S30" s="67">
        <v>17</v>
      </c>
      <c r="T30" s="67">
        <v>40</v>
      </c>
      <c r="U30" s="67">
        <v>10</v>
      </c>
      <c r="V30" s="67">
        <v>162</v>
      </c>
      <c r="W30" s="67">
        <v>3339</v>
      </c>
      <c r="X30" s="67">
        <v>3266</v>
      </c>
      <c r="Y30" s="67">
        <v>3194</v>
      </c>
      <c r="Z30" s="67">
        <v>16369</v>
      </c>
      <c r="AA30" s="3"/>
      <c r="AB30" s="67" t="s">
        <v>132</v>
      </c>
      <c r="AC30" s="67"/>
      <c r="AD30" s="67">
        <v>-2020</v>
      </c>
      <c r="AE30" s="67">
        <v>-878</v>
      </c>
      <c r="AF30" s="67">
        <v>-114</v>
      </c>
      <c r="AG30" s="67">
        <v>-63</v>
      </c>
      <c r="AH30" s="67">
        <v>-157</v>
      </c>
      <c r="AI30" s="67">
        <v>-12</v>
      </c>
      <c r="AJ30" s="67">
        <v>-31</v>
      </c>
      <c r="AK30" s="67">
        <v>-2936</v>
      </c>
      <c r="AL30" s="67">
        <v>-2986</v>
      </c>
      <c r="AM30" s="67">
        <v>-4512</v>
      </c>
      <c r="AN30" s="67">
        <v>-16092</v>
      </c>
    </row>
    <row r="31" spans="1:40">
      <c r="A31" s="69"/>
      <c r="D31" s="62"/>
      <c r="E31" s="62"/>
      <c r="F31" s="62"/>
      <c r="G31" s="62"/>
      <c r="H31" s="62"/>
      <c r="I31" s="62"/>
      <c r="J31" s="62"/>
      <c r="K31" s="62"/>
      <c r="L31" s="62"/>
      <c r="M31" s="62"/>
      <c r="O31" s="67" t="s">
        <v>58</v>
      </c>
      <c r="P31" s="67"/>
      <c r="Q31" s="67">
        <v>2212</v>
      </c>
      <c r="R31" s="67">
        <v>2908</v>
      </c>
      <c r="S31" s="67">
        <v>3407</v>
      </c>
      <c r="T31" s="67">
        <v>3659</v>
      </c>
      <c r="U31" s="67">
        <v>6130</v>
      </c>
      <c r="V31" s="67">
        <v>6072</v>
      </c>
      <c r="W31" s="67">
        <v>9873</v>
      </c>
      <c r="X31" s="67">
        <v>8979</v>
      </c>
      <c r="Y31" s="67">
        <v>11483</v>
      </c>
      <c r="Z31" s="67">
        <v>22854</v>
      </c>
      <c r="AA31" s="3"/>
      <c r="AB31" s="67" t="s">
        <v>300</v>
      </c>
      <c r="AC31" s="67"/>
      <c r="AD31" s="67"/>
      <c r="AE31" s="67"/>
      <c r="AF31" s="67"/>
      <c r="AG31" s="67"/>
      <c r="AH31" s="67">
        <v>-461</v>
      </c>
      <c r="AI31" s="67"/>
      <c r="AJ31" s="67"/>
      <c r="AK31" s="67"/>
      <c r="AL31" s="67"/>
      <c r="AM31" s="67"/>
      <c r="AN31" s="67"/>
    </row>
    <row r="32" spans="1:40">
      <c r="A32" s="69"/>
      <c r="D32" s="62"/>
      <c r="E32" s="62"/>
      <c r="F32" s="62"/>
      <c r="G32" s="62"/>
      <c r="H32" s="62"/>
      <c r="I32" s="62"/>
      <c r="J32" s="62"/>
      <c r="K32" s="62"/>
      <c r="L32" s="62"/>
      <c r="M32" s="62"/>
      <c r="O32" s="67" t="s">
        <v>296</v>
      </c>
      <c r="P32" s="67"/>
      <c r="Q32" s="67">
        <v>769</v>
      </c>
      <c r="R32" s="67">
        <v>1022</v>
      </c>
      <c r="S32" s="67">
        <v>1062</v>
      </c>
      <c r="T32" s="67">
        <v>1010</v>
      </c>
      <c r="U32" s="67">
        <v>1468</v>
      </c>
      <c r="V32" s="67">
        <v>1071</v>
      </c>
      <c r="W32" s="67">
        <v>1592</v>
      </c>
      <c r="X32" s="67">
        <v>1873</v>
      </c>
      <c r="Y32" s="67">
        <v>4253</v>
      </c>
      <c r="Z32" s="67">
        <v>2319</v>
      </c>
      <c r="AA32" s="3"/>
      <c r="AB32" s="67" t="s">
        <v>133</v>
      </c>
      <c r="AC32" s="67"/>
      <c r="AD32" s="67">
        <v>-19</v>
      </c>
      <c r="AE32" s="67">
        <v>-1053</v>
      </c>
      <c r="AF32" s="67">
        <v>-915</v>
      </c>
      <c r="AG32" s="67">
        <v>-830</v>
      </c>
      <c r="AH32" s="67">
        <v>-981</v>
      </c>
      <c r="AI32" s="67">
        <v>-1299</v>
      </c>
      <c r="AJ32" s="67">
        <v>-849</v>
      </c>
      <c r="AK32" s="67">
        <v>-2000</v>
      </c>
      <c r="AL32" s="67">
        <v>-4192</v>
      </c>
      <c r="AM32" s="67">
        <v>-34130</v>
      </c>
      <c r="AN32" s="67">
        <v>3714</v>
      </c>
    </row>
    <row r="33" spans="1:40">
      <c r="A33" s="212"/>
      <c r="C33" s="64"/>
      <c r="D33" s="64"/>
      <c r="E33" s="64"/>
      <c r="F33" s="64"/>
      <c r="G33" s="64"/>
      <c r="H33" s="64"/>
      <c r="I33" s="64"/>
      <c r="J33" s="64"/>
      <c r="K33" s="64"/>
      <c r="L33" s="64"/>
      <c r="M33" s="64"/>
      <c r="O33" s="67" t="s">
        <v>100</v>
      </c>
      <c r="P33" s="67"/>
      <c r="Q33" s="67"/>
      <c r="R33" s="67">
        <v>2</v>
      </c>
      <c r="S33" s="67">
        <v>2</v>
      </c>
      <c r="T33" s="67">
        <v>3</v>
      </c>
      <c r="U33" s="67">
        <v>5</v>
      </c>
      <c r="V33" s="67">
        <v>17</v>
      </c>
      <c r="W33" s="67">
        <v>112</v>
      </c>
      <c r="X33" s="67"/>
      <c r="Y33" s="67">
        <v>2051</v>
      </c>
      <c r="Z33" s="67">
        <v>3675</v>
      </c>
      <c r="AA33" s="3"/>
      <c r="AB33" s="67" t="s">
        <v>134</v>
      </c>
      <c r="AC33" s="67"/>
      <c r="AD33" s="67">
        <v>-8</v>
      </c>
      <c r="AE33" s="67">
        <v>-76</v>
      </c>
      <c r="AF33" s="67">
        <v>-14</v>
      </c>
      <c r="AG33" s="67">
        <v>-13</v>
      </c>
      <c r="AH33" s="67">
        <v>-16</v>
      </c>
      <c r="AI33" s="67">
        <v>-29</v>
      </c>
      <c r="AJ33" s="67">
        <v>-471</v>
      </c>
      <c r="AK33" s="67">
        <v>-1573</v>
      </c>
      <c r="AL33" s="67">
        <v>-848</v>
      </c>
      <c r="AM33" s="67">
        <v>-3724</v>
      </c>
      <c r="AN33" s="67">
        <v>-5313</v>
      </c>
    </row>
    <row r="34" spans="1:40">
      <c r="A34" s="69"/>
      <c r="D34" s="62"/>
      <c r="E34" s="62"/>
      <c r="F34" s="62"/>
      <c r="G34" s="62"/>
      <c r="H34" s="62"/>
      <c r="I34" s="62"/>
      <c r="J34" s="62"/>
      <c r="K34" s="62"/>
      <c r="L34" s="62"/>
      <c r="M34" s="62"/>
      <c r="O34" s="67" t="s">
        <v>101</v>
      </c>
      <c r="P34" s="67"/>
      <c r="Q34" s="67"/>
      <c r="R34" s="67">
        <v>41</v>
      </c>
      <c r="S34" s="67">
        <v>292</v>
      </c>
      <c r="T34" s="67">
        <v>362</v>
      </c>
      <c r="U34" s="67">
        <v>423</v>
      </c>
      <c r="V34" s="67">
        <v>507</v>
      </c>
      <c r="W34" s="67">
        <v>477</v>
      </c>
      <c r="X34" s="67">
        <v>443</v>
      </c>
      <c r="Y34" s="67">
        <v>515</v>
      </c>
      <c r="Z34" s="67">
        <v>1108</v>
      </c>
      <c r="AA34" s="3"/>
      <c r="AB34" s="67" t="s">
        <v>135</v>
      </c>
      <c r="AC34" s="67"/>
      <c r="AD34" s="67">
        <v>-1686</v>
      </c>
      <c r="AE34" s="67">
        <v>-1832</v>
      </c>
      <c r="AF34" s="67">
        <v>-965</v>
      </c>
      <c r="AG34" s="67">
        <v>-859</v>
      </c>
      <c r="AH34" s="67">
        <v>-1407</v>
      </c>
      <c r="AI34" s="67">
        <v>-1340</v>
      </c>
      <c r="AJ34" s="67">
        <v>2950</v>
      </c>
      <c r="AK34" s="67">
        <v>2828</v>
      </c>
      <c r="AL34" s="67">
        <v>-6296</v>
      </c>
      <c r="AM34" s="67">
        <v>-14597</v>
      </c>
      <c r="AN34" s="67">
        <v>-10362</v>
      </c>
    </row>
    <row r="35" spans="1:40">
      <c r="A35" s="69"/>
      <c r="D35" s="62"/>
      <c r="E35" s="62"/>
      <c r="F35" s="62"/>
      <c r="G35" s="62"/>
      <c r="H35" s="62"/>
      <c r="I35" s="62"/>
      <c r="J35" s="62"/>
      <c r="K35" s="62"/>
      <c r="L35" s="62"/>
      <c r="M35" s="62"/>
      <c r="O35" s="67" t="s">
        <v>59</v>
      </c>
      <c r="P35" s="67"/>
      <c r="Q35" s="67">
        <v>425</v>
      </c>
      <c r="R35" s="67">
        <v>497</v>
      </c>
      <c r="S35" s="67">
        <v>739</v>
      </c>
      <c r="T35" s="67">
        <v>809</v>
      </c>
      <c r="U35" s="67">
        <v>1014</v>
      </c>
      <c r="V35" s="67">
        <v>1268</v>
      </c>
      <c r="W35" s="67">
        <v>1521</v>
      </c>
      <c r="X35" s="67">
        <v>1950</v>
      </c>
      <c r="Y35" s="67">
        <v>491</v>
      </c>
      <c r="Z35" s="67">
        <v>7120</v>
      </c>
      <c r="AA35" s="3"/>
      <c r="AB35" s="67" t="s">
        <v>461</v>
      </c>
      <c r="AC35" s="67"/>
      <c r="AD35" s="67"/>
      <c r="AE35" s="67">
        <v>18</v>
      </c>
      <c r="AF35" s="67">
        <v>31</v>
      </c>
      <c r="AG35" s="67">
        <v>117</v>
      </c>
      <c r="AH35" s="67">
        <v>226</v>
      </c>
      <c r="AI35" s="67">
        <v>505</v>
      </c>
      <c r="AJ35" s="67">
        <v>75</v>
      </c>
      <c r="AK35" s="67">
        <v>222</v>
      </c>
      <c r="AL35" s="67">
        <v>144</v>
      </c>
      <c r="AM35" s="67">
        <v>3830</v>
      </c>
      <c r="AN35" s="67">
        <v>3521</v>
      </c>
    </row>
    <row r="36" spans="1:40">
      <c r="A36" s="69"/>
      <c r="D36" s="62"/>
      <c r="E36" s="62"/>
      <c r="F36" s="62"/>
      <c r="G36" s="62"/>
      <c r="H36" s="62"/>
      <c r="I36" s="62"/>
      <c r="J36" s="62"/>
      <c r="K36" s="62"/>
      <c r="L36" s="62"/>
      <c r="M36" s="62"/>
      <c r="O36" s="67" t="s">
        <v>102</v>
      </c>
      <c r="P36" s="67"/>
      <c r="Q36" s="67">
        <v>4169</v>
      </c>
      <c r="R36" s="67">
        <v>4510</v>
      </c>
      <c r="S36" s="67">
        <v>5519</v>
      </c>
      <c r="T36" s="67">
        <v>5883</v>
      </c>
      <c r="U36" s="67">
        <v>9050</v>
      </c>
      <c r="V36" s="67">
        <v>9097</v>
      </c>
      <c r="W36" s="67">
        <v>16914</v>
      </c>
      <c r="X36" s="67">
        <v>16511</v>
      </c>
      <c r="Y36" s="67">
        <v>21987</v>
      </c>
      <c r="Z36" s="67">
        <v>53445</v>
      </c>
      <c r="AA36" s="3"/>
      <c r="AB36" s="67" t="s">
        <v>136</v>
      </c>
      <c r="AC36" s="67"/>
      <c r="AD36" s="67">
        <v>371</v>
      </c>
      <c r="AE36" s="67">
        <v>103</v>
      </c>
      <c r="AF36" s="67">
        <v>1442</v>
      </c>
      <c r="AG36" s="67">
        <v>342</v>
      </c>
      <c r="AH36" s="67">
        <v>2064</v>
      </c>
      <c r="AI36" s="67">
        <v>-4540</v>
      </c>
      <c r="AJ36" s="67">
        <v>186</v>
      </c>
      <c r="AK36" s="67">
        <v>3075</v>
      </c>
      <c r="AL36" s="67">
        <v>-1114</v>
      </c>
      <c r="AM36" s="67">
        <v>374</v>
      </c>
      <c r="AN36" s="67">
        <v>1407</v>
      </c>
    </row>
    <row r="37" spans="1:40">
      <c r="A37" s="212"/>
      <c r="C37" s="213"/>
      <c r="D37" s="213"/>
      <c r="E37" s="213"/>
      <c r="F37" s="213"/>
      <c r="G37" s="213"/>
      <c r="H37" s="213"/>
      <c r="I37" s="213"/>
      <c r="J37" s="213"/>
      <c r="K37" s="213"/>
      <c r="L37" s="213"/>
      <c r="M37" s="213"/>
      <c r="O37" s="67" t="s">
        <v>103</v>
      </c>
      <c r="P37" s="67"/>
      <c r="Q37" s="67"/>
      <c r="R37" s="67"/>
      <c r="S37" s="67"/>
      <c r="T37" s="67"/>
      <c r="U37" s="67"/>
      <c r="V37" s="67"/>
      <c r="W37" s="67"/>
      <c r="X37" s="67"/>
      <c r="Y37" s="67"/>
      <c r="Z37" s="67"/>
      <c r="AA37" s="3"/>
      <c r="AB37" s="67" t="s">
        <v>137</v>
      </c>
      <c r="AC37" s="67"/>
      <c r="AD37" s="67">
        <v>902</v>
      </c>
      <c r="AE37" s="67">
        <v>1273</v>
      </c>
      <c r="AF37" s="67">
        <v>1376</v>
      </c>
      <c r="AG37" s="67">
        <v>2818</v>
      </c>
      <c r="AH37" s="67">
        <v>3160</v>
      </c>
      <c r="AI37" s="67">
        <v>5224</v>
      </c>
      <c r="AJ37" s="67">
        <v>684</v>
      </c>
      <c r="AK37" s="67">
        <v>870</v>
      </c>
      <c r="AL37" s="67">
        <v>3945</v>
      </c>
      <c r="AM37" s="67">
        <v>6517</v>
      </c>
      <c r="AN37" s="67">
        <v>12152</v>
      </c>
    </row>
    <row r="38" spans="1:40">
      <c r="O38" s="67" t="s">
        <v>104</v>
      </c>
      <c r="P38" s="67"/>
      <c r="Q38" s="67">
        <v>82</v>
      </c>
      <c r="R38" s="67">
        <v>121</v>
      </c>
      <c r="S38" s="67">
        <v>115</v>
      </c>
      <c r="T38" s="67">
        <v>101</v>
      </c>
      <c r="U38" s="67">
        <v>220</v>
      </c>
      <c r="V38" s="67">
        <v>254</v>
      </c>
      <c r="W38" s="67">
        <v>1449</v>
      </c>
      <c r="X38" s="67">
        <v>8646</v>
      </c>
      <c r="Y38" s="67">
        <v>9041</v>
      </c>
      <c r="Z38" s="67">
        <v>54122</v>
      </c>
      <c r="AA38" s="3"/>
      <c r="AB38" s="67" t="s">
        <v>138</v>
      </c>
      <c r="AC38" s="67"/>
      <c r="AD38" s="67">
        <v>1273</v>
      </c>
      <c r="AE38" s="67">
        <v>1376</v>
      </c>
      <c r="AF38" s="67">
        <v>2818</v>
      </c>
      <c r="AG38" s="67">
        <v>3160</v>
      </c>
      <c r="AH38" s="67">
        <v>5224</v>
      </c>
      <c r="AI38" s="67">
        <v>684</v>
      </c>
      <c r="AJ38" s="67">
        <v>870</v>
      </c>
      <c r="AK38" s="67">
        <v>3945</v>
      </c>
      <c r="AL38" s="67">
        <v>2831</v>
      </c>
      <c r="AM38" s="67">
        <v>6891</v>
      </c>
      <c r="AN38" s="67">
        <v>13559</v>
      </c>
    </row>
    <row r="39" spans="1:40">
      <c r="O39" s="67" t="s">
        <v>425</v>
      </c>
      <c r="P39" s="67"/>
      <c r="Q39" s="67"/>
      <c r="R39" s="67">
        <v>247</v>
      </c>
      <c r="S39" s="67">
        <v>210</v>
      </c>
      <c r="T39" s="67">
        <v>220</v>
      </c>
      <c r="U39" s="67">
        <v>126</v>
      </c>
      <c r="V39" s="67">
        <v>417</v>
      </c>
      <c r="W39" s="67">
        <v>550</v>
      </c>
      <c r="X39" s="67">
        <v>569</v>
      </c>
      <c r="Y39" s="67">
        <v>48</v>
      </c>
      <c r="Z39" s="67">
        <v>24542</v>
      </c>
      <c r="AA39" s="3"/>
      <c r="AB39" s="67" t="s">
        <v>25</v>
      </c>
      <c r="AC39" s="67"/>
      <c r="AD39" s="67"/>
      <c r="AE39" s="67"/>
      <c r="AF39" s="67"/>
      <c r="AG39" s="67"/>
      <c r="AH39" s="67"/>
      <c r="AI39" s="67"/>
      <c r="AJ39" s="67"/>
      <c r="AK39" s="67"/>
      <c r="AL39" s="67"/>
      <c r="AM39" s="67"/>
      <c r="AN39" s="67"/>
    </row>
    <row r="40" spans="1:40">
      <c r="O40" s="67" t="s">
        <v>100</v>
      </c>
      <c r="P40" s="67"/>
      <c r="Q40" s="67">
        <v>212</v>
      </c>
      <c r="R40" s="67"/>
      <c r="S40" s="67"/>
      <c r="T40" s="67"/>
      <c r="U40" s="67"/>
      <c r="V40" s="67"/>
      <c r="W40" s="67"/>
      <c r="X40" s="67"/>
      <c r="Y40" s="67"/>
      <c r="Z40" s="67">
        <v>5146</v>
      </c>
      <c r="AA40" s="3"/>
      <c r="AB40" s="67" t="s">
        <v>139</v>
      </c>
      <c r="AC40" s="67"/>
      <c r="AD40" s="67">
        <v>3288</v>
      </c>
      <c r="AE40" s="67">
        <v>4244</v>
      </c>
      <c r="AF40" s="67">
        <v>5396</v>
      </c>
      <c r="AG40" s="67">
        <v>5029</v>
      </c>
      <c r="AH40" s="67">
        <v>7139</v>
      </c>
      <c r="AI40" s="67">
        <v>5721</v>
      </c>
      <c r="AJ40" s="67">
        <v>6812</v>
      </c>
      <c r="AK40" s="67">
        <v>11365</v>
      </c>
      <c r="AL40" s="67">
        <v>19332</v>
      </c>
      <c r="AM40" s="67">
        <v>42426</v>
      </c>
      <c r="AN40" s="67">
        <v>43387</v>
      </c>
    </row>
    <row r="41" spans="1:40">
      <c r="O41" s="67" t="s">
        <v>101</v>
      </c>
      <c r="P41" s="67"/>
      <c r="Q41" s="67"/>
      <c r="R41" s="67">
        <v>185</v>
      </c>
      <c r="S41" s="67">
        <v>307</v>
      </c>
      <c r="T41" s="67">
        <v>329</v>
      </c>
      <c r="U41" s="67">
        <v>453</v>
      </c>
      <c r="V41" s="67">
        <v>465</v>
      </c>
      <c r="W41" s="67">
        <v>457</v>
      </c>
      <c r="X41" s="67">
        <v>445</v>
      </c>
      <c r="Y41" s="67">
        <v>425</v>
      </c>
      <c r="Z41" s="67">
        <v>254</v>
      </c>
      <c r="AA41" s="3"/>
      <c r="AB41" s="67" t="s">
        <v>140</v>
      </c>
      <c r="AC41" s="67"/>
      <c r="AD41" s="67">
        <v>-1491</v>
      </c>
      <c r="AE41" s="67">
        <v>-2352</v>
      </c>
      <c r="AF41" s="67">
        <v>-3079</v>
      </c>
      <c r="AG41" s="67">
        <v>-3326</v>
      </c>
      <c r="AH41" s="67">
        <v>-4198</v>
      </c>
      <c r="AI41" s="67">
        <v>-9104</v>
      </c>
      <c r="AJ41" s="67">
        <v>-8714</v>
      </c>
      <c r="AK41" s="67">
        <v>-11339</v>
      </c>
      <c r="AL41" s="67">
        <v>-11698</v>
      </c>
      <c r="AM41" s="67">
        <v>-42480</v>
      </c>
      <c r="AN41" s="67">
        <v>-41195</v>
      </c>
    </row>
    <row r="42" spans="1:40">
      <c r="O42" s="67" t="s">
        <v>457</v>
      </c>
      <c r="P42" s="67"/>
      <c r="Q42" s="67">
        <v>82</v>
      </c>
      <c r="R42" s="67">
        <v>67</v>
      </c>
      <c r="S42" s="67"/>
      <c r="T42" s="67">
        <v>128</v>
      </c>
      <c r="U42" s="67">
        <v>64</v>
      </c>
      <c r="V42" s="67">
        <v>150</v>
      </c>
      <c r="W42" s="67">
        <v>95</v>
      </c>
      <c r="X42" s="67">
        <v>348</v>
      </c>
      <c r="Y42" s="67"/>
      <c r="Z42" s="67">
        <v>245</v>
      </c>
      <c r="AA42" s="3"/>
      <c r="AB42" s="67" t="s">
        <v>141</v>
      </c>
      <c r="AC42" s="67"/>
      <c r="AD42" s="67">
        <v>1797</v>
      </c>
      <c r="AE42" s="67">
        <v>1892</v>
      </c>
      <c r="AF42" s="67">
        <v>2317</v>
      </c>
      <c r="AG42" s="67">
        <v>1703</v>
      </c>
      <c r="AH42" s="67">
        <v>2941</v>
      </c>
      <c r="AI42" s="67">
        <v>-3383</v>
      </c>
      <c r="AJ42" s="67">
        <v>-1902</v>
      </c>
      <c r="AK42" s="67">
        <v>26</v>
      </c>
      <c r="AL42" s="67">
        <v>7634</v>
      </c>
      <c r="AM42" s="67">
        <v>-54</v>
      </c>
      <c r="AN42" s="67">
        <v>2192</v>
      </c>
    </row>
    <row r="43" spans="1:40">
      <c r="O43" s="67" t="s">
        <v>406</v>
      </c>
      <c r="P43" s="67"/>
      <c r="Q43" s="67">
        <v>92</v>
      </c>
      <c r="R43" s="67">
        <v>107</v>
      </c>
      <c r="S43" s="67">
        <v>144</v>
      </c>
      <c r="T43" s="67">
        <v>199</v>
      </c>
      <c r="U43" s="67">
        <v>268</v>
      </c>
      <c r="V43" s="67">
        <v>351</v>
      </c>
      <c r="W43" s="67">
        <v>416</v>
      </c>
      <c r="X43" s="67">
        <v>542</v>
      </c>
      <c r="Y43" s="67">
        <v>793</v>
      </c>
      <c r="Z43" s="67">
        <v>3227</v>
      </c>
      <c r="AA43" s="3"/>
      <c r="AB43" s="67"/>
      <c r="AC43" s="67"/>
      <c r="AD43" s="67"/>
      <c r="AE43" s="67"/>
      <c r="AF43" s="67"/>
      <c r="AG43" s="67"/>
      <c r="AH43" s="67"/>
      <c r="AI43" s="67"/>
      <c r="AJ43" s="67"/>
      <c r="AK43" s="67"/>
      <c r="AL43" s="67"/>
      <c r="AM43" s="67"/>
      <c r="AN43" s="67"/>
    </row>
    <row r="44" spans="1:40">
      <c r="O44" s="67" t="s">
        <v>105</v>
      </c>
      <c r="P44" s="67"/>
      <c r="Q44" s="67">
        <v>560</v>
      </c>
      <c r="R44" s="67">
        <v>682</v>
      </c>
      <c r="S44" s="67">
        <v>1003</v>
      </c>
      <c r="T44" s="67">
        <v>990</v>
      </c>
      <c r="U44" s="67">
        <v>1166</v>
      </c>
      <c r="V44" s="67">
        <v>1165</v>
      </c>
      <c r="W44" s="67">
        <v>1390</v>
      </c>
      <c r="X44" s="67">
        <v>1517</v>
      </c>
      <c r="Y44" s="67">
        <v>2208</v>
      </c>
      <c r="Z44" s="67">
        <v>5071</v>
      </c>
      <c r="AA44" s="3"/>
      <c r="AB44" s="67"/>
      <c r="AC44" s="67"/>
      <c r="AD44" s="67"/>
      <c r="AE44" s="67"/>
      <c r="AF44" s="67"/>
      <c r="AG44" s="67"/>
      <c r="AH44" s="67"/>
      <c r="AI44" s="67"/>
      <c r="AJ44" s="67"/>
      <c r="AK44" s="67"/>
      <c r="AL44" s="67"/>
      <c r="AM44" s="67"/>
      <c r="AN44" s="67"/>
    </row>
    <row r="45" spans="1:40">
      <c r="O45" s="67" t="s">
        <v>106</v>
      </c>
      <c r="P45" s="67"/>
      <c r="Q45" s="67">
        <v>1028</v>
      </c>
      <c r="R45" s="67">
        <v>1409</v>
      </c>
      <c r="S45" s="67">
        <v>1779</v>
      </c>
      <c r="T45" s="67">
        <v>1967</v>
      </c>
      <c r="U45" s="67">
        <v>2297</v>
      </c>
      <c r="V45" s="67">
        <v>2802</v>
      </c>
      <c r="W45" s="67">
        <v>4357</v>
      </c>
      <c r="X45" s="67">
        <v>12067</v>
      </c>
      <c r="Y45" s="67">
        <v>12515</v>
      </c>
      <c r="Z45" s="67">
        <v>92607</v>
      </c>
      <c r="AA45" s="3"/>
      <c r="AB45" s="67"/>
      <c r="AC45" s="67"/>
      <c r="AD45" s="67"/>
      <c r="AE45" s="67"/>
      <c r="AF45" s="67"/>
      <c r="AG45" s="67"/>
      <c r="AH45" s="67"/>
      <c r="AI45" s="67"/>
      <c r="AJ45" s="67"/>
      <c r="AK45" s="67"/>
      <c r="AL45" s="67"/>
      <c r="AM45" s="67"/>
      <c r="AN45" s="67"/>
    </row>
    <row r="46" spans="1:40">
      <c r="O46" s="67" t="s">
        <v>107</v>
      </c>
      <c r="P46" s="67"/>
      <c r="Q46" s="67">
        <v>5197</v>
      </c>
      <c r="R46" s="67">
        <v>5919</v>
      </c>
      <c r="S46" s="67">
        <v>7298</v>
      </c>
      <c r="T46" s="67">
        <v>7850</v>
      </c>
      <c r="U46" s="67">
        <v>11347</v>
      </c>
      <c r="V46" s="67">
        <v>11899</v>
      </c>
      <c r="W46" s="67">
        <v>21271</v>
      </c>
      <c r="X46" s="67">
        <v>28578</v>
      </c>
      <c r="Y46" s="67">
        <v>34502</v>
      </c>
      <c r="Z46" s="67">
        <v>146052</v>
      </c>
      <c r="AA46" s="3"/>
    </row>
    <row r="47" spans="1:40">
      <c r="O47" s="67" t="s">
        <v>108</v>
      </c>
      <c r="P47" s="67"/>
      <c r="Q47" s="67"/>
      <c r="R47" s="67"/>
      <c r="S47" s="67"/>
      <c r="T47" s="67"/>
      <c r="U47" s="67"/>
      <c r="V47" s="67"/>
      <c r="W47" s="67"/>
      <c r="X47" s="67"/>
      <c r="Y47" s="67"/>
      <c r="Z47" s="67"/>
      <c r="AA47" s="3"/>
    </row>
    <row r="48" spans="1:40">
      <c r="O48" s="67" t="s">
        <v>109</v>
      </c>
      <c r="P48" s="67"/>
      <c r="Q48" s="67">
        <v>3672</v>
      </c>
      <c r="R48" s="67">
        <v>3672</v>
      </c>
      <c r="S48" s="67">
        <v>3672</v>
      </c>
      <c r="T48" s="67">
        <v>3672</v>
      </c>
      <c r="U48" s="67">
        <v>3615</v>
      </c>
      <c r="V48" s="67">
        <v>3615</v>
      </c>
      <c r="W48" s="67">
        <v>984</v>
      </c>
      <c r="X48" s="67">
        <v>3615</v>
      </c>
      <c r="Y48" s="67">
        <v>984</v>
      </c>
      <c r="Z48" s="67">
        <v>45303</v>
      </c>
      <c r="AA48" s="3"/>
    </row>
    <row r="49" spans="15:27">
      <c r="O49" s="67" t="s">
        <v>458</v>
      </c>
      <c r="P49" s="67"/>
      <c r="Q49" s="67"/>
      <c r="R49" s="67">
        <v>387</v>
      </c>
      <c r="S49" s="67"/>
      <c r="T49" s="67"/>
      <c r="U49" s="67"/>
      <c r="V49" s="67"/>
      <c r="W49" s="67">
        <v>10580</v>
      </c>
      <c r="X49" s="67"/>
      <c r="Y49" s="67">
        <v>12248</v>
      </c>
      <c r="Z49" s="67">
        <v>27750</v>
      </c>
      <c r="AA49" s="3"/>
    </row>
    <row r="50" spans="15:27">
      <c r="O50" s="67" t="s">
        <v>110</v>
      </c>
      <c r="P50" s="67"/>
      <c r="Q50" s="67"/>
      <c r="R50" s="67"/>
      <c r="S50" s="67"/>
      <c r="T50" s="67">
        <v>2553</v>
      </c>
      <c r="U50" s="67"/>
      <c r="V50" s="67"/>
      <c r="W50" s="67"/>
      <c r="X50" s="67"/>
      <c r="Y50" s="67"/>
      <c r="Z50" s="67">
        <v>127343</v>
      </c>
      <c r="AA50" s="3"/>
    </row>
    <row r="51" spans="15:27">
      <c r="O51" s="67" t="s">
        <v>111</v>
      </c>
      <c r="P51" s="67"/>
      <c r="Q51" s="67">
        <v>1658</v>
      </c>
      <c r="R51" s="67">
        <v>2345</v>
      </c>
      <c r="S51" s="67">
        <v>3852</v>
      </c>
      <c r="T51" s="67">
        <v>3055</v>
      </c>
      <c r="U51" s="67">
        <v>3202</v>
      </c>
      <c r="V51" s="67">
        <v>3673</v>
      </c>
      <c r="W51" s="67">
        <v>3403</v>
      </c>
      <c r="X51" s="67">
        <v>3975</v>
      </c>
      <c r="Y51" s="67">
        <v>7630</v>
      </c>
      <c r="Z51" s="67">
        <v>26918</v>
      </c>
      <c r="AA51" s="3"/>
    </row>
    <row r="52" spans="15:27">
      <c r="O52" s="67" t="s">
        <v>426</v>
      </c>
      <c r="P52" s="67"/>
      <c r="Q52" s="67"/>
      <c r="R52" s="67"/>
      <c r="S52" s="67"/>
      <c r="T52" s="67"/>
      <c r="U52" s="67">
        <v>-404</v>
      </c>
      <c r="V52" s="67">
        <v>-404</v>
      </c>
      <c r="W52" s="67">
        <v>-419</v>
      </c>
      <c r="X52" s="67">
        <v>-404</v>
      </c>
      <c r="Y52" s="67">
        <v>-461</v>
      </c>
      <c r="Z52" s="67">
        <v>-1628</v>
      </c>
      <c r="AA52" s="3"/>
    </row>
    <row r="53" spans="15:27">
      <c r="O53" s="67" t="s">
        <v>112</v>
      </c>
      <c r="P53" s="67"/>
      <c r="Q53" s="67">
        <v>106</v>
      </c>
      <c r="R53" s="67"/>
      <c r="S53" s="67">
        <v>497</v>
      </c>
      <c r="T53" s="67">
        <v>679</v>
      </c>
      <c r="U53" s="67">
        <v>5370</v>
      </c>
      <c r="V53" s="67">
        <v>7534</v>
      </c>
      <c r="W53" s="67">
        <v>2646</v>
      </c>
      <c r="X53" s="67">
        <v>12150</v>
      </c>
      <c r="Y53" s="67">
        <v>2685</v>
      </c>
      <c r="Z53" s="67"/>
      <c r="AA53" s="3"/>
    </row>
    <row r="54" spans="15:27">
      <c r="O54" s="67" t="s">
        <v>113</v>
      </c>
      <c r="P54" s="67"/>
      <c r="Q54" s="67">
        <v>5436</v>
      </c>
      <c r="R54" s="67">
        <v>6404</v>
      </c>
      <c r="S54" s="67">
        <v>8021</v>
      </c>
      <c r="T54" s="67">
        <v>9959</v>
      </c>
      <c r="U54" s="67">
        <v>11783</v>
      </c>
      <c r="V54" s="67">
        <v>14418</v>
      </c>
      <c r="W54" s="67">
        <v>17194</v>
      </c>
      <c r="X54" s="67">
        <v>19336</v>
      </c>
      <c r="Y54" s="67">
        <v>23086</v>
      </c>
      <c r="Z54" s="67">
        <v>225686</v>
      </c>
    </row>
    <row r="55" spans="15:27">
      <c r="O55" s="67" t="s">
        <v>114</v>
      </c>
      <c r="P55" s="67"/>
      <c r="Q55" s="67">
        <v>10633</v>
      </c>
      <c r="R55" s="67">
        <v>12323</v>
      </c>
      <c r="S55" s="67">
        <v>15319</v>
      </c>
      <c r="T55" s="67">
        <v>17809</v>
      </c>
      <c r="U55" s="67">
        <v>23130</v>
      </c>
      <c r="V55" s="67">
        <v>26317</v>
      </c>
      <c r="W55" s="67">
        <v>38465</v>
      </c>
      <c r="X55" s="67">
        <v>47914</v>
      </c>
      <c r="Y55" s="67">
        <v>57588</v>
      </c>
      <c r="Z55" s="67">
        <v>371738</v>
      </c>
    </row>
    <row r="78" s="62" customFormat="1"/>
    <row r="79" s="62" customFormat="1"/>
    <row r="80" s="62" customFormat="1"/>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7C52-EF53-4A3B-AEC4-6AA1912059E9}">
  <sheetPr>
    <tabColor theme="1"/>
  </sheetPr>
  <dimension ref="A1:AN56"/>
  <sheetViews>
    <sheetView workbookViewId="0">
      <selection activeCell="M24" sqref="M24"/>
    </sheetView>
  </sheetViews>
  <sheetFormatPr baseColWidth="10" defaultColWidth="8.83203125" defaultRowHeight="13"/>
  <cols>
    <col min="1" max="1" width="44.1640625" customWidth="1"/>
    <col min="3" max="12" width="9.33203125" bestFit="1" customWidth="1"/>
    <col min="15" max="15" width="57.5" bestFit="1" customWidth="1"/>
    <col min="28" max="28" width="57.5" bestFit="1" customWidth="1"/>
  </cols>
  <sheetData>
    <row r="1" spans="1:40">
      <c r="A1" s="2" t="s">
        <v>297</v>
      </c>
      <c r="B1" s="2"/>
      <c r="C1" s="2"/>
      <c r="D1" s="2"/>
      <c r="E1" s="2"/>
      <c r="F1" s="2"/>
      <c r="G1" s="2"/>
      <c r="H1" s="2"/>
      <c r="I1" s="2"/>
      <c r="J1" s="2"/>
      <c r="K1" s="2"/>
      <c r="L1" s="2"/>
      <c r="M1" s="2"/>
      <c r="O1" s="2" t="s">
        <v>298</v>
      </c>
      <c r="P1" s="2"/>
      <c r="Q1" s="2"/>
      <c r="R1" s="2"/>
      <c r="S1" s="2"/>
      <c r="T1" s="2"/>
      <c r="U1" s="2"/>
      <c r="V1" s="2"/>
      <c r="W1" s="2"/>
      <c r="X1" s="2"/>
      <c r="Y1" s="2"/>
      <c r="Z1" s="2"/>
      <c r="AB1" s="2" t="s">
        <v>299</v>
      </c>
      <c r="AC1" s="2"/>
      <c r="AD1" s="2"/>
      <c r="AE1" s="2"/>
      <c r="AF1" s="2"/>
      <c r="AG1" s="2"/>
      <c r="AH1" s="2"/>
      <c r="AI1" s="2"/>
      <c r="AJ1" s="2"/>
      <c r="AK1" s="2"/>
      <c r="AL1" s="2"/>
      <c r="AM1" s="2"/>
      <c r="AN1" s="2"/>
    </row>
    <row r="2" spans="1:40">
      <c r="A2" s="67" t="s">
        <v>455</v>
      </c>
      <c r="B2" s="67"/>
      <c r="C2" s="67"/>
      <c r="D2" s="67"/>
      <c r="E2" s="67"/>
      <c r="F2" s="67"/>
      <c r="G2" s="67"/>
      <c r="H2" s="67"/>
      <c r="I2" s="67"/>
      <c r="J2" s="67"/>
      <c r="K2" s="67"/>
      <c r="L2" s="67"/>
      <c r="M2" s="67"/>
      <c r="O2" s="67" t="s">
        <v>455</v>
      </c>
      <c r="P2" s="67"/>
      <c r="Q2" s="67"/>
      <c r="R2" s="67"/>
      <c r="S2" s="67"/>
      <c r="T2" s="67"/>
      <c r="U2" s="67"/>
      <c r="V2" s="67"/>
      <c r="W2" s="67"/>
      <c r="X2" s="67"/>
      <c r="Y2" s="67"/>
      <c r="Z2" s="67"/>
      <c r="AB2" s="5" t="s">
        <v>455</v>
      </c>
      <c r="AC2" s="5"/>
      <c r="AD2" s="5"/>
      <c r="AE2" s="5"/>
      <c r="AF2" s="5"/>
      <c r="AG2" s="5"/>
      <c r="AH2" s="9"/>
      <c r="AI2" s="9"/>
      <c r="AJ2" s="9"/>
      <c r="AK2" s="9"/>
      <c r="AL2" s="9"/>
      <c r="AM2" s="9"/>
      <c r="AN2" s="10"/>
    </row>
    <row r="3" spans="1:40">
      <c r="A3" s="67"/>
      <c r="B3" s="67"/>
      <c r="C3" s="273" t="s">
        <v>403</v>
      </c>
      <c r="D3" s="273" t="s">
        <v>408</v>
      </c>
      <c r="E3" s="273" t="s">
        <v>409</v>
      </c>
      <c r="F3" s="273" t="s">
        <v>410</v>
      </c>
      <c r="G3" s="273" t="s">
        <v>404</v>
      </c>
      <c r="H3" s="273" t="s">
        <v>411</v>
      </c>
      <c r="I3" s="273" t="s">
        <v>412</v>
      </c>
      <c r="J3" s="273" t="s">
        <v>413</v>
      </c>
      <c r="K3" s="273" t="s">
        <v>405</v>
      </c>
      <c r="L3" s="273" t="s">
        <v>414</v>
      </c>
      <c r="M3" s="273" t="s">
        <v>9</v>
      </c>
      <c r="O3" s="67"/>
      <c r="P3" s="67"/>
      <c r="Q3" s="67" t="s">
        <v>403</v>
      </c>
      <c r="R3" s="67" t="s">
        <v>408</v>
      </c>
      <c r="S3" s="67" t="s">
        <v>409</v>
      </c>
      <c r="T3" s="67" t="s">
        <v>410</v>
      </c>
      <c r="U3" s="67" t="s">
        <v>404</v>
      </c>
      <c r="V3" s="67" t="s">
        <v>411</v>
      </c>
      <c r="W3" s="67" t="s">
        <v>412</v>
      </c>
      <c r="X3" s="67" t="s">
        <v>413</v>
      </c>
      <c r="Y3" s="67" t="s">
        <v>405</v>
      </c>
      <c r="Z3" s="67" t="s">
        <v>414</v>
      </c>
      <c r="AB3" s="69"/>
      <c r="AC3" s="67"/>
      <c r="AD3" s="67" t="s">
        <v>403</v>
      </c>
      <c r="AE3" s="67" t="s">
        <v>408</v>
      </c>
      <c r="AF3" s="67" t="s">
        <v>409</v>
      </c>
      <c r="AG3" s="67" t="s">
        <v>410</v>
      </c>
      <c r="AH3" s="67" t="s">
        <v>404</v>
      </c>
      <c r="AI3" s="67" t="s">
        <v>411</v>
      </c>
      <c r="AJ3" s="67" t="s">
        <v>412</v>
      </c>
      <c r="AK3" s="67" t="s">
        <v>413</v>
      </c>
      <c r="AL3" s="67" t="s">
        <v>405</v>
      </c>
      <c r="AM3" s="67" t="s">
        <v>414</v>
      </c>
      <c r="AN3" s="67" t="s">
        <v>9</v>
      </c>
    </row>
    <row r="4" spans="1:40">
      <c r="A4" s="67" t="s">
        <v>10</v>
      </c>
      <c r="B4" s="67"/>
      <c r="C4" s="67">
        <v>14471</v>
      </c>
      <c r="D4" s="67">
        <v>14742</v>
      </c>
      <c r="E4" s="67">
        <v>15841</v>
      </c>
      <c r="F4" s="67">
        <v>16741</v>
      </c>
      <c r="G4" s="67">
        <v>17995</v>
      </c>
      <c r="H4" s="67">
        <v>30698</v>
      </c>
      <c r="I4" s="67">
        <v>33481</v>
      </c>
      <c r="J4" s="67">
        <v>35315</v>
      </c>
      <c r="K4" s="67">
        <v>68552</v>
      </c>
      <c r="L4" s="67">
        <v>44328</v>
      </c>
      <c r="M4" s="67">
        <v>163649</v>
      </c>
      <c r="O4" s="67" t="s">
        <v>50</v>
      </c>
      <c r="P4" s="67"/>
      <c r="Q4" s="67"/>
      <c r="R4" s="67"/>
      <c r="S4" s="67"/>
      <c r="T4" s="67"/>
      <c r="U4" s="67"/>
      <c r="V4" s="67"/>
      <c r="W4" s="67"/>
      <c r="X4" s="67"/>
      <c r="Y4" s="67"/>
      <c r="Z4" s="67"/>
      <c r="AB4" s="69" t="s">
        <v>116</v>
      </c>
      <c r="AC4" s="67"/>
      <c r="AD4" s="69"/>
      <c r="AE4" s="69"/>
      <c r="AF4" s="69"/>
      <c r="AG4" s="69"/>
      <c r="AH4" s="69"/>
      <c r="AI4" s="69"/>
      <c r="AJ4" s="70"/>
      <c r="AK4" s="70"/>
      <c r="AL4" s="70"/>
      <c r="AM4" s="70"/>
      <c r="AN4" s="69"/>
    </row>
    <row r="5" spans="1:40">
      <c r="A5" s="67" t="s">
        <v>64</v>
      </c>
      <c r="B5" s="67"/>
      <c r="C5" s="67">
        <v>1014</v>
      </c>
      <c r="D5" s="67">
        <v>2234</v>
      </c>
      <c r="E5" s="67">
        <v>2533</v>
      </c>
      <c r="F5" s="67">
        <v>2632</v>
      </c>
      <c r="G5" s="67">
        <v>23091</v>
      </c>
      <c r="H5" s="67">
        <v>12699</v>
      </c>
      <c r="I5" s="67">
        <v>8856</v>
      </c>
      <c r="J5" s="67">
        <v>3550</v>
      </c>
      <c r="K5" s="67">
        <v>7016</v>
      </c>
      <c r="L5" s="67">
        <v>11564</v>
      </c>
      <c r="M5" s="67">
        <v>16016</v>
      </c>
      <c r="O5" s="67" t="s">
        <v>82</v>
      </c>
      <c r="P5" s="67"/>
      <c r="Q5" s="67"/>
      <c r="R5" s="67"/>
      <c r="S5" s="67"/>
      <c r="T5" s="67"/>
      <c r="U5" s="67"/>
      <c r="V5" s="67"/>
      <c r="W5" s="67"/>
      <c r="X5" s="67"/>
      <c r="Y5" s="67"/>
      <c r="Z5" s="67"/>
      <c r="AB5" s="67" t="s">
        <v>75</v>
      </c>
      <c r="AC5" s="67"/>
      <c r="AD5" s="67">
        <v>1510</v>
      </c>
      <c r="AE5" s="67">
        <v>1966</v>
      </c>
      <c r="AF5" s="67">
        <v>1673</v>
      </c>
      <c r="AG5" s="67">
        <v>2056</v>
      </c>
      <c r="AH5" s="67">
        <v>2029</v>
      </c>
      <c r="AI5" s="67">
        <v>3481</v>
      </c>
      <c r="AJ5" s="67">
        <v>-8353</v>
      </c>
      <c r="AK5" s="67">
        <v>-13668</v>
      </c>
      <c r="AL5" s="67">
        <v>24076</v>
      </c>
      <c r="AM5" s="67">
        <v>1279</v>
      </c>
      <c r="AN5" s="67">
        <v>-4586</v>
      </c>
    </row>
    <row r="6" spans="1:40">
      <c r="A6" s="67" t="s">
        <v>65</v>
      </c>
      <c r="B6" s="67"/>
      <c r="C6" s="67">
        <v>13457</v>
      </c>
      <c r="D6" s="67">
        <v>12508</v>
      </c>
      <c r="E6" s="67">
        <v>13308</v>
      </c>
      <c r="F6" s="67">
        <v>14109</v>
      </c>
      <c r="G6" s="67">
        <v>-5096</v>
      </c>
      <c r="H6" s="67">
        <v>17999</v>
      </c>
      <c r="I6" s="67">
        <v>24625</v>
      </c>
      <c r="J6" s="67">
        <v>31765</v>
      </c>
      <c r="K6" s="67">
        <v>61536</v>
      </c>
      <c r="L6" s="67">
        <v>32764</v>
      </c>
      <c r="M6" s="67">
        <v>147633</v>
      </c>
      <c r="O6" s="67" t="s">
        <v>43</v>
      </c>
      <c r="P6" s="67"/>
      <c r="Q6" s="67"/>
      <c r="R6" s="67"/>
      <c r="S6" s="67"/>
      <c r="T6" s="67"/>
      <c r="U6" s="67"/>
      <c r="V6" s="67"/>
      <c r="W6" s="67"/>
      <c r="X6" s="67"/>
      <c r="Y6" s="67"/>
      <c r="Z6" s="67"/>
      <c r="AB6" s="67" t="s">
        <v>117</v>
      </c>
      <c r="AC6" s="67"/>
      <c r="AD6" s="67">
        <v>1713</v>
      </c>
      <c r="AE6" s="67">
        <v>1673</v>
      </c>
      <c r="AF6" s="67">
        <v>1719</v>
      </c>
      <c r="AG6" s="67">
        <v>1741</v>
      </c>
      <c r="AH6" s="67">
        <v>1795</v>
      </c>
      <c r="AI6" s="67">
        <v>4611</v>
      </c>
      <c r="AJ6" s="67">
        <v>4890</v>
      </c>
      <c r="AK6" s="67">
        <v>5482</v>
      </c>
      <c r="AL6" s="67">
        <v>18038</v>
      </c>
      <c r="AM6" s="67">
        <v>9922</v>
      </c>
      <c r="AN6" s="67">
        <v>34545</v>
      </c>
    </row>
    <row r="7" spans="1:40">
      <c r="A7" s="67" t="s">
        <v>66</v>
      </c>
      <c r="B7" s="67"/>
      <c r="C7" s="67"/>
      <c r="D7" s="67"/>
      <c r="E7" s="67"/>
      <c r="F7" s="67"/>
      <c r="G7" s="67"/>
      <c r="H7" s="67"/>
      <c r="I7" s="67"/>
      <c r="J7" s="67"/>
      <c r="K7" s="67"/>
      <c r="L7" s="67"/>
      <c r="M7" s="67"/>
      <c r="O7" s="67" t="s">
        <v>83</v>
      </c>
      <c r="P7" s="67"/>
      <c r="Q7" s="67">
        <v>3945</v>
      </c>
      <c r="R7" s="67">
        <v>1584</v>
      </c>
      <c r="S7" s="67">
        <v>3490</v>
      </c>
      <c r="T7" s="67">
        <v>6197</v>
      </c>
      <c r="U7" s="67">
        <v>2732</v>
      </c>
      <c r="V7" s="67">
        <v>4912</v>
      </c>
      <c r="W7" s="67">
        <v>6958</v>
      </c>
      <c r="X7" s="67">
        <v>9737</v>
      </c>
      <c r="Y7" s="67">
        <v>6891</v>
      </c>
      <c r="Z7" s="67">
        <v>13534</v>
      </c>
      <c r="AB7" s="67" t="s">
        <v>427</v>
      </c>
      <c r="AC7" s="67"/>
      <c r="AD7" s="67"/>
      <c r="AE7" s="67"/>
      <c r="AF7" s="67"/>
      <c r="AG7" s="67"/>
      <c r="AH7" s="67"/>
      <c r="AI7" s="67"/>
      <c r="AJ7" s="67"/>
      <c r="AK7" s="67"/>
      <c r="AL7" s="67"/>
      <c r="AM7" s="67">
        <v>73</v>
      </c>
      <c r="AN7" s="67">
        <v>2067</v>
      </c>
    </row>
    <row r="8" spans="1:40">
      <c r="A8" s="67" t="s">
        <v>67</v>
      </c>
      <c r="B8" s="67"/>
      <c r="C8" s="67">
        <v>6293</v>
      </c>
      <c r="D8" s="67">
        <v>5937</v>
      </c>
      <c r="E8" s="67">
        <v>6135</v>
      </c>
      <c r="F8" s="67">
        <v>7275</v>
      </c>
      <c r="G8" s="67">
        <v>-15991</v>
      </c>
      <c r="H8" s="67">
        <v>2242</v>
      </c>
      <c r="I8" s="67">
        <v>7946</v>
      </c>
      <c r="J8" s="67">
        <v>14459</v>
      </c>
      <c r="K8" s="67">
        <v>30008</v>
      </c>
      <c r="L8" s="67">
        <v>12215</v>
      </c>
      <c r="M8" s="67">
        <v>69854</v>
      </c>
      <c r="O8" s="67" t="s">
        <v>422</v>
      </c>
      <c r="P8" s="67"/>
      <c r="Q8" s="67">
        <v>1751</v>
      </c>
      <c r="R8" s="67">
        <v>4302</v>
      </c>
      <c r="S8" s="67">
        <v>1622</v>
      </c>
      <c r="T8" s="67">
        <v>1941</v>
      </c>
      <c r="U8" s="67">
        <v>3525</v>
      </c>
      <c r="V8" s="67">
        <v>5999</v>
      </c>
      <c r="W8" s="67">
        <v>4305</v>
      </c>
      <c r="X8" s="67">
        <v>6614</v>
      </c>
      <c r="Y8" s="67">
        <v>1371</v>
      </c>
      <c r="Z8" s="67">
        <v>1842</v>
      </c>
      <c r="AB8" s="67" t="s">
        <v>423</v>
      </c>
      <c r="AC8" s="67"/>
      <c r="AD8" s="67"/>
      <c r="AE8" s="67"/>
      <c r="AF8" s="67"/>
      <c r="AG8" s="67"/>
      <c r="AH8" s="67"/>
      <c r="AI8" s="67">
        <v>1382</v>
      </c>
      <c r="AJ8" s="67">
        <v>-7209</v>
      </c>
      <c r="AK8" s="67">
        <v>-2778</v>
      </c>
      <c r="AL8" s="67">
        <v>-168</v>
      </c>
      <c r="AM8" s="67">
        <v>3425</v>
      </c>
      <c r="AN8" s="67">
        <v>-7781</v>
      </c>
    </row>
    <row r="9" spans="1:40">
      <c r="A9" s="67" t="s">
        <v>293</v>
      </c>
      <c r="B9" s="67"/>
      <c r="C9" s="67">
        <v>3504</v>
      </c>
      <c r="D9" s="67">
        <v>3559</v>
      </c>
      <c r="E9" s="67">
        <v>3637</v>
      </c>
      <c r="F9" s="67">
        <v>3630</v>
      </c>
      <c r="G9" s="67">
        <v>6597</v>
      </c>
      <c r="H9" s="67">
        <v>8316</v>
      </c>
      <c r="I9" s="67">
        <v>9491</v>
      </c>
      <c r="J9" s="67">
        <v>10299</v>
      </c>
      <c r="K9" s="67">
        <v>28051</v>
      </c>
      <c r="L9" s="67">
        <v>14924</v>
      </c>
      <c r="M9" s="67">
        <v>57224</v>
      </c>
      <c r="O9" s="67" t="s">
        <v>84</v>
      </c>
      <c r="P9" s="67"/>
      <c r="Q9" s="67">
        <v>5696</v>
      </c>
      <c r="R9" s="67">
        <v>5886</v>
      </c>
      <c r="S9" s="67">
        <v>5112</v>
      </c>
      <c r="T9" s="67">
        <v>8138</v>
      </c>
      <c r="U9" s="67">
        <v>6257</v>
      </c>
      <c r="V9" s="67">
        <v>10911</v>
      </c>
      <c r="W9" s="67">
        <v>11263</v>
      </c>
      <c r="X9" s="67">
        <v>16351</v>
      </c>
      <c r="Y9" s="67">
        <v>8262</v>
      </c>
      <c r="Z9" s="67">
        <v>15376</v>
      </c>
      <c r="AB9" s="67" t="s">
        <v>118</v>
      </c>
      <c r="AC9" s="67"/>
      <c r="AD9" s="67">
        <v>564</v>
      </c>
      <c r="AE9" s="67">
        <v>534</v>
      </c>
      <c r="AF9" s="67">
        <v>764</v>
      </c>
      <c r="AG9" s="67">
        <v>-663</v>
      </c>
      <c r="AH9" s="67">
        <v>-1906</v>
      </c>
      <c r="AI9" s="67">
        <v>-2009</v>
      </c>
      <c r="AJ9" s="67">
        <v>-251</v>
      </c>
      <c r="AK9" s="67">
        <v>5148</v>
      </c>
      <c r="AL9" s="67">
        <v>-11076</v>
      </c>
      <c r="AM9" s="67">
        <v>-5512</v>
      </c>
      <c r="AN9" s="67">
        <v>-88</v>
      </c>
    </row>
    <row r="10" spans="1:40">
      <c r="A10" s="67" t="s">
        <v>68</v>
      </c>
      <c r="B10" s="67"/>
      <c r="C10" s="67">
        <v>9797</v>
      </c>
      <c r="D10" s="67">
        <v>9496</v>
      </c>
      <c r="E10" s="67">
        <v>9772</v>
      </c>
      <c r="F10" s="67">
        <v>10905</v>
      </c>
      <c r="G10" s="67">
        <v>-9394</v>
      </c>
      <c r="H10" s="67">
        <v>10558</v>
      </c>
      <c r="I10" s="67">
        <v>17437</v>
      </c>
      <c r="J10" s="67">
        <v>24758</v>
      </c>
      <c r="K10" s="67">
        <v>58059</v>
      </c>
      <c r="L10" s="67">
        <v>27139</v>
      </c>
      <c r="M10" s="67">
        <v>127078</v>
      </c>
      <c r="O10" s="67" t="s">
        <v>56</v>
      </c>
      <c r="P10" s="67"/>
      <c r="Q10" s="67">
        <v>7577</v>
      </c>
      <c r="R10" s="67">
        <v>8063</v>
      </c>
      <c r="S10" s="67">
        <v>7854</v>
      </c>
      <c r="T10" s="67">
        <v>7824</v>
      </c>
      <c r="U10" s="67">
        <v>8636</v>
      </c>
      <c r="V10" s="67">
        <v>11077</v>
      </c>
      <c r="W10" s="67">
        <v>12176</v>
      </c>
      <c r="X10" s="67">
        <v>12953</v>
      </c>
      <c r="Y10" s="67">
        <v>20002</v>
      </c>
      <c r="Z10" s="67">
        <v>20037</v>
      </c>
      <c r="AB10" s="67" t="s">
        <v>119</v>
      </c>
      <c r="AC10" s="67"/>
      <c r="AD10" s="67">
        <v>69</v>
      </c>
      <c r="AE10" s="67">
        <v>-822</v>
      </c>
      <c r="AF10" s="67">
        <v>-92</v>
      </c>
      <c r="AG10" s="67">
        <v>-181</v>
      </c>
      <c r="AH10" s="67">
        <v>-977</v>
      </c>
      <c r="AI10" s="67">
        <v>-2063</v>
      </c>
      <c r="AJ10" s="67">
        <v>-1899</v>
      </c>
      <c r="AK10" s="67"/>
      <c r="AL10" s="67"/>
      <c r="AM10" s="67">
        <v>1551</v>
      </c>
      <c r="AN10" s="67">
        <v>-321</v>
      </c>
    </row>
    <row r="11" spans="1:40">
      <c r="A11" s="67" t="s">
        <v>69</v>
      </c>
      <c r="B11" s="67"/>
      <c r="C11" s="67">
        <v>3660</v>
      </c>
      <c r="D11" s="67">
        <v>3012</v>
      </c>
      <c r="E11" s="67">
        <v>3536</v>
      </c>
      <c r="F11" s="67">
        <v>3204</v>
      </c>
      <c r="G11" s="67">
        <v>4298</v>
      </c>
      <c r="H11" s="67">
        <v>7441</v>
      </c>
      <c r="I11" s="67">
        <v>7188</v>
      </c>
      <c r="J11" s="67">
        <v>7007</v>
      </c>
      <c r="K11" s="67">
        <v>3477</v>
      </c>
      <c r="L11" s="67">
        <v>5625</v>
      </c>
      <c r="M11" s="67">
        <v>20555</v>
      </c>
      <c r="O11" s="67" t="s">
        <v>85</v>
      </c>
      <c r="P11" s="67"/>
      <c r="Q11" s="67">
        <v>1278</v>
      </c>
      <c r="R11" s="67">
        <v>1229</v>
      </c>
      <c r="S11" s="67">
        <v>1251</v>
      </c>
      <c r="T11" s="67">
        <v>1951</v>
      </c>
      <c r="U11" s="67">
        <v>1854</v>
      </c>
      <c r="V11" s="67">
        <v>2013</v>
      </c>
      <c r="W11" s="67">
        <v>2379</v>
      </c>
      <c r="X11" s="67">
        <v>2831</v>
      </c>
      <c r="Y11" s="67">
        <v>2737</v>
      </c>
      <c r="Z11" s="67">
        <v>3110</v>
      </c>
      <c r="AB11" s="67" t="s">
        <v>120</v>
      </c>
      <c r="AC11" s="67"/>
      <c r="AD11" s="67">
        <v>938</v>
      </c>
      <c r="AE11" s="67">
        <v>27</v>
      </c>
      <c r="AF11" s="67">
        <v>-18</v>
      </c>
      <c r="AG11" s="67">
        <v>-710</v>
      </c>
      <c r="AH11" s="67">
        <v>83</v>
      </c>
      <c r="AI11" s="67">
        <v>-56</v>
      </c>
      <c r="AJ11" s="67">
        <v>-389</v>
      </c>
      <c r="AK11" s="67"/>
      <c r="AL11" s="67"/>
      <c r="AM11" s="67">
        <v>-80</v>
      </c>
      <c r="AN11" s="67">
        <v>-203</v>
      </c>
    </row>
    <row r="12" spans="1:40">
      <c r="A12" s="67" t="s">
        <v>70</v>
      </c>
      <c r="B12" s="67"/>
      <c r="C12" s="67">
        <v>504</v>
      </c>
      <c r="D12" s="67">
        <v>370</v>
      </c>
      <c r="E12" s="67">
        <v>282</v>
      </c>
      <c r="F12" s="67">
        <v>294</v>
      </c>
      <c r="G12" s="67">
        <v>410</v>
      </c>
      <c r="H12" s="67">
        <v>666</v>
      </c>
      <c r="I12" s="67">
        <v>18870</v>
      </c>
      <c r="J12" s="67">
        <v>26580</v>
      </c>
      <c r="K12" s="67">
        <v>-42834</v>
      </c>
      <c r="L12" s="67">
        <v>1770</v>
      </c>
      <c r="M12" s="67">
        <v>6036</v>
      </c>
      <c r="O12" s="67" t="s">
        <v>86</v>
      </c>
      <c r="P12" s="67"/>
      <c r="Q12" s="67">
        <v>620</v>
      </c>
      <c r="R12" s="67">
        <v>748</v>
      </c>
      <c r="S12" s="67">
        <v>719</v>
      </c>
      <c r="T12" s="67">
        <v>651</v>
      </c>
      <c r="U12" s="67">
        <v>845</v>
      </c>
      <c r="V12" s="67">
        <v>1360</v>
      </c>
      <c r="W12" s="67">
        <v>1291</v>
      </c>
      <c r="X12" s="67">
        <v>1751</v>
      </c>
      <c r="Y12" s="67">
        <v>1564</v>
      </c>
      <c r="Z12" s="67">
        <v>1595</v>
      </c>
      <c r="AB12" s="67" t="s">
        <v>58</v>
      </c>
      <c r="AC12" s="67"/>
      <c r="AD12" s="67">
        <v>-684</v>
      </c>
      <c r="AE12" s="67">
        <v>782</v>
      </c>
      <c r="AF12" s="67">
        <v>812</v>
      </c>
      <c r="AG12" s="67">
        <v>373</v>
      </c>
      <c r="AH12" s="67">
        <v>-900</v>
      </c>
      <c r="AI12" s="67">
        <v>1154</v>
      </c>
      <c r="AJ12" s="67">
        <v>436</v>
      </c>
      <c r="AK12" s="67"/>
      <c r="AL12" s="67"/>
      <c r="AM12" s="67">
        <v>-4632</v>
      </c>
      <c r="AN12" s="67">
        <v>-2983</v>
      </c>
    </row>
    <row r="13" spans="1:40">
      <c r="A13" s="67" t="s">
        <v>71</v>
      </c>
      <c r="B13" s="67"/>
      <c r="C13" s="67">
        <v>-1398</v>
      </c>
      <c r="D13" s="67">
        <v>375</v>
      </c>
      <c r="E13" s="67">
        <v>-680</v>
      </c>
      <c r="F13" s="67">
        <v>241</v>
      </c>
      <c r="G13" s="67">
        <v>-1004</v>
      </c>
      <c r="H13" s="67">
        <v>-1912</v>
      </c>
      <c r="I13" s="67">
        <v>-283</v>
      </c>
      <c r="J13" s="67">
        <v>-470</v>
      </c>
      <c r="K13" s="67">
        <v>-16468</v>
      </c>
      <c r="L13" s="67">
        <v>849</v>
      </c>
      <c r="M13" s="67">
        <v>-20951</v>
      </c>
      <c r="O13" s="67" t="s">
        <v>424</v>
      </c>
      <c r="P13" s="67"/>
      <c r="Q13" s="67">
        <v>391</v>
      </c>
      <c r="R13" s="67">
        <v>382</v>
      </c>
      <c r="S13" s="67">
        <v>349</v>
      </c>
      <c r="T13" s="67">
        <v>561</v>
      </c>
      <c r="U13" s="67">
        <v>646</v>
      </c>
      <c r="V13" s="67">
        <v>1066</v>
      </c>
      <c r="W13" s="67">
        <v>2511</v>
      </c>
      <c r="X13" s="67">
        <v>4145</v>
      </c>
      <c r="Y13" s="67">
        <v>922</v>
      </c>
      <c r="Z13" s="67">
        <v>-813</v>
      </c>
      <c r="AB13" s="67" t="s">
        <v>407</v>
      </c>
      <c r="AC13" s="67"/>
      <c r="AD13" s="67">
        <v>240</v>
      </c>
      <c r="AE13" s="67">
        <v>179</v>
      </c>
      <c r="AF13" s="67">
        <v>-11</v>
      </c>
      <c r="AG13" s="67">
        <v>-154</v>
      </c>
      <c r="AH13" s="67">
        <v>968</v>
      </c>
      <c r="AI13" s="67">
        <v>-683</v>
      </c>
      <c r="AJ13" s="67">
        <v>489</v>
      </c>
      <c r="AK13" s="67"/>
      <c r="AL13" s="67"/>
      <c r="AM13" s="67">
        <v>-2079</v>
      </c>
      <c r="AN13" s="67">
        <v>-1370</v>
      </c>
    </row>
    <row r="14" spans="1:40">
      <c r="A14" s="67" t="s">
        <v>72</v>
      </c>
      <c r="B14" s="67"/>
      <c r="C14" s="67">
        <v>1758</v>
      </c>
      <c r="D14" s="67">
        <v>3017</v>
      </c>
      <c r="E14" s="67">
        <v>2574</v>
      </c>
      <c r="F14" s="67">
        <v>3151</v>
      </c>
      <c r="G14" s="67">
        <v>2884</v>
      </c>
      <c r="H14" s="67">
        <v>4863</v>
      </c>
      <c r="I14" s="67">
        <v>-11965</v>
      </c>
      <c r="J14" s="67">
        <v>-20043</v>
      </c>
      <c r="K14" s="67">
        <v>29843</v>
      </c>
      <c r="L14" s="67">
        <v>4704</v>
      </c>
      <c r="M14" s="67">
        <v>-6432</v>
      </c>
      <c r="O14" s="67" t="s">
        <v>87</v>
      </c>
      <c r="P14" s="67"/>
      <c r="Q14" s="67">
        <v>15562</v>
      </c>
      <c r="R14" s="67">
        <v>16308</v>
      </c>
      <c r="S14" s="67">
        <v>15285</v>
      </c>
      <c r="T14" s="67">
        <v>19125</v>
      </c>
      <c r="U14" s="67">
        <v>18238</v>
      </c>
      <c r="V14" s="67">
        <v>26427</v>
      </c>
      <c r="W14" s="67">
        <v>29620</v>
      </c>
      <c r="X14" s="67">
        <v>38031</v>
      </c>
      <c r="Y14" s="67">
        <v>33487</v>
      </c>
      <c r="Z14" s="67">
        <v>39305</v>
      </c>
      <c r="AB14" s="67" t="s">
        <v>121</v>
      </c>
      <c r="AC14" s="67"/>
      <c r="AD14" s="67">
        <v>1</v>
      </c>
      <c r="AE14" s="67">
        <v>368</v>
      </c>
      <c r="AF14" s="67">
        <v>73</v>
      </c>
      <c r="AG14" s="67">
        <v>9</v>
      </c>
      <c r="AH14" s="67">
        <v>-1080</v>
      </c>
      <c r="AI14" s="67">
        <v>-361</v>
      </c>
      <c r="AJ14" s="67">
        <v>1112</v>
      </c>
      <c r="AK14" s="67">
        <v>5148</v>
      </c>
      <c r="AL14" s="67">
        <v>-11076</v>
      </c>
      <c r="AM14" s="67">
        <v>-272</v>
      </c>
      <c r="AN14" s="67">
        <v>4789</v>
      </c>
    </row>
    <row r="15" spans="1:40">
      <c r="A15" s="67" t="s">
        <v>73</v>
      </c>
      <c r="B15" s="67"/>
      <c r="C15" s="67">
        <v>248</v>
      </c>
      <c r="D15" s="67">
        <v>1051</v>
      </c>
      <c r="E15" s="67">
        <v>901</v>
      </c>
      <c r="F15" s="67">
        <v>1095</v>
      </c>
      <c r="G15" s="67">
        <v>855</v>
      </c>
      <c r="H15" s="67">
        <v>1382</v>
      </c>
      <c r="I15" s="67">
        <v>-3612</v>
      </c>
      <c r="J15" s="67">
        <v>-6375</v>
      </c>
      <c r="K15" s="67">
        <v>5767</v>
      </c>
      <c r="L15" s="67">
        <v>3425</v>
      </c>
      <c r="M15" s="67">
        <v>-1846</v>
      </c>
      <c r="O15" s="67" t="s">
        <v>88</v>
      </c>
      <c r="P15" s="67"/>
      <c r="Q15" s="67"/>
      <c r="R15" s="67"/>
      <c r="S15" s="67"/>
      <c r="T15" s="67"/>
      <c r="U15" s="67"/>
      <c r="V15" s="67"/>
      <c r="W15" s="67"/>
      <c r="X15" s="67"/>
      <c r="Y15" s="67"/>
      <c r="Z15" s="67"/>
      <c r="AB15" s="67" t="s">
        <v>122</v>
      </c>
      <c r="AC15" s="67"/>
      <c r="AD15" s="67">
        <v>1219</v>
      </c>
      <c r="AE15" s="67">
        <v>1395</v>
      </c>
      <c r="AF15" s="67">
        <v>1082</v>
      </c>
      <c r="AG15" s="67">
        <v>1628</v>
      </c>
      <c r="AH15" s="67">
        <v>1846</v>
      </c>
      <c r="AI15" s="67">
        <v>1735</v>
      </c>
      <c r="AJ15" s="67">
        <v>18204</v>
      </c>
      <c r="AK15" s="67">
        <v>16712</v>
      </c>
      <c r="AL15" s="67">
        <v>-15821</v>
      </c>
      <c r="AM15" s="67">
        <v>5304</v>
      </c>
      <c r="AN15" s="67">
        <v>19230</v>
      </c>
    </row>
    <row r="16" spans="1:40">
      <c r="A16" s="67" t="s">
        <v>74</v>
      </c>
      <c r="B16" s="67"/>
      <c r="C16" s="67">
        <v>1510</v>
      </c>
      <c r="D16" s="67">
        <v>1966</v>
      </c>
      <c r="E16" s="67">
        <v>1673</v>
      </c>
      <c r="F16" s="67">
        <v>2056</v>
      </c>
      <c r="G16" s="67">
        <v>2029</v>
      </c>
      <c r="H16" s="67">
        <v>3481</v>
      </c>
      <c r="I16" s="67">
        <v>-8353</v>
      </c>
      <c r="J16" s="67">
        <v>-13668</v>
      </c>
      <c r="K16" s="67">
        <v>24076</v>
      </c>
      <c r="L16" s="67">
        <v>1279</v>
      </c>
      <c r="M16" s="67">
        <v>-4586</v>
      </c>
      <c r="O16" s="67" t="s">
        <v>89</v>
      </c>
      <c r="P16" s="67"/>
      <c r="Q16" s="67"/>
      <c r="R16" s="67"/>
      <c r="S16" s="67"/>
      <c r="T16" s="67"/>
      <c r="U16" s="67"/>
      <c r="V16" s="67"/>
      <c r="W16" s="67"/>
      <c r="X16" s="67"/>
      <c r="Y16" s="67"/>
      <c r="Z16" s="67"/>
      <c r="AB16" s="67" t="s">
        <v>123</v>
      </c>
      <c r="AC16" s="67"/>
      <c r="AD16" s="67">
        <v>5006</v>
      </c>
      <c r="AE16" s="67">
        <v>5568</v>
      </c>
      <c r="AF16" s="67">
        <v>5238</v>
      </c>
      <c r="AG16" s="67">
        <v>4762</v>
      </c>
      <c r="AH16" s="67">
        <v>3764</v>
      </c>
      <c r="AI16" s="67">
        <v>9200</v>
      </c>
      <c r="AJ16" s="67">
        <v>7281</v>
      </c>
      <c r="AK16" s="67">
        <v>10896</v>
      </c>
      <c r="AL16" s="67">
        <v>15049</v>
      </c>
      <c r="AM16" s="67">
        <v>14491</v>
      </c>
      <c r="AN16" s="67">
        <v>43387</v>
      </c>
    </row>
    <row r="17" spans="1:40">
      <c r="A17" s="67" t="s">
        <v>421</v>
      </c>
      <c r="B17" s="67"/>
      <c r="C17" s="67">
        <v>-6</v>
      </c>
      <c r="D17" s="67">
        <v>-11</v>
      </c>
      <c r="E17" s="67">
        <v>-13</v>
      </c>
      <c r="F17" s="67">
        <v>-30</v>
      </c>
      <c r="G17" s="67">
        <v>-40</v>
      </c>
      <c r="H17" s="67">
        <v>-21</v>
      </c>
      <c r="I17" s="67">
        <v>-19</v>
      </c>
      <c r="J17" s="67">
        <v>-9</v>
      </c>
      <c r="K17" s="67">
        <v>-193</v>
      </c>
      <c r="L17" s="67">
        <v>-47</v>
      </c>
      <c r="M17" s="67">
        <v>-262</v>
      </c>
      <c r="O17" s="67" t="s">
        <v>90</v>
      </c>
      <c r="P17" s="67"/>
      <c r="Q17" s="67">
        <v>62718</v>
      </c>
      <c r="R17" s="67"/>
      <c r="S17" s="67">
        <v>25179</v>
      </c>
      <c r="T17" s="67">
        <v>26822</v>
      </c>
      <c r="U17" s="67">
        <v>73713</v>
      </c>
      <c r="V17" s="67">
        <v>87196</v>
      </c>
      <c r="W17" s="67">
        <v>103962</v>
      </c>
      <c r="X17" s="67">
        <v>97782</v>
      </c>
      <c r="Y17" s="67">
        <v>201245</v>
      </c>
      <c r="Z17" s="67">
        <v>168581</v>
      </c>
      <c r="AB17" s="67" t="s">
        <v>124</v>
      </c>
      <c r="AC17" s="67"/>
      <c r="AD17" s="67"/>
      <c r="AE17" s="67"/>
      <c r="AF17" s="67"/>
      <c r="AG17" s="67"/>
      <c r="AH17" s="67"/>
      <c r="AI17" s="67"/>
      <c r="AJ17" s="67"/>
      <c r="AK17" s="67"/>
      <c r="AL17" s="67"/>
      <c r="AM17" s="67"/>
      <c r="AN17" s="67"/>
    </row>
    <row r="18" spans="1:40">
      <c r="A18" s="67" t="s">
        <v>75</v>
      </c>
      <c r="B18" s="67"/>
      <c r="C18" s="67">
        <v>1504</v>
      </c>
      <c r="D18" s="67">
        <v>1955</v>
      </c>
      <c r="E18" s="67">
        <v>1660</v>
      </c>
      <c r="F18" s="67">
        <v>2026</v>
      </c>
      <c r="G18" s="67">
        <v>1989</v>
      </c>
      <c r="H18" s="67">
        <v>3460</v>
      </c>
      <c r="I18" s="67">
        <v>-8372</v>
      </c>
      <c r="J18" s="67">
        <v>-13677</v>
      </c>
      <c r="K18" s="67">
        <v>23883</v>
      </c>
      <c r="L18" s="67">
        <v>1232</v>
      </c>
      <c r="M18" s="67">
        <v>-4848</v>
      </c>
      <c r="O18" s="67" t="s">
        <v>91</v>
      </c>
      <c r="P18" s="67"/>
      <c r="Q18" s="67">
        <v>-39553</v>
      </c>
      <c r="R18" s="67"/>
      <c r="S18" s="67">
        <v>-452</v>
      </c>
      <c r="T18" s="67">
        <v>-489</v>
      </c>
      <c r="U18" s="67">
        <v>-45175</v>
      </c>
      <c r="V18" s="67">
        <v>-564</v>
      </c>
      <c r="W18" s="67">
        <v>-12377</v>
      </c>
      <c r="X18" s="67">
        <v>-269</v>
      </c>
      <c r="Y18" s="67">
        <v>-50769</v>
      </c>
      <c r="Z18" s="67">
        <v>-923</v>
      </c>
      <c r="AB18" s="67" t="s">
        <v>125</v>
      </c>
      <c r="AC18" s="67"/>
      <c r="AD18" s="67">
        <v>-2733</v>
      </c>
      <c r="AE18" s="67">
        <v>-2366</v>
      </c>
      <c r="AF18" s="67">
        <v>-2396</v>
      </c>
      <c r="AG18" s="67">
        <v>-3063</v>
      </c>
      <c r="AH18" s="67">
        <v>-2902</v>
      </c>
      <c r="AI18" s="67">
        <v>-5638</v>
      </c>
      <c r="AJ18" s="67">
        <v>-7439</v>
      </c>
      <c r="AK18" s="67">
        <v>-8738</v>
      </c>
      <c r="AL18" s="67">
        <v>-17759</v>
      </c>
      <c r="AM18" s="67">
        <v>-7744</v>
      </c>
      <c r="AN18" s="67">
        <v>-39096</v>
      </c>
    </row>
    <row r="19" spans="1:40">
      <c r="A19" s="67" t="s">
        <v>76</v>
      </c>
      <c r="B19" s="67"/>
      <c r="C19" s="67">
        <v>1504</v>
      </c>
      <c r="D19" s="67">
        <v>1955</v>
      </c>
      <c r="E19" s="67">
        <v>1660</v>
      </c>
      <c r="F19" s="67">
        <v>2026</v>
      </c>
      <c r="G19" s="67">
        <v>1989</v>
      </c>
      <c r="H19" s="67">
        <v>3460</v>
      </c>
      <c r="I19" s="67">
        <v>-8372</v>
      </c>
      <c r="J19" s="67">
        <v>-13677</v>
      </c>
      <c r="K19" s="67">
        <v>23883</v>
      </c>
      <c r="L19" s="67">
        <v>1232</v>
      </c>
      <c r="M19" s="67">
        <v>-4848</v>
      </c>
      <c r="O19" s="67" t="s">
        <v>92</v>
      </c>
      <c r="P19" s="67"/>
      <c r="Q19" s="67">
        <v>23165</v>
      </c>
      <c r="R19" s="67">
        <v>23526</v>
      </c>
      <c r="S19" s="67">
        <v>24727</v>
      </c>
      <c r="T19" s="67">
        <v>26333</v>
      </c>
      <c r="U19" s="67">
        <v>28538</v>
      </c>
      <c r="V19" s="67">
        <v>86632</v>
      </c>
      <c r="W19" s="67">
        <v>91585</v>
      </c>
      <c r="X19" s="67">
        <v>97513</v>
      </c>
      <c r="Y19" s="67">
        <v>150476</v>
      </c>
      <c r="Z19" s="67">
        <v>167658</v>
      </c>
      <c r="AB19" s="67" t="s">
        <v>460</v>
      </c>
      <c r="AC19" s="67"/>
      <c r="AD19" s="67">
        <v>6</v>
      </c>
      <c r="AE19" s="67">
        <v>4</v>
      </c>
      <c r="AF19" s="67">
        <v>11</v>
      </c>
      <c r="AG19" s="67">
        <v>8</v>
      </c>
      <c r="AH19" s="67">
        <v>4</v>
      </c>
      <c r="AI19" s="67">
        <v>4</v>
      </c>
      <c r="AJ19" s="67"/>
      <c r="AK19" s="67">
        <v>27</v>
      </c>
      <c r="AL19" s="67">
        <v>-25</v>
      </c>
      <c r="AM19" s="67">
        <v>1</v>
      </c>
      <c r="AN19" s="67">
        <v>1</v>
      </c>
    </row>
    <row r="20" spans="1:40">
      <c r="A20" s="67" t="s">
        <v>77</v>
      </c>
      <c r="B20" s="67"/>
      <c r="C20" s="67"/>
      <c r="D20" s="67"/>
      <c r="E20" s="67"/>
      <c r="F20" s="67"/>
      <c r="G20" s="67"/>
      <c r="H20" s="67"/>
      <c r="I20" s="67"/>
      <c r="J20" s="67"/>
      <c r="K20" s="67"/>
      <c r="L20" s="67"/>
      <c r="M20" s="67"/>
      <c r="O20" s="67" t="s">
        <v>57</v>
      </c>
      <c r="P20" s="67"/>
      <c r="Q20" s="67">
        <v>347</v>
      </c>
      <c r="R20" s="67">
        <v>316</v>
      </c>
      <c r="S20" s="67">
        <v>3532</v>
      </c>
      <c r="T20" s="67">
        <v>4136</v>
      </c>
      <c r="U20" s="67">
        <v>2657</v>
      </c>
      <c r="V20" s="67">
        <v>2948</v>
      </c>
      <c r="W20" s="67">
        <v>3931</v>
      </c>
      <c r="X20" s="67">
        <v>5524</v>
      </c>
      <c r="Y20" s="67">
        <v>5595</v>
      </c>
      <c r="Z20" s="67">
        <v>4967</v>
      </c>
      <c r="AB20" s="67" t="s">
        <v>319</v>
      </c>
      <c r="AC20" s="67"/>
      <c r="AD20" s="67"/>
      <c r="AE20" s="67"/>
      <c r="AF20" s="67"/>
      <c r="AG20" s="67"/>
      <c r="AH20" s="67">
        <v>6</v>
      </c>
      <c r="AI20" s="67">
        <v>2831</v>
      </c>
      <c r="AJ20" s="67">
        <v>-181</v>
      </c>
      <c r="AK20" s="67"/>
      <c r="AL20" s="67">
        <v>1286</v>
      </c>
      <c r="AM20" s="67"/>
      <c r="AN20" s="67">
        <v>-729</v>
      </c>
    </row>
    <row r="21" spans="1:40">
      <c r="A21" s="67" t="s">
        <v>78</v>
      </c>
      <c r="B21" s="67"/>
      <c r="C21" s="67">
        <v>7.76</v>
      </c>
      <c r="D21" s="67">
        <v>10.1</v>
      </c>
      <c r="E21" s="67">
        <v>8.5500000000000007</v>
      </c>
      <c r="F21" s="67">
        <v>10.45</v>
      </c>
      <c r="G21" s="67">
        <v>10.26</v>
      </c>
      <c r="H21" s="67">
        <v>8.0500000000000007</v>
      </c>
      <c r="I21" s="67">
        <v>-19.45</v>
      </c>
      <c r="J21" s="67">
        <v>-31.75</v>
      </c>
      <c r="K21" s="67">
        <v>55.45</v>
      </c>
      <c r="L21" s="67">
        <v>2.85</v>
      </c>
      <c r="M21" s="67">
        <v>-11.25</v>
      </c>
      <c r="O21" s="67" t="s">
        <v>294</v>
      </c>
      <c r="P21" s="67"/>
      <c r="Q21" s="67"/>
      <c r="R21" s="67"/>
      <c r="S21" s="67">
        <v>2</v>
      </c>
      <c r="T21" s="67">
        <v>2</v>
      </c>
      <c r="U21" s="67">
        <v>2</v>
      </c>
      <c r="V21" s="67">
        <v>63817</v>
      </c>
      <c r="W21" s="67">
        <v>63903</v>
      </c>
      <c r="X21" s="67">
        <v>64073</v>
      </c>
      <c r="Y21" s="67">
        <v>120449</v>
      </c>
      <c r="Z21" s="67">
        <v>134635</v>
      </c>
      <c r="AB21" s="67" t="s">
        <v>126</v>
      </c>
      <c r="AC21" s="67"/>
      <c r="AD21" s="67"/>
      <c r="AE21" s="67"/>
      <c r="AF21" s="67"/>
      <c r="AG21" s="67">
        <v>-609</v>
      </c>
      <c r="AH21" s="67">
        <v>648</v>
      </c>
      <c r="AI21" s="67"/>
      <c r="AJ21" s="67"/>
      <c r="AK21" s="67"/>
      <c r="AL21" s="67"/>
      <c r="AM21" s="67"/>
      <c r="AN21" s="67"/>
    </row>
    <row r="22" spans="1:40">
      <c r="A22" s="67" t="s">
        <v>79</v>
      </c>
      <c r="B22" s="67"/>
      <c r="C22" s="67">
        <v>7.76</v>
      </c>
      <c r="D22" s="67">
        <v>10.1</v>
      </c>
      <c r="E22" s="67">
        <v>8.5500000000000007</v>
      </c>
      <c r="F22" s="67">
        <v>10.45</v>
      </c>
      <c r="G22" s="67">
        <v>10.26</v>
      </c>
      <c r="H22" s="67">
        <v>8.0500000000000007</v>
      </c>
      <c r="I22" s="67">
        <v>-19.45</v>
      </c>
      <c r="J22" s="67">
        <v>-31.75</v>
      </c>
      <c r="K22" s="67">
        <v>55.45</v>
      </c>
      <c r="L22" s="67">
        <v>2.85</v>
      </c>
      <c r="M22" s="67">
        <v>-11.25</v>
      </c>
      <c r="O22" s="67" t="s">
        <v>295</v>
      </c>
      <c r="P22" s="67"/>
      <c r="Q22" s="67">
        <v>7592</v>
      </c>
      <c r="R22" s="67">
        <v>7387</v>
      </c>
      <c r="S22" s="67">
        <v>7379</v>
      </c>
      <c r="T22" s="67">
        <v>7192</v>
      </c>
      <c r="U22" s="67">
        <v>7096</v>
      </c>
      <c r="V22" s="67">
        <v>42351</v>
      </c>
      <c r="W22" s="67">
        <v>42024</v>
      </c>
      <c r="X22" s="67">
        <v>42180</v>
      </c>
      <c r="Y22" s="67">
        <v>59870</v>
      </c>
      <c r="Z22" s="67">
        <v>65338</v>
      </c>
      <c r="AB22" s="67" t="s">
        <v>127</v>
      </c>
      <c r="AC22" s="67"/>
      <c r="AD22" s="67"/>
      <c r="AE22" s="67"/>
      <c r="AF22" s="67"/>
      <c r="AG22" s="67"/>
      <c r="AH22" s="67"/>
      <c r="AI22" s="67">
        <v>1015</v>
      </c>
      <c r="AJ22" s="67">
        <v>480</v>
      </c>
      <c r="AK22" s="67">
        <v>563</v>
      </c>
      <c r="AL22" s="67">
        <v>5139</v>
      </c>
      <c r="AM22" s="67">
        <v>1090</v>
      </c>
      <c r="AN22" s="67">
        <v>6678</v>
      </c>
    </row>
    <row r="23" spans="1:40">
      <c r="A23" s="67" t="s">
        <v>80</v>
      </c>
      <c r="B23" s="67"/>
      <c r="C23" s="67"/>
      <c r="D23" s="67"/>
      <c r="E23" s="67"/>
      <c r="F23" s="67"/>
      <c r="G23" s="67"/>
      <c r="H23" s="67"/>
      <c r="I23" s="67"/>
      <c r="J23" s="67"/>
      <c r="K23" s="67"/>
      <c r="L23" s="67"/>
      <c r="M23" s="67"/>
      <c r="O23" s="67" t="s">
        <v>423</v>
      </c>
      <c r="P23" s="67"/>
      <c r="Q23" s="67"/>
      <c r="R23" s="67"/>
      <c r="S23" s="67"/>
      <c r="T23" s="67"/>
      <c r="U23" s="67"/>
      <c r="V23" s="67">
        <v>50</v>
      </c>
      <c r="W23" s="67">
        <v>58</v>
      </c>
      <c r="X23" s="67">
        <v>78</v>
      </c>
      <c r="Y23" s="67">
        <v>78</v>
      </c>
      <c r="Z23" s="67">
        <v>128</v>
      </c>
      <c r="AB23" s="67" t="s">
        <v>428</v>
      </c>
      <c r="AC23" s="67"/>
      <c r="AD23" s="67">
        <v>-481</v>
      </c>
      <c r="AE23" s="67">
        <v>-260</v>
      </c>
      <c r="AF23" s="67">
        <v>-249</v>
      </c>
      <c r="AG23" s="67">
        <v>-214</v>
      </c>
      <c r="AH23" s="67">
        <v>-248</v>
      </c>
      <c r="AI23" s="67">
        <v>-686</v>
      </c>
      <c r="AJ23" s="67">
        <v>-494</v>
      </c>
      <c r="AK23" s="67">
        <v>-38</v>
      </c>
      <c r="AL23" s="67">
        <v>-1688</v>
      </c>
      <c r="AM23" s="67">
        <v>-298</v>
      </c>
      <c r="AN23" s="67">
        <v>-2099</v>
      </c>
    </row>
    <row r="24" spans="1:40">
      <c r="A24" s="67" t="s">
        <v>78</v>
      </c>
      <c r="B24" s="67"/>
      <c r="C24" s="67">
        <v>194</v>
      </c>
      <c r="D24" s="67">
        <v>194</v>
      </c>
      <c r="E24" s="67">
        <v>194</v>
      </c>
      <c r="F24" s="67">
        <v>194</v>
      </c>
      <c r="G24" s="67">
        <v>194</v>
      </c>
      <c r="H24" s="67">
        <v>431</v>
      </c>
      <c r="I24" s="67">
        <v>431</v>
      </c>
      <c r="J24" s="67">
        <v>431</v>
      </c>
      <c r="K24" s="67">
        <v>431</v>
      </c>
      <c r="L24" s="67">
        <v>431</v>
      </c>
      <c r="M24" s="67">
        <v>431</v>
      </c>
      <c r="O24" s="67" t="s">
        <v>93</v>
      </c>
      <c r="P24" s="67"/>
      <c r="Q24" s="67">
        <v>1248</v>
      </c>
      <c r="R24" s="67">
        <v>1333</v>
      </c>
      <c r="S24" s="67">
        <v>1241</v>
      </c>
      <c r="T24" s="67">
        <v>1247</v>
      </c>
      <c r="U24" s="67">
        <v>1057</v>
      </c>
      <c r="V24" s="67">
        <v>909</v>
      </c>
      <c r="W24" s="67">
        <v>1194</v>
      </c>
      <c r="X24" s="67">
        <v>1486</v>
      </c>
      <c r="Y24" s="67">
        <v>1783</v>
      </c>
      <c r="Z24" s="67">
        <v>7233</v>
      </c>
      <c r="AB24" s="67" t="s">
        <v>128</v>
      </c>
      <c r="AC24" s="67"/>
      <c r="AD24" s="67">
        <v>-1159</v>
      </c>
      <c r="AE24" s="67">
        <v>-2528</v>
      </c>
      <c r="AF24" s="67">
        <v>-136</v>
      </c>
      <c r="AG24" s="67"/>
      <c r="AH24" s="67">
        <v>-4</v>
      </c>
      <c r="AI24" s="67">
        <v>18</v>
      </c>
      <c r="AJ24" s="67">
        <v>18</v>
      </c>
      <c r="AK24" s="67"/>
      <c r="AL24" s="67">
        <v>20</v>
      </c>
      <c r="AM24" s="67">
        <v>78</v>
      </c>
      <c r="AN24" s="67">
        <v>106</v>
      </c>
    </row>
    <row r="25" spans="1:40">
      <c r="A25" s="67" t="s">
        <v>79</v>
      </c>
      <c r="B25" s="67"/>
      <c r="C25" s="67">
        <v>194</v>
      </c>
      <c r="D25" s="67">
        <v>194</v>
      </c>
      <c r="E25" s="67">
        <v>194</v>
      </c>
      <c r="F25" s="67">
        <v>194</v>
      </c>
      <c r="G25" s="67">
        <v>194</v>
      </c>
      <c r="H25" s="67">
        <v>431</v>
      </c>
      <c r="I25" s="67">
        <v>431</v>
      </c>
      <c r="J25" s="67">
        <v>431</v>
      </c>
      <c r="K25" s="67">
        <v>431</v>
      </c>
      <c r="L25" s="67">
        <v>431</v>
      </c>
      <c r="M25" s="67">
        <v>431</v>
      </c>
      <c r="O25" s="67" t="s">
        <v>94</v>
      </c>
      <c r="P25" s="67"/>
      <c r="Q25" s="67">
        <v>32352</v>
      </c>
      <c r="R25" s="67">
        <v>32562</v>
      </c>
      <c r="S25" s="67">
        <v>36881</v>
      </c>
      <c r="T25" s="67">
        <v>38910</v>
      </c>
      <c r="U25" s="67">
        <v>39350</v>
      </c>
      <c r="V25" s="67">
        <v>196707</v>
      </c>
      <c r="W25" s="67">
        <v>202695</v>
      </c>
      <c r="X25" s="67">
        <v>210854</v>
      </c>
      <c r="Y25" s="67">
        <v>338251</v>
      </c>
      <c r="Z25" s="67">
        <v>379959</v>
      </c>
      <c r="AB25" s="67" t="s">
        <v>129</v>
      </c>
      <c r="AC25" s="67"/>
      <c r="AD25" s="67">
        <v>-4367</v>
      </c>
      <c r="AE25" s="67">
        <v>-5150</v>
      </c>
      <c r="AF25" s="67">
        <v>-2770</v>
      </c>
      <c r="AG25" s="67">
        <v>-3878</v>
      </c>
      <c r="AH25" s="67">
        <v>-2496</v>
      </c>
      <c r="AI25" s="67">
        <v>-2456</v>
      </c>
      <c r="AJ25" s="67">
        <v>-7616</v>
      </c>
      <c r="AK25" s="67">
        <v>-8186</v>
      </c>
      <c r="AL25" s="67">
        <v>-13027</v>
      </c>
      <c r="AM25" s="67">
        <v>-6873</v>
      </c>
      <c r="AN25" s="67">
        <v>-35139</v>
      </c>
    </row>
    <row r="26" spans="1:40">
      <c r="A26" s="67" t="s">
        <v>14</v>
      </c>
      <c r="B26" s="67"/>
      <c r="C26" s="67">
        <v>3975</v>
      </c>
      <c r="D26" s="67">
        <v>5060</v>
      </c>
      <c r="E26" s="67">
        <v>4575</v>
      </c>
      <c r="F26" s="67">
        <v>5186</v>
      </c>
      <c r="G26" s="67">
        <v>5089</v>
      </c>
      <c r="H26" s="67">
        <v>10140</v>
      </c>
      <c r="I26" s="67">
        <v>11880</v>
      </c>
      <c r="J26" s="67">
        <v>12147</v>
      </c>
      <c r="K26" s="67">
        <v>6868</v>
      </c>
      <c r="L26" s="67">
        <v>16396</v>
      </c>
      <c r="M26" s="67">
        <v>36239</v>
      </c>
      <c r="O26" s="67" t="s">
        <v>95</v>
      </c>
      <c r="P26" s="67"/>
      <c r="Q26" s="67">
        <v>47914</v>
      </c>
      <c r="R26" s="67">
        <v>48870</v>
      </c>
      <c r="S26" s="67">
        <v>52166</v>
      </c>
      <c r="T26" s="67">
        <v>58035</v>
      </c>
      <c r="U26" s="67">
        <v>57588</v>
      </c>
      <c r="V26" s="67">
        <v>223134</v>
      </c>
      <c r="W26" s="67">
        <v>232315</v>
      </c>
      <c r="X26" s="67">
        <v>248885</v>
      </c>
      <c r="Y26" s="67">
        <v>371738</v>
      </c>
      <c r="Z26" s="67">
        <v>419264</v>
      </c>
      <c r="AB26" s="67" t="s">
        <v>130</v>
      </c>
      <c r="AC26" s="67"/>
      <c r="AD26" s="67"/>
      <c r="AE26" s="67"/>
      <c r="AF26" s="67"/>
      <c r="AG26" s="67"/>
      <c r="AH26" s="67"/>
      <c r="AI26" s="67"/>
      <c r="AJ26" s="67"/>
      <c r="AK26" s="67"/>
      <c r="AL26" s="67"/>
      <c r="AM26" s="67"/>
      <c r="AN26" s="67"/>
    </row>
    <row r="27" spans="1:40">
      <c r="A27" s="67"/>
      <c r="B27" s="67"/>
      <c r="C27" s="67"/>
      <c r="D27" s="67"/>
      <c r="E27" s="67"/>
      <c r="F27" s="67"/>
      <c r="G27" s="67"/>
      <c r="H27" s="67"/>
      <c r="I27" s="67"/>
      <c r="J27" s="67"/>
      <c r="K27" s="67"/>
      <c r="L27" s="67"/>
      <c r="M27" s="67"/>
      <c r="O27" s="67" t="s">
        <v>96</v>
      </c>
      <c r="P27" s="67"/>
      <c r="Q27" s="67"/>
      <c r="R27" s="67"/>
      <c r="S27" s="67"/>
      <c r="T27" s="67"/>
      <c r="U27" s="67"/>
      <c r="V27" s="67"/>
      <c r="W27" s="67"/>
      <c r="X27" s="67"/>
      <c r="Y27" s="67"/>
      <c r="Z27" s="67"/>
      <c r="AB27" s="67" t="s">
        <v>131</v>
      </c>
      <c r="AC27" s="67"/>
      <c r="AD27" s="67">
        <v>4859</v>
      </c>
      <c r="AE27" s="67">
        <v>1</v>
      </c>
      <c r="AF27" s="67">
        <v>24</v>
      </c>
      <c r="AG27" s="67">
        <v>2237</v>
      </c>
      <c r="AH27" s="67">
        <v>-532</v>
      </c>
      <c r="AI27" s="67">
        <v>20889</v>
      </c>
      <c r="AJ27" s="67">
        <v>165</v>
      </c>
      <c r="AK27" s="67">
        <v>1134</v>
      </c>
      <c r="AL27" s="67">
        <v>5581</v>
      </c>
      <c r="AM27" s="67">
        <v>12397</v>
      </c>
      <c r="AN27" s="67">
        <v>7329</v>
      </c>
    </row>
    <row r="28" spans="1:40">
      <c r="A28" s="67"/>
      <c r="B28" s="67"/>
      <c r="C28" s="67"/>
      <c r="D28" s="67"/>
      <c r="E28" s="67"/>
      <c r="F28" s="67"/>
      <c r="G28" s="67"/>
      <c r="H28" s="67"/>
      <c r="I28" s="67"/>
      <c r="J28" s="67"/>
      <c r="K28" s="67"/>
      <c r="L28" s="67"/>
      <c r="M28" s="67"/>
      <c r="O28" s="67" t="s">
        <v>97</v>
      </c>
      <c r="P28" s="67"/>
      <c r="Q28" s="67"/>
      <c r="R28" s="67"/>
      <c r="S28" s="67"/>
      <c r="T28" s="67"/>
      <c r="U28" s="67"/>
      <c r="V28" s="67"/>
      <c r="W28" s="67"/>
      <c r="X28" s="67"/>
      <c r="Y28" s="67"/>
      <c r="Z28" s="67"/>
      <c r="AB28" s="67" t="s">
        <v>132</v>
      </c>
      <c r="AC28" s="67"/>
      <c r="AD28" s="67">
        <v>-1705</v>
      </c>
      <c r="AE28" s="67">
        <v>-2406</v>
      </c>
      <c r="AF28" s="67">
        <v>-540</v>
      </c>
      <c r="AG28" s="67">
        <v>-73</v>
      </c>
      <c r="AH28" s="67">
        <v>33</v>
      </c>
      <c r="AI28" s="67">
        <v>-294</v>
      </c>
      <c r="AJ28" s="67">
        <v>-1116</v>
      </c>
      <c r="AK28" s="67">
        <v>-1153</v>
      </c>
      <c r="AL28" s="67">
        <v>-1949</v>
      </c>
      <c r="AM28" s="67">
        <v>-12047</v>
      </c>
      <c r="AN28" s="67">
        <v>-16092</v>
      </c>
    </row>
    <row r="29" spans="1:40">
      <c r="O29" s="67" t="s">
        <v>98</v>
      </c>
      <c r="P29" s="67"/>
      <c r="Q29" s="67"/>
      <c r="R29" s="67"/>
      <c r="S29" s="67"/>
      <c r="T29" s="67"/>
      <c r="U29" s="67"/>
      <c r="V29" s="67"/>
      <c r="W29" s="67"/>
      <c r="X29" s="67"/>
      <c r="Y29" s="67"/>
      <c r="Z29" s="67"/>
      <c r="AB29" s="67" t="s">
        <v>133</v>
      </c>
      <c r="AC29" s="67"/>
      <c r="AD29" s="67"/>
      <c r="AE29" s="67"/>
      <c r="AF29" s="67">
        <v>-17</v>
      </c>
      <c r="AG29" s="67">
        <v>-1</v>
      </c>
      <c r="AH29" s="67">
        <v>-4174</v>
      </c>
      <c r="AI29" s="67">
        <v>-23951</v>
      </c>
      <c r="AJ29" s="67">
        <v>-162</v>
      </c>
      <c r="AK29" s="67"/>
      <c r="AL29" s="67">
        <v>-10017</v>
      </c>
      <c r="AM29" s="67"/>
      <c r="AN29" s="67">
        <v>3714</v>
      </c>
    </row>
    <row r="30" spans="1:40">
      <c r="A30" s="4"/>
      <c r="B30" s="4"/>
      <c r="C30" s="4"/>
      <c r="D30" s="4"/>
      <c r="E30" s="4"/>
      <c r="F30" s="4"/>
      <c r="G30" s="4"/>
      <c r="H30" s="7"/>
      <c r="I30" s="7"/>
      <c r="J30" s="7"/>
      <c r="K30" s="7"/>
      <c r="L30" s="4"/>
      <c r="M30" s="4"/>
      <c r="O30" s="67" t="s">
        <v>99</v>
      </c>
      <c r="P30" s="67"/>
      <c r="Q30" s="67">
        <v>3266</v>
      </c>
      <c r="R30" s="67">
        <v>788</v>
      </c>
      <c r="S30" s="67">
        <v>1010</v>
      </c>
      <c r="T30" s="67">
        <v>1461</v>
      </c>
      <c r="U30" s="67">
        <v>3194</v>
      </c>
      <c r="V30" s="67">
        <v>25959</v>
      </c>
      <c r="W30" s="67">
        <v>33533</v>
      </c>
      <c r="X30" s="67">
        <v>52734</v>
      </c>
      <c r="Y30" s="67">
        <v>16369</v>
      </c>
      <c r="Z30" s="67">
        <v>19702</v>
      </c>
      <c r="AB30" s="67" t="s">
        <v>134</v>
      </c>
      <c r="AC30" s="67"/>
      <c r="AD30" s="67">
        <v>-384</v>
      </c>
      <c r="AE30" s="67">
        <v>-322</v>
      </c>
      <c r="AF30" s="67">
        <v>-120</v>
      </c>
      <c r="AG30" s="67">
        <v>-311</v>
      </c>
      <c r="AH30" s="67">
        <v>-95</v>
      </c>
      <c r="AI30" s="67">
        <v>-366</v>
      </c>
      <c r="AJ30" s="67">
        <v>-728</v>
      </c>
      <c r="AK30" s="67">
        <v>-991</v>
      </c>
      <c r="AL30" s="67">
        <v>-1639</v>
      </c>
      <c r="AM30" s="67">
        <v>-2156</v>
      </c>
      <c r="AN30" s="67">
        <v>-5313</v>
      </c>
    </row>
    <row r="31" spans="1:40">
      <c r="O31" s="67" t="s">
        <v>58</v>
      </c>
      <c r="P31" s="67"/>
      <c r="Q31" s="67">
        <v>8979</v>
      </c>
      <c r="R31" s="67">
        <v>9015</v>
      </c>
      <c r="S31" s="67">
        <v>9963</v>
      </c>
      <c r="T31" s="67">
        <v>10660</v>
      </c>
      <c r="U31" s="67">
        <v>11483</v>
      </c>
      <c r="V31" s="67">
        <v>16170</v>
      </c>
      <c r="W31" s="67">
        <v>18943</v>
      </c>
      <c r="X31" s="67">
        <v>23635</v>
      </c>
      <c r="Y31" s="67">
        <v>22854</v>
      </c>
      <c r="Z31" s="67">
        <v>21288</v>
      </c>
      <c r="AB31" s="67" t="s">
        <v>135</v>
      </c>
      <c r="AC31" s="67"/>
      <c r="AD31" s="67">
        <v>2770</v>
      </c>
      <c r="AE31" s="67">
        <v>-2727</v>
      </c>
      <c r="AF31" s="67">
        <v>-653</v>
      </c>
      <c r="AG31" s="67">
        <v>1852</v>
      </c>
      <c r="AH31" s="67">
        <v>-4768</v>
      </c>
      <c r="AI31" s="67">
        <v>-3722</v>
      </c>
      <c r="AJ31" s="67">
        <v>-1841</v>
      </c>
      <c r="AK31" s="67">
        <v>-1010</v>
      </c>
      <c r="AL31" s="67">
        <v>-8024</v>
      </c>
      <c r="AM31" s="67">
        <v>-1806</v>
      </c>
      <c r="AN31" s="67">
        <v>-10362</v>
      </c>
    </row>
    <row r="32" spans="1:40">
      <c r="O32" s="67" t="s">
        <v>296</v>
      </c>
      <c r="P32" s="67"/>
      <c r="Q32" s="67">
        <v>1873</v>
      </c>
      <c r="R32" s="67">
        <v>2950</v>
      </c>
      <c r="S32" s="67">
        <v>3188</v>
      </c>
      <c r="T32" s="67">
        <v>3660</v>
      </c>
      <c r="U32" s="67">
        <v>4253</v>
      </c>
      <c r="V32" s="67">
        <v>6904</v>
      </c>
      <c r="W32" s="67">
        <v>2276</v>
      </c>
      <c r="X32" s="67">
        <v>1833</v>
      </c>
      <c r="Y32" s="67">
        <v>2319</v>
      </c>
      <c r="Z32" s="67">
        <v>3107</v>
      </c>
      <c r="AB32" s="67" t="s">
        <v>461</v>
      </c>
      <c r="AC32" s="67"/>
      <c r="AD32" s="67">
        <v>167</v>
      </c>
      <c r="AE32" s="67">
        <v>-52</v>
      </c>
      <c r="AF32" s="67">
        <v>91</v>
      </c>
      <c r="AG32" s="67">
        <v>-29</v>
      </c>
      <c r="AH32" s="67">
        <v>134</v>
      </c>
      <c r="AI32" s="67">
        <v>413</v>
      </c>
      <c r="AJ32" s="67">
        <v>1285</v>
      </c>
      <c r="AK32" s="67">
        <v>1079</v>
      </c>
      <c r="AL32" s="67">
        <v>1053</v>
      </c>
      <c r="AM32" s="67">
        <v>85</v>
      </c>
      <c r="AN32" s="67">
        <v>3521</v>
      </c>
    </row>
    <row r="33" spans="15:40">
      <c r="O33" s="67" t="s">
        <v>100</v>
      </c>
      <c r="P33" s="67"/>
      <c r="Q33" s="67"/>
      <c r="R33" s="67"/>
      <c r="S33" s="67">
        <v>594</v>
      </c>
      <c r="T33" s="67">
        <v>1355</v>
      </c>
      <c r="U33" s="67">
        <v>2051</v>
      </c>
      <c r="V33" s="67"/>
      <c r="W33" s="67">
        <v>2095</v>
      </c>
      <c r="X33" s="67"/>
      <c r="Y33" s="67">
        <v>3675</v>
      </c>
      <c r="Z33" s="67"/>
      <c r="AB33" s="67" t="s">
        <v>136</v>
      </c>
      <c r="AC33" s="67"/>
      <c r="AD33" s="67">
        <v>3576</v>
      </c>
      <c r="AE33" s="67">
        <v>-2361</v>
      </c>
      <c r="AF33" s="67">
        <v>1906</v>
      </c>
      <c r="AG33" s="67">
        <v>2707</v>
      </c>
      <c r="AH33" s="67">
        <v>-3366</v>
      </c>
      <c r="AI33" s="67">
        <v>3435</v>
      </c>
      <c r="AJ33" s="67">
        <v>-891</v>
      </c>
      <c r="AK33" s="67">
        <v>2779</v>
      </c>
      <c r="AL33" s="67">
        <v>-4949</v>
      </c>
      <c r="AM33" s="67">
        <v>5897</v>
      </c>
      <c r="AN33" s="67">
        <v>1407</v>
      </c>
    </row>
    <row r="34" spans="15:40">
      <c r="O34" s="67" t="s">
        <v>101</v>
      </c>
      <c r="P34" s="67"/>
      <c r="Q34" s="67">
        <v>443</v>
      </c>
      <c r="R34" s="67">
        <v>1067</v>
      </c>
      <c r="S34" s="67">
        <v>1061</v>
      </c>
      <c r="T34" s="67">
        <v>818</v>
      </c>
      <c r="U34" s="67">
        <v>515</v>
      </c>
      <c r="V34" s="67">
        <v>677</v>
      </c>
      <c r="W34" s="67">
        <v>1082</v>
      </c>
      <c r="X34" s="67">
        <v>1201</v>
      </c>
      <c r="Y34" s="67">
        <v>1108</v>
      </c>
      <c r="Z34" s="67">
        <v>1237</v>
      </c>
      <c r="AB34" s="67" t="s">
        <v>137</v>
      </c>
      <c r="AC34" s="67"/>
      <c r="AD34" s="67">
        <v>369</v>
      </c>
      <c r="AE34" s="67">
        <v>3945</v>
      </c>
      <c r="AF34" s="67">
        <v>1584</v>
      </c>
      <c r="AG34" s="67">
        <v>3490</v>
      </c>
      <c r="AH34" s="67">
        <v>6197</v>
      </c>
      <c r="AI34" s="67">
        <v>4414</v>
      </c>
      <c r="AJ34" s="67">
        <v>7849</v>
      </c>
      <c r="AK34" s="67">
        <v>6958</v>
      </c>
      <c r="AL34" s="67">
        <v>9737</v>
      </c>
      <c r="AM34" s="67">
        <v>7637</v>
      </c>
      <c r="AN34" s="67">
        <v>12152</v>
      </c>
    </row>
    <row r="35" spans="15:40">
      <c r="O35" s="67" t="s">
        <v>59</v>
      </c>
      <c r="P35" s="67"/>
      <c r="Q35" s="67">
        <v>1950</v>
      </c>
      <c r="R35" s="67">
        <v>2153</v>
      </c>
      <c r="S35" s="67">
        <v>2096</v>
      </c>
      <c r="T35" s="67">
        <v>2561</v>
      </c>
      <c r="U35" s="67">
        <v>491</v>
      </c>
      <c r="V35" s="67">
        <v>3779</v>
      </c>
      <c r="W35" s="67">
        <v>4602</v>
      </c>
      <c r="X35" s="67">
        <v>5975</v>
      </c>
      <c r="Y35" s="67">
        <v>7120</v>
      </c>
      <c r="Z35" s="67">
        <v>8750</v>
      </c>
      <c r="AB35" s="67" t="s">
        <v>138</v>
      </c>
      <c r="AC35" s="67"/>
      <c r="AD35" s="67">
        <v>3945</v>
      </c>
      <c r="AE35" s="67">
        <v>1584</v>
      </c>
      <c r="AF35" s="67">
        <v>3490</v>
      </c>
      <c r="AG35" s="67">
        <v>6197</v>
      </c>
      <c r="AH35" s="67">
        <v>2831</v>
      </c>
      <c r="AI35" s="67">
        <v>7849</v>
      </c>
      <c r="AJ35" s="67">
        <v>6958</v>
      </c>
      <c r="AK35" s="67">
        <v>9737</v>
      </c>
      <c r="AL35" s="67">
        <v>4788</v>
      </c>
      <c r="AM35" s="67">
        <v>13534</v>
      </c>
      <c r="AN35" s="67">
        <v>13559</v>
      </c>
    </row>
    <row r="36" spans="15:40">
      <c r="O36" s="67" t="s">
        <v>102</v>
      </c>
      <c r="P36" s="67"/>
      <c r="Q36" s="67">
        <v>16511</v>
      </c>
      <c r="R36" s="67">
        <v>15973</v>
      </c>
      <c r="S36" s="67">
        <v>17912</v>
      </c>
      <c r="T36" s="67">
        <v>20515</v>
      </c>
      <c r="U36" s="67">
        <v>21987</v>
      </c>
      <c r="V36" s="67">
        <v>53489</v>
      </c>
      <c r="W36" s="67">
        <v>62531</v>
      </c>
      <c r="X36" s="67">
        <v>85378</v>
      </c>
      <c r="Y36" s="67">
        <v>53445</v>
      </c>
      <c r="Z36" s="67">
        <v>54084</v>
      </c>
      <c r="AB36" s="67" t="s">
        <v>25</v>
      </c>
      <c r="AC36" s="67"/>
      <c r="AD36" s="67"/>
      <c r="AE36" s="67"/>
      <c r="AF36" s="67"/>
      <c r="AG36" s="67"/>
      <c r="AH36" s="67"/>
      <c r="AI36" s="67"/>
      <c r="AJ36" s="67"/>
      <c r="AK36" s="67"/>
      <c r="AL36" s="67"/>
      <c r="AM36" s="67"/>
      <c r="AN36" s="67"/>
    </row>
    <row r="37" spans="15:40">
      <c r="O37" s="67" t="s">
        <v>103</v>
      </c>
      <c r="P37" s="67"/>
      <c r="Q37" s="67"/>
      <c r="R37" s="67"/>
      <c r="S37" s="67"/>
      <c r="T37" s="67"/>
      <c r="U37" s="67"/>
      <c r="V37" s="67"/>
      <c r="W37" s="67"/>
      <c r="X37" s="67"/>
      <c r="Y37" s="67"/>
      <c r="Z37" s="67"/>
      <c r="AB37" s="67" t="s">
        <v>139</v>
      </c>
      <c r="AC37" s="67"/>
      <c r="AD37" s="67">
        <v>5006</v>
      </c>
      <c r="AE37" s="67">
        <v>5568</v>
      </c>
      <c r="AF37" s="67">
        <v>5238</v>
      </c>
      <c r="AG37" s="67">
        <v>4762</v>
      </c>
      <c r="AH37" s="67">
        <v>3764</v>
      </c>
      <c r="AI37" s="67">
        <v>9200</v>
      </c>
      <c r="AJ37" s="67">
        <v>7281</v>
      </c>
      <c r="AK37" s="67">
        <v>10896</v>
      </c>
      <c r="AL37" s="67">
        <v>15049</v>
      </c>
      <c r="AM37" s="67">
        <v>14491</v>
      </c>
      <c r="AN37" s="67">
        <v>43387</v>
      </c>
    </row>
    <row r="38" spans="15:40">
      <c r="O38" s="67" t="s">
        <v>104</v>
      </c>
      <c r="P38" s="67"/>
      <c r="Q38" s="67">
        <v>8646</v>
      </c>
      <c r="R38" s="67">
        <v>8420</v>
      </c>
      <c r="S38" s="67">
        <v>7844</v>
      </c>
      <c r="T38" s="67">
        <v>8995</v>
      </c>
      <c r="U38" s="67">
        <v>9041</v>
      </c>
      <c r="V38" s="67">
        <v>19901</v>
      </c>
      <c r="W38" s="67">
        <v>28469</v>
      </c>
      <c r="X38" s="67">
        <v>38146</v>
      </c>
      <c r="Y38" s="67">
        <v>54122</v>
      </c>
      <c r="Z38" s="67">
        <v>71655</v>
      </c>
      <c r="AB38" s="67" t="s">
        <v>140</v>
      </c>
      <c r="AC38" s="67"/>
      <c r="AD38" s="67">
        <v>-3214</v>
      </c>
      <c r="AE38" s="67">
        <v>-2626</v>
      </c>
      <c r="AF38" s="67">
        <v>-2645</v>
      </c>
      <c r="AG38" s="67">
        <v>-3277</v>
      </c>
      <c r="AH38" s="67">
        <v>-3150</v>
      </c>
      <c r="AI38" s="67">
        <v>-6324</v>
      </c>
      <c r="AJ38" s="67">
        <v>-7933</v>
      </c>
      <c r="AK38" s="67">
        <v>-8776</v>
      </c>
      <c r="AL38" s="67">
        <v>-19447</v>
      </c>
      <c r="AM38" s="67">
        <v>-8042</v>
      </c>
      <c r="AN38" s="67">
        <v>-41195</v>
      </c>
    </row>
    <row r="39" spans="15:40">
      <c r="O39" s="67" t="s">
        <v>425</v>
      </c>
      <c r="P39" s="67"/>
      <c r="Q39" s="67">
        <v>569</v>
      </c>
      <c r="R39" s="67">
        <v>310</v>
      </c>
      <c r="S39" s="67">
        <v>242</v>
      </c>
      <c r="T39" s="67">
        <v>188</v>
      </c>
      <c r="U39" s="67">
        <v>48</v>
      </c>
      <c r="V39" s="67">
        <v>16582</v>
      </c>
      <c r="W39" s="67">
        <v>14880</v>
      </c>
      <c r="X39" s="67">
        <v>8582</v>
      </c>
      <c r="Y39" s="67">
        <v>24542</v>
      </c>
      <c r="Z39" s="67">
        <v>28015</v>
      </c>
      <c r="AB39" s="67" t="s">
        <v>141</v>
      </c>
      <c r="AC39" s="67"/>
      <c r="AD39" s="67">
        <v>1792</v>
      </c>
      <c r="AE39" s="67">
        <v>2942</v>
      </c>
      <c r="AF39" s="67">
        <v>2593</v>
      </c>
      <c r="AG39" s="67">
        <v>1485</v>
      </c>
      <c r="AH39" s="67">
        <v>614</v>
      </c>
      <c r="AI39" s="67">
        <v>2876</v>
      </c>
      <c r="AJ39" s="67">
        <v>-652</v>
      </c>
      <c r="AK39" s="67">
        <v>2120</v>
      </c>
      <c r="AL39" s="67">
        <v>-4398</v>
      </c>
      <c r="AM39" s="67">
        <v>6449</v>
      </c>
      <c r="AN39" s="67">
        <v>2192</v>
      </c>
    </row>
    <row r="40" spans="15:40">
      <c r="O40" s="67" t="s">
        <v>100</v>
      </c>
      <c r="P40" s="67"/>
      <c r="Q40" s="67"/>
      <c r="R40" s="67"/>
      <c r="S40" s="67"/>
      <c r="T40" s="67"/>
      <c r="U40" s="67"/>
      <c r="V40" s="67"/>
      <c r="W40" s="67"/>
      <c r="X40" s="67"/>
      <c r="Y40" s="67">
        <v>5146</v>
      </c>
      <c r="Z40" s="67"/>
      <c r="AB40" s="67"/>
      <c r="AC40" s="67"/>
      <c r="AD40" s="67"/>
      <c r="AE40" s="67"/>
      <c r="AF40" s="67"/>
      <c r="AG40" s="67"/>
      <c r="AH40" s="67"/>
      <c r="AI40" s="67"/>
      <c r="AJ40" s="67"/>
      <c r="AK40" s="67"/>
      <c r="AL40" s="67"/>
      <c r="AM40" s="67"/>
      <c r="AN40" s="67"/>
    </row>
    <row r="41" spans="15:40">
      <c r="O41" s="67" t="s">
        <v>101</v>
      </c>
      <c r="P41" s="67"/>
      <c r="Q41" s="67">
        <v>445</v>
      </c>
      <c r="R41" s="67">
        <v>437</v>
      </c>
      <c r="S41" s="67">
        <v>416</v>
      </c>
      <c r="T41" s="67">
        <v>409</v>
      </c>
      <c r="U41" s="67">
        <v>425</v>
      </c>
      <c r="V41" s="67">
        <v>267</v>
      </c>
      <c r="W41" s="67">
        <v>410</v>
      </c>
      <c r="X41" s="67">
        <v>408</v>
      </c>
      <c r="Y41" s="67">
        <v>254</v>
      </c>
      <c r="Z41" s="67">
        <v>248</v>
      </c>
      <c r="AB41" s="67"/>
      <c r="AC41" s="67"/>
      <c r="AD41" s="67"/>
      <c r="AE41" s="67"/>
      <c r="AF41" s="67"/>
      <c r="AG41" s="67"/>
      <c r="AH41" s="67"/>
      <c r="AI41" s="67"/>
      <c r="AJ41" s="67"/>
      <c r="AK41" s="67"/>
      <c r="AL41" s="67"/>
      <c r="AM41" s="67"/>
      <c r="AN41" s="67"/>
    </row>
    <row r="42" spans="15:40">
      <c r="O42" s="67" t="s">
        <v>457</v>
      </c>
      <c r="P42" s="67"/>
      <c r="Q42" s="67">
        <v>348</v>
      </c>
      <c r="R42" s="67">
        <v>178</v>
      </c>
      <c r="S42" s="67">
        <v>192</v>
      </c>
      <c r="T42" s="67">
        <v>205</v>
      </c>
      <c r="U42" s="67"/>
      <c r="V42" s="67">
        <v>230</v>
      </c>
      <c r="W42" s="67">
        <v>247</v>
      </c>
      <c r="X42" s="67">
        <v>265</v>
      </c>
      <c r="Y42" s="67">
        <v>245</v>
      </c>
      <c r="Z42" s="67">
        <v>278</v>
      </c>
    </row>
    <row r="43" spans="15:40">
      <c r="O43" s="67" t="s">
        <v>406</v>
      </c>
      <c r="P43" s="67"/>
      <c r="Q43" s="67">
        <v>542</v>
      </c>
      <c r="R43" s="67">
        <v>514</v>
      </c>
      <c r="S43" s="67">
        <v>639</v>
      </c>
      <c r="T43" s="67">
        <v>686</v>
      </c>
      <c r="U43" s="67">
        <v>793</v>
      </c>
      <c r="V43" s="67">
        <v>2041</v>
      </c>
      <c r="W43" s="67">
        <v>2310</v>
      </c>
      <c r="X43" s="67">
        <v>2931</v>
      </c>
      <c r="Y43" s="67">
        <v>3227</v>
      </c>
      <c r="Z43" s="67">
        <v>3564</v>
      </c>
    </row>
    <row r="44" spans="15:40">
      <c r="O44" s="67" t="s">
        <v>105</v>
      </c>
      <c r="P44" s="67"/>
      <c r="Q44" s="67">
        <v>1517</v>
      </c>
      <c r="R44" s="67">
        <v>1768</v>
      </c>
      <c r="S44" s="67">
        <v>1922</v>
      </c>
      <c r="T44" s="67">
        <v>1974</v>
      </c>
      <c r="U44" s="67">
        <v>2208</v>
      </c>
      <c r="V44" s="67">
        <v>3413</v>
      </c>
      <c r="W44" s="67">
        <v>3599</v>
      </c>
      <c r="X44" s="67">
        <v>5175</v>
      </c>
      <c r="Y44" s="67">
        <v>5071</v>
      </c>
      <c r="Z44" s="67">
        <v>8253</v>
      </c>
    </row>
    <row r="45" spans="15:40">
      <c r="O45" s="67" t="s">
        <v>106</v>
      </c>
      <c r="P45" s="67"/>
      <c r="Q45" s="67">
        <v>12067</v>
      </c>
      <c r="R45" s="67">
        <v>11627</v>
      </c>
      <c r="S45" s="67">
        <v>11255</v>
      </c>
      <c r="T45" s="67">
        <v>12457</v>
      </c>
      <c r="U45" s="67">
        <v>12515</v>
      </c>
      <c r="V45" s="67">
        <v>42434</v>
      </c>
      <c r="W45" s="67">
        <v>49915</v>
      </c>
      <c r="X45" s="67">
        <v>55507</v>
      </c>
      <c r="Y45" s="67">
        <v>92607</v>
      </c>
      <c r="Z45" s="67">
        <v>112013</v>
      </c>
    </row>
    <row r="46" spans="15:40">
      <c r="O46" s="67" t="s">
        <v>107</v>
      </c>
      <c r="P46" s="67"/>
      <c r="Q46" s="67">
        <v>28578</v>
      </c>
      <c r="R46" s="67">
        <v>27600</v>
      </c>
      <c r="S46" s="67">
        <v>29167</v>
      </c>
      <c r="T46" s="67">
        <v>32972</v>
      </c>
      <c r="U46" s="67">
        <v>34502</v>
      </c>
      <c r="V46" s="67">
        <v>95923</v>
      </c>
      <c r="W46" s="67">
        <v>112446</v>
      </c>
      <c r="X46" s="67">
        <v>140885</v>
      </c>
      <c r="Y46" s="67">
        <v>146052</v>
      </c>
      <c r="Z46" s="67">
        <v>166097</v>
      </c>
    </row>
    <row r="47" spans="15:40">
      <c r="O47" s="67" t="s">
        <v>108</v>
      </c>
      <c r="P47" s="67"/>
      <c r="Q47" s="67"/>
      <c r="R47" s="67"/>
      <c r="S47" s="67"/>
      <c r="T47" s="67"/>
      <c r="U47" s="67"/>
      <c r="V47" s="67"/>
      <c r="W47" s="67"/>
      <c r="X47" s="67"/>
      <c r="Y47" s="67"/>
      <c r="Z47" s="67"/>
    </row>
    <row r="48" spans="15:40">
      <c r="O48" s="67" t="s">
        <v>109</v>
      </c>
      <c r="P48" s="67"/>
      <c r="Q48" s="67">
        <v>3615</v>
      </c>
      <c r="R48" s="67">
        <v>3615</v>
      </c>
      <c r="S48" s="67">
        <v>3615</v>
      </c>
      <c r="T48" s="67">
        <v>3615</v>
      </c>
      <c r="U48" s="67">
        <v>984</v>
      </c>
      <c r="V48" s="67">
        <v>4800</v>
      </c>
      <c r="W48" s="67">
        <v>2169</v>
      </c>
      <c r="X48" s="67"/>
      <c r="Y48" s="67">
        <v>45303</v>
      </c>
      <c r="Z48" s="67">
        <v>50834</v>
      </c>
    </row>
    <row r="49" spans="15:26">
      <c r="O49" s="67" t="s">
        <v>458</v>
      </c>
      <c r="P49" s="67"/>
      <c r="Q49" s="67"/>
      <c r="R49" s="67">
        <v>8207</v>
      </c>
      <c r="S49" s="67"/>
      <c r="T49" s="67"/>
      <c r="U49" s="67">
        <v>12248</v>
      </c>
      <c r="V49" s="67">
        <v>6665</v>
      </c>
      <c r="W49" s="67">
        <v>10900</v>
      </c>
      <c r="X49" s="67"/>
      <c r="Y49" s="67">
        <v>27750</v>
      </c>
      <c r="Z49" s="67">
        <v>5628</v>
      </c>
    </row>
    <row r="50" spans="15:26">
      <c r="O50" s="67" t="s">
        <v>110</v>
      </c>
      <c r="P50" s="67"/>
      <c r="Q50" s="67"/>
      <c r="R50" s="67"/>
      <c r="S50" s="67"/>
      <c r="T50" s="67"/>
      <c r="U50" s="67"/>
      <c r="V50" s="67">
        <v>109469</v>
      </c>
      <c r="W50" s="67">
        <v>112157</v>
      </c>
      <c r="X50" s="67"/>
      <c r="Y50" s="67">
        <v>127343</v>
      </c>
      <c r="Z50" s="67">
        <v>142408</v>
      </c>
    </row>
    <row r="51" spans="15:26">
      <c r="O51" s="67" t="s">
        <v>111</v>
      </c>
      <c r="P51" s="67"/>
      <c r="Q51" s="67">
        <v>3975</v>
      </c>
      <c r="R51" s="67">
        <v>5930</v>
      </c>
      <c r="S51" s="67">
        <v>3615</v>
      </c>
      <c r="T51" s="67">
        <v>5641</v>
      </c>
      <c r="U51" s="67">
        <v>7630</v>
      </c>
      <c r="V51" s="67">
        <v>6778</v>
      </c>
      <c r="W51" s="67">
        <v>-4896</v>
      </c>
      <c r="X51" s="67"/>
      <c r="Y51" s="67">
        <v>26918</v>
      </c>
      <c r="Z51" s="67">
        <v>31334</v>
      </c>
    </row>
    <row r="52" spans="15:26">
      <c r="O52" s="67" t="s">
        <v>426</v>
      </c>
      <c r="P52" s="67"/>
      <c r="Q52" s="67">
        <v>-404</v>
      </c>
      <c r="R52" s="67">
        <v>-404</v>
      </c>
      <c r="S52" s="67">
        <v>-404</v>
      </c>
      <c r="T52" s="67">
        <v>-404</v>
      </c>
      <c r="U52" s="67">
        <v>-461</v>
      </c>
      <c r="V52" s="67">
        <v>-404</v>
      </c>
      <c r="W52" s="67">
        <v>-461</v>
      </c>
      <c r="X52" s="67"/>
      <c r="Y52" s="67">
        <v>-1628</v>
      </c>
      <c r="Z52" s="67">
        <v>-1992</v>
      </c>
    </row>
    <row r="53" spans="15:26">
      <c r="O53" s="67" t="s">
        <v>112</v>
      </c>
      <c r="P53" s="67"/>
      <c r="Q53" s="67">
        <v>12150</v>
      </c>
      <c r="R53" s="67">
        <v>3922</v>
      </c>
      <c r="S53" s="67">
        <v>16173</v>
      </c>
      <c r="T53" s="67">
        <v>16211</v>
      </c>
      <c r="U53" s="67">
        <v>2685</v>
      </c>
      <c r="V53" s="67">
        <v>-97</v>
      </c>
      <c r="W53" s="67"/>
      <c r="X53" s="67">
        <v>108000</v>
      </c>
      <c r="Y53" s="67"/>
      <c r="Z53" s="67">
        <v>24955</v>
      </c>
    </row>
    <row r="54" spans="15:26">
      <c r="O54" s="67" t="s">
        <v>113</v>
      </c>
      <c r="P54" s="67"/>
      <c r="Q54" s="67">
        <v>19336</v>
      </c>
      <c r="R54" s="67">
        <v>21270</v>
      </c>
      <c r="S54" s="67">
        <v>22999</v>
      </c>
      <c r="T54" s="67">
        <v>25063</v>
      </c>
      <c r="U54" s="67">
        <v>23086</v>
      </c>
      <c r="V54" s="67">
        <v>127211</v>
      </c>
      <c r="W54" s="67">
        <v>119869</v>
      </c>
      <c r="X54" s="67">
        <v>108000</v>
      </c>
      <c r="Y54" s="67">
        <v>225686</v>
      </c>
      <c r="Z54" s="67">
        <v>253167</v>
      </c>
    </row>
    <row r="55" spans="15:26">
      <c r="O55" s="67" t="s">
        <v>114</v>
      </c>
      <c r="P55" s="67"/>
      <c r="Q55" s="67">
        <v>47914</v>
      </c>
      <c r="R55" s="67">
        <v>48870</v>
      </c>
      <c r="S55" s="67">
        <v>52166</v>
      </c>
      <c r="T55" s="67">
        <v>58035</v>
      </c>
      <c r="U55" s="67">
        <v>57588</v>
      </c>
      <c r="V55" s="67">
        <v>223134</v>
      </c>
      <c r="W55" s="67">
        <v>232315</v>
      </c>
      <c r="X55" s="67">
        <v>248885</v>
      </c>
      <c r="Y55" s="67">
        <v>371738</v>
      </c>
      <c r="Z55" s="67">
        <v>419264</v>
      </c>
    </row>
    <row r="56" spans="15:26">
      <c r="O56" s="67"/>
      <c r="P56" s="67"/>
      <c r="Q56" s="67"/>
      <c r="R56" s="67"/>
      <c r="S56" s="67"/>
      <c r="T56" s="67"/>
      <c r="U56" s="67"/>
      <c r="V56" s="67"/>
      <c r="W56" s="67"/>
      <c r="X56" s="67"/>
      <c r="Y56" s="67"/>
      <c r="Z56" s="6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5284F-816B-4E7C-BB68-03EB06D98B69}">
  <sheetPr>
    <tabColor theme="1"/>
  </sheetPr>
  <dimension ref="A1:B44"/>
  <sheetViews>
    <sheetView workbookViewId="0">
      <selection activeCell="J9" sqref="J9"/>
    </sheetView>
  </sheetViews>
  <sheetFormatPr baseColWidth="10" defaultColWidth="8.83203125" defaultRowHeight="13"/>
  <cols>
    <col min="1" max="1" width="9.83203125" bestFit="1" customWidth="1"/>
  </cols>
  <sheetData>
    <row r="1" spans="1:2">
      <c r="A1" s="65" t="s">
        <v>37</v>
      </c>
      <c r="B1" s="65" t="s">
        <v>26</v>
      </c>
    </row>
    <row r="2" spans="1:2">
      <c r="A2" s="66">
        <v>40527</v>
      </c>
      <c r="B2" s="65">
        <v>0.46557999999999999</v>
      </c>
    </row>
    <row r="3" spans="1:2">
      <c r="A3" s="66">
        <v>41801</v>
      </c>
      <c r="B3" s="65">
        <v>0</v>
      </c>
    </row>
    <row r="4" spans="1:2">
      <c r="A4" s="66">
        <v>41899</v>
      </c>
      <c r="B4" s="65">
        <v>0.36899999999999999</v>
      </c>
    </row>
    <row r="5" spans="1:2">
      <c r="A5" s="66">
        <v>40298</v>
      </c>
      <c r="B5" s="65">
        <v>0.86409400000000003</v>
      </c>
    </row>
    <row r="6" spans="1:2">
      <c r="A6" s="66">
        <v>41779</v>
      </c>
      <c r="B6" s="65">
        <v>0</v>
      </c>
    </row>
    <row r="7" spans="1:2">
      <c r="A7" s="66">
        <v>41731</v>
      </c>
      <c r="B7" s="65">
        <v>0</v>
      </c>
    </row>
    <row r="8" spans="1:2">
      <c r="A8" s="66">
        <v>42605</v>
      </c>
      <c r="B8" s="65">
        <v>0.45042599999999999</v>
      </c>
    </row>
    <row r="9" spans="1:2">
      <c r="A9" s="66">
        <v>41795</v>
      </c>
      <c r="B9" s="65">
        <v>0.38461499999999998</v>
      </c>
    </row>
    <row r="10" spans="1:2">
      <c r="A10" s="66">
        <v>42500</v>
      </c>
      <c r="B10" s="65">
        <v>0.25485999999999998</v>
      </c>
    </row>
    <row r="11" spans="1:2">
      <c r="A11" s="66">
        <v>43144</v>
      </c>
      <c r="B11" s="65">
        <v>1.5079100000000001</v>
      </c>
    </row>
    <row r="12" spans="1:2">
      <c r="A12" s="66">
        <v>43096</v>
      </c>
      <c r="B12" s="65">
        <v>1.1371199999999999</v>
      </c>
    </row>
    <row r="13" spans="1:2">
      <c r="A13" s="66">
        <v>41775</v>
      </c>
      <c r="B13" s="65">
        <v>0</v>
      </c>
    </row>
    <row r="14" spans="1:2">
      <c r="A14" s="66">
        <v>41631</v>
      </c>
      <c r="B14" s="65">
        <v>0.79701900000000003</v>
      </c>
    </row>
    <row r="15" spans="1:2">
      <c r="A15" s="66">
        <v>41037</v>
      </c>
      <c r="B15" s="65">
        <v>0.92342299999999999</v>
      </c>
    </row>
    <row r="16" spans="1:2">
      <c r="A16" s="66">
        <v>42130</v>
      </c>
      <c r="B16" s="65">
        <v>0.46483000000000002</v>
      </c>
    </row>
    <row r="17" spans="1:2">
      <c r="A17" s="66">
        <v>43588</v>
      </c>
      <c r="B17" s="65">
        <v>0.34499999999999997</v>
      </c>
    </row>
    <row r="18" spans="1:2">
      <c r="A18" s="66">
        <v>43178</v>
      </c>
      <c r="B18" s="65">
        <v>0.78764100000000004</v>
      </c>
    </row>
    <row r="19" spans="1:2">
      <c r="A19" s="66">
        <v>40647</v>
      </c>
      <c r="B19" s="65">
        <v>1.14758</v>
      </c>
    </row>
    <row r="20" spans="1:2">
      <c r="A20" s="66">
        <v>41764</v>
      </c>
      <c r="B20" s="65">
        <v>0.38700000000000001</v>
      </c>
    </row>
    <row r="21" spans="1:2">
      <c r="A21" s="66"/>
      <c r="B21" s="65"/>
    </row>
    <row r="22" spans="1:2">
      <c r="A22" s="66"/>
      <c r="B22" s="65"/>
    </row>
    <row r="23" spans="1:2">
      <c r="A23" s="66"/>
      <c r="B23" s="65"/>
    </row>
    <row r="24" spans="1:2">
      <c r="A24" s="66"/>
      <c r="B24" s="65"/>
    </row>
    <row r="25" spans="1:2">
      <c r="A25" s="66"/>
      <c r="B25" s="65"/>
    </row>
    <row r="26" spans="1:2">
      <c r="A26" s="66"/>
      <c r="B26" s="65"/>
    </row>
    <row r="27" spans="1:2">
      <c r="A27" s="66"/>
      <c r="B27" s="65"/>
    </row>
    <row r="28" spans="1:2">
      <c r="A28" s="66"/>
      <c r="B28" s="65"/>
    </row>
    <row r="29" spans="1:2">
      <c r="A29" s="66"/>
      <c r="B29" s="65"/>
    </row>
    <row r="30" spans="1:2">
      <c r="A30" s="66"/>
      <c r="B30" s="65"/>
    </row>
    <row r="31" spans="1:2">
      <c r="A31" s="66"/>
      <c r="B31" s="65"/>
    </row>
    <row r="32" spans="1:2">
      <c r="A32" s="66"/>
      <c r="B32" s="65"/>
    </row>
    <row r="33" spans="1:2">
      <c r="A33" s="66"/>
      <c r="B33" s="65"/>
    </row>
    <row r="34" spans="1:2">
      <c r="A34" s="66"/>
      <c r="B34" s="65"/>
    </row>
    <row r="35" spans="1:2">
      <c r="A35" s="66"/>
      <c r="B35" s="65"/>
    </row>
    <row r="36" spans="1:2">
      <c r="A36" s="66"/>
      <c r="B36" s="65"/>
    </row>
    <row r="37" spans="1:2">
      <c r="A37" s="66"/>
      <c r="B37" s="65"/>
    </row>
    <row r="38" spans="1:2">
      <c r="A38" s="66"/>
      <c r="B38" s="65"/>
    </row>
    <row r="39" spans="1:2">
      <c r="A39" s="66"/>
      <c r="B39" s="65"/>
    </row>
    <row r="40" spans="1:2">
      <c r="A40" s="66"/>
      <c r="B40" s="65"/>
    </row>
    <row r="41" spans="1:2">
      <c r="A41" s="66"/>
      <c r="B41" s="65"/>
    </row>
    <row r="42" spans="1:2">
      <c r="A42" s="66"/>
      <c r="B42" s="65"/>
    </row>
    <row r="43" spans="1:2">
      <c r="A43" s="66"/>
      <c r="B43" s="65"/>
    </row>
    <row r="44" spans="1:2">
      <c r="A44" s="66"/>
      <c r="B44" s="6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7BEE-2DCC-4CB3-99FB-D9001A23AF01}">
  <sheetPr>
    <pageSetUpPr fitToPage="1"/>
  </sheetPr>
  <dimension ref="A1:AF183"/>
  <sheetViews>
    <sheetView showGridLines="0" view="pageBreakPreview" topLeftCell="A25" zoomScaleNormal="100" zoomScaleSheetLayoutView="100" workbookViewId="0">
      <selection activeCell="D8" sqref="D8"/>
    </sheetView>
  </sheetViews>
  <sheetFormatPr baseColWidth="10" defaultColWidth="8.6640625" defaultRowHeight="13"/>
  <cols>
    <col min="1" max="1" width="1.83203125" style="74" customWidth="1"/>
    <col min="2" max="2" width="1.6640625" style="74" customWidth="1"/>
    <col min="3" max="3" width="29.6640625" style="74" customWidth="1"/>
    <col min="4" max="9" width="9.5" style="74" bestFit="1" customWidth="1"/>
    <col min="10" max="10" width="10" style="74" bestFit="1" customWidth="1"/>
    <col min="11" max="11" width="8.5" style="74" bestFit="1" customWidth="1"/>
    <col min="12" max="12" width="9.5" style="74" bestFit="1" customWidth="1"/>
    <col min="13" max="13" width="10.5" style="74" bestFit="1" customWidth="1"/>
    <col min="14" max="14" width="11.5" style="74" bestFit="1" customWidth="1"/>
    <col min="15" max="16" width="11.33203125" style="74" bestFit="1" customWidth="1"/>
    <col min="17" max="17" width="1.33203125" style="74" customWidth="1"/>
    <col min="18" max="18" width="2.1640625" style="74" customWidth="1"/>
    <col min="19" max="16384" width="8.6640625" style="74"/>
  </cols>
  <sheetData>
    <row r="1" spans="1:19">
      <c r="D1" s="211"/>
    </row>
    <row r="2" spans="1:19">
      <c r="A2" s="74" t="s">
        <v>4</v>
      </c>
      <c r="R2" s="74" t="s">
        <v>4</v>
      </c>
    </row>
    <row r="3" spans="1:19">
      <c r="P3" s="83" t="s">
        <v>462</v>
      </c>
    </row>
    <row r="4" spans="1:19">
      <c r="B4" s="73"/>
      <c r="C4" s="58" t="s">
        <v>8</v>
      </c>
      <c r="D4" s="60">
        <v>2009</v>
      </c>
      <c r="E4" s="60">
        <v>2010</v>
      </c>
      <c r="F4" s="60">
        <v>2011</v>
      </c>
      <c r="G4" s="60">
        <v>2012</v>
      </c>
      <c r="H4" s="60">
        <v>2013</v>
      </c>
      <c r="I4" s="60">
        <v>2014</v>
      </c>
      <c r="J4" s="60">
        <v>2015</v>
      </c>
      <c r="K4" s="60">
        <v>2016</v>
      </c>
      <c r="L4" s="60">
        <v>2017</v>
      </c>
      <c r="M4" s="60">
        <v>2018</v>
      </c>
      <c r="N4" s="60" t="s">
        <v>9</v>
      </c>
      <c r="O4" s="60" t="s">
        <v>160</v>
      </c>
      <c r="P4" s="60" t="s">
        <v>161</v>
      </c>
    </row>
    <row r="5" spans="1:19">
      <c r="B5" s="73"/>
      <c r="C5" s="16" t="s">
        <v>10</v>
      </c>
      <c r="D5" s="229">
        <f>'Annual Fins Data'!C4</f>
        <v>12226</v>
      </c>
      <c r="E5" s="229">
        <f>'Annual Fins Data'!D4</f>
        <v>14659</v>
      </c>
      <c r="F5" s="229">
        <f>'Annual Fins Data'!E4</f>
        <v>18553</v>
      </c>
      <c r="G5" s="229">
        <f>'Annual Fins Data'!F4</f>
        <v>22196</v>
      </c>
      <c r="H5" s="229">
        <f>'Annual Fins Data'!G4</f>
        <v>27350</v>
      </c>
      <c r="I5" s="229">
        <f>'Annual Fins Data'!H4</f>
        <v>33388</v>
      </c>
      <c r="J5" s="229">
        <f>'Annual Fins Data'!I4</f>
        <v>40540</v>
      </c>
      <c r="K5" s="229">
        <f>'Annual Fins Data'!J4</f>
        <v>53323</v>
      </c>
      <c r="L5" s="229">
        <f>'Annual Fins Data'!K4</f>
        <v>65319</v>
      </c>
      <c r="M5" s="229">
        <f>'Annual Fins Data'!L4</f>
        <v>168046</v>
      </c>
      <c r="N5" s="229">
        <f>'Annual Fins Data'!M4</f>
        <v>163649</v>
      </c>
      <c r="O5" s="86">
        <f t="shared" ref="O5:O9" si="0">IFERROR((H5/D5)^(1/5)-1,"-")</f>
        <v>0.17472060865308414</v>
      </c>
      <c r="P5" s="86">
        <f t="shared" ref="P5:P12" si="1">IFERROR((M5/I5)^(1/5)-1,"-")</f>
        <v>0.38155301485096449</v>
      </c>
    </row>
    <row r="6" spans="1:19">
      <c r="B6" s="73"/>
      <c r="C6" s="11" t="s">
        <v>162</v>
      </c>
      <c r="D6" s="243">
        <f>IF('Annual Fins Data'!C5=0,"-",'Annual Fins Data'!C5)</f>
        <v>6099</v>
      </c>
      <c r="E6" s="243">
        <f>IF('Annual Fins Data'!D5=0,"-",'Annual Fins Data'!D5)</f>
        <v>2584</v>
      </c>
      <c r="F6" s="243">
        <f>IF('Annual Fins Data'!E5=0,"-",'Annual Fins Data'!E5)</f>
        <v>3160</v>
      </c>
      <c r="G6" s="243">
        <f>IF('Annual Fins Data'!F5=0,"-",'Annual Fins Data'!F5)</f>
        <v>3750</v>
      </c>
      <c r="H6" s="243">
        <f>IF('Annual Fins Data'!G5=0,"-",'Annual Fins Data'!G5)</f>
        <v>5648</v>
      </c>
      <c r="I6" s="243">
        <f>IF('Annual Fins Data'!H5=0,"-",'Annual Fins Data'!H5)</f>
        <v>7153</v>
      </c>
      <c r="J6" s="243">
        <f>IF('Annual Fins Data'!I5=0,"-",'Annual Fins Data'!I5)</f>
        <v>6765</v>
      </c>
      <c r="K6" s="243">
        <f>IF('Annual Fins Data'!J5=0,"-",'Annual Fins Data'!J5)</f>
        <v>8741</v>
      </c>
      <c r="L6" s="243">
        <f>IF('Annual Fins Data'!K5=0,"-",'Annual Fins Data'!K5)</f>
        <v>30024</v>
      </c>
      <c r="M6" s="243">
        <f>IF('Annual Fins Data'!L5=0,"-",'Annual Fins Data'!L5)</f>
        <v>16261</v>
      </c>
      <c r="N6" s="243">
        <f>IF('Annual Fins Data'!M5=0,"-",'Annual Fins Data'!M5)</f>
        <v>16016</v>
      </c>
      <c r="O6" s="88">
        <f t="shared" si="0"/>
        <v>-1.5247230380382448E-2</v>
      </c>
      <c r="P6" s="88">
        <f t="shared" si="1"/>
        <v>0.17850601902666097</v>
      </c>
    </row>
    <row r="7" spans="1:19">
      <c r="B7" s="73"/>
      <c r="C7" s="11" t="s">
        <v>11</v>
      </c>
      <c r="D7" s="244">
        <f>'Annual Fins Data'!C11</f>
        <v>3365</v>
      </c>
      <c r="E7" s="244">
        <f>'Annual Fins Data'!D11</f>
        <v>8687</v>
      </c>
      <c r="F7" s="244">
        <f>'Annual Fins Data'!E11</f>
        <v>11266</v>
      </c>
      <c r="G7" s="244">
        <f>'Annual Fins Data'!F11</f>
        <v>14334</v>
      </c>
      <c r="H7" s="244">
        <f>'Annual Fins Data'!G11</f>
        <v>16243</v>
      </c>
      <c r="I7" s="244">
        <f>'Annual Fins Data'!H11</f>
        <v>20219</v>
      </c>
      <c r="J7" s="244">
        <f>'Annual Fins Data'!I11</f>
        <v>26033</v>
      </c>
      <c r="K7" s="244">
        <f>'Annual Fins Data'!J11</f>
        <v>35314</v>
      </c>
      <c r="L7" s="244">
        <f>'Annual Fins Data'!K11</f>
        <v>21754</v>
      </c>
      <c r="M7" s="244">
        <f>'Annual Fins Data'!L11</f>
        <v>126374</v>
      </c>
      <c r="N7" s="244">
        <f>'Annual Fins Data'!M11</f>
        <v>127078</v>
      </c>
      <c r="O7" s="88">
        <f t="shared" si="0"/>
        <v>0.37004942622823656</v>
      </c>
      <c r="P7" s="88">
        <f t="shared" si="1"/>
        <v>0.44271189312500492</v>
      </c>
    </row>
    <row r="8" spans="1:19">
      <c r="B8" s="73"/>
      <c r="C8" s="16" t="s">
        <v>12</v>
      </c>
      <c r="D8" s="230">
        <f>'Annual Fins Data'!C12</f>
        <v>2762</v>
      </c>
      <c r="E8" s="230">
        <f>'Annual Fins Data'!D12</f>
        <v>3388</v>
      </c>
      <c r="F8" s="230">
        <f>'Annual Fins Data'!E12</f>
        <v>4127</v>
      </c>
      <c r="G8" s="230">
        <f>'Annual Fins Data'!F12</f>
        <v>4112</v>
      </c>
      <c r="H8" s="230">
        <f>'Annual Fins Data'!G12</f>
        <v>5459</v>
      </c>
      <c r="I8" s="230">
        <f>'Annual Fins Data'!H12</f>
        <v>6016</v>
      </c>
      <c r="J8" s="230">
        <f>'Annual Fins Data'!I12</f>
        <v>7742</v>
      </c>
      <c r="K8" s="230">
        <f>'Annual Fins Data'!J12</f>
        <v>9268</v>
      </c>
      <c r="L8" s="230">
        <f>'Annual Fins Data'!K12</f>
        <v>13541</v>
      </c>
      <c r="M8" s="230">
        <f>'Annual Fins Data'!L12</f>
        <v>25411</v>
      </c>
      <c r="N8" s="230">
        <f>'Annual Fins Data'!M12</f>
        <v>20555</v>
      </c>
      <c r="O8" s="86">
        <f>IF(D8&lt;0,"-",IFERROR((H8/D8)^(1/5)-1,"-"))</f>
        <v>0.14598223171711644</v>
      </c>
      <c r="P8" s="86">
        <f t="shared" si="1"/>
        <v>0.33395993445269956</v>
      </c>
    </row>
    <row r="9" spans="1:19">
      <c r="B9" s="73"/>
      <c r="C9" s="11" t="s">
        <v>70</v>
      </c>
      <c r="D9" s="243">
        <f>IF('Annual Fins Data'!C13=0,"-",'Annual Fins Data'!C13)</f>
        <v>173</v>
      </c>
      <c r="E9" s="243">
        <f>IF('Annual Fins Data'!D13=0,"-",'Annual Fins Data'!D13)</f>
        <v>184</v>
      </c>
      <c r="F9" s="243">
        <f>IF('Annual Fins Data'!E13=0,"-",'Annual Fins Data'!E13)</f>
        <v>140</v>
      </c>
      <c r="G9" s="243">
        <f>IF('Annual Fins Data'!F13=0,"-",'Annual Fins Data'!F13)</f>
        <v>341</v>
      </c>
      <c r="H9" s="243">
        <f>IF('Annual Fins Data'!G13=0,"-",'Annual Fins Data'!G13)</f>
        <v>111</v>
      </c>
      <c r="I9" s="243">
        <f>IF('Annual Fins Data'!H13=0,"-",'Annual Fins Data'!H13)</f>
        <v>1248</v>
      </c>
      <c r="J9" s="243">
        <f>IF('Annual Fins Data'!I13=0,"-",'Annual Fins Data'!I13)</f>
        <v>757</v>
      </c>
      <c r="K9" s="243">
        <f>IF('Annual Fins Data'!J13=0,"-",'Annual Fins Data'!J13)</f>
        <v>1895</v>
      </c>
      <c r="L9" s="243">
        <f>IF('Annual Fins Data'!K13=0,"-",'Annual Fins Data'!K13)</f>
        <v>1344</v>
      </c>
      <c r="M9" s="243">
        <f>IF('Annual Fins Data'!L13=0,"-",'Annual Fins Data'!L13)</f>
        <v>5146</v>
      </c>
      <c r="N9" s="243">
        <f>IF('Annual Fins Data'!M13=0,"-",'Annual Fins Data'!M13)</f>
        <v>6036</v>
      </c>
      <c r="O9" s="88">
        <f t="shared" si="0"/>
        <v>-8.4927771560742049E-2</v>
      </c>
      <c r="P9" s="88">
        <f t="shared" si="1"/>
        <v>0.32755046540509869</v>
      </c>
    </row>
    <row r="10" spans="1:19">
      <c r="B10" s="73"/>
      <c r="C10" s="11" t="s">
        <v>73</v>
      </c>
      <c r="D10" s="245">
        <f>'Annual Fins Data'!C16</f>
        <v>797</v>
      </c>
      <c r="E10" s="245">
        <f>'Annual Fins Data'!D16</f>
        <v>1076</v>
      </c>
      <c r="F10" s="245">
        <f>'Annual Fins Data'!E16</f>
        <v>1395</v>
      </c>
      <c r="G10" s="245">
        <f>'Annual Fins Data'!F16</f>
        <v>1463</v>
      </c>
      <c r="H10" s="245">
        <f>'Annual Fins Data'!G16</f>
        <v>1792</v>
      </c>
      <c r="I10" s="245">
        <f>'Annual Fins Data'!H16</f>
        <v>1967</v>
      </c>
      <c r="J10" s="245">
        <f>'Annual Fins Data'!I16</f>
        <v>1692</v>
      </c>
      <c r="K10" s="245">
        <f>'Annual Fins Data'!J16</f>
        <v>1594</v>
      </c>
      <c r="L10" s="245">
        <f>'Annual Fins Data'!K16</f>
        <v>3902</v>
      </c>
      <c r="M10" s="245">
        <f>'Annual Fins Data'!L16</f>
        <v>-2838</v>
      </c>
      <c r="N10" s="245">
        <f>'Annual Fins Data'!M16</f>
        <v>-1846</v>
      </c>
      <c r="O10" s="88">
        <f>IF(D10&lt;0,"-",IFERROR((H10/D10)^(1/5)-1,"-"))</f>
        <v>0.17591501763438355</v>
      </c>
      <c r="P10" s="88">
        <f t="shared" si="1"/>
        <v>-2.0760726820868833</v>
      </c>
    </row>
    <row r="11" spans="1:19">
      <c r="B11" s="73"/>
      <c r="C11" s="11" t="s">
        <v>13</v>
      </c>
      <c r="D11" s="244">
        <f>'Annual Fins Data'!C19</f>
        <v>1405</v>
      </c>
      <c r="E11" s="244">
        <f>'Annual Fins Data'!D19</f>
        <v>1935</v>
      </c>
      <c r="F11" s="244">
        <f>'Annual Fins Data'!E19</f>
        <v>2513</v>
      </c>
      <c r="G11" s="244">
        <f>'Annual Fins Data'!F19</f>
        <v>2685</v>
      </c>
      <c r="H11" s="244">
        <f>'Annual Fins Data'!G19</f>
        <v>3202</v>
      </c>
      <c r="I11" s="244">
        <f>'Annual Fins Data'!H19</f>
        <v>3673</v>
      </c>
      <c r="J11" s="244">
        <f>'Annual Fins Data'!I19</f>
        <v>3403</v>
      </c>
      <c r="K11" s="244">
        <f>'Annual Fins Data'!J19</f>
        <v>3975</v>
      </c>
      <c r="L11" s="244">
        <f>'Annual Fins Data'!K19</f>
        <v>7630</v>
      </c>
      <c r="M11" s="244">
        <f>'Annual Fins Data'!L19</f>
        <v>5294</v>
      </c>
      <c r="N11" s="244">
        <f>'Annual Fins Data'!M19</f>
        <v>-4848</v>
      </c>
      <c r="O11" s="88">
        <f>IF(D11&lt;0,"-",IFERROR((H11/D11)^(1/5)-1,"-"))</f>
        <v>0.17909555097789331</v>
      </c>
      <c r="P11" s="88">
        <f t="shared" si="1"/>
        <v>7.5852173839050296E-2</v>
      </c>
    </row>
    <row r="12" spans="1:19">
      <c r="B12" s="73"/>
      <c r="C12" s="16" t="s">
        <v>14</v>
      </c>
      <c r="D12" s="229">
        <f>'Annual Fins Data'!C27</f>
        <v>3528</v>
      </c>
      <c r="E12" s="229">
        <f>'Annual Fins Data'!D27</f>
        <v>4921</v>
      </c>
      <c r="F12" s="229">
        <f>'Annual Fins Data'!E27</f>
        <v>6235</v>
      </c>
      <c r="G12" s="229">
        <f>'Annual Fins Data'!F27</f>
        <v>7148</v>
      </c>
      <c r="H12" s="229">
        <f>'Annual Fins Data'!G27</f>
        <v>8030</v>
      </c>
      <c r="I12" s="229">
        <f>'Annual Fins Data'!H27</f>
        <v>10187</v>
      </c>
      <c r="J12" s="229">
        <f>'Annual Fins Data'!I27</f>
        <v>10322</v>
      </c>
      <c r="K12" s="229">
        <f>'Annual Fins Data'!J27</f>
        <v>13692</v>
      </c>
      <c r="L12" s="229">
        <f>'Annual Fins Data'!K27</f>
        <v>19898</v>
      </c>
      <c r="M12" s="229">
        <f>'Annual Fins Data'!L27</f>
        <v>42955</v>
      </c>
      <c r="N12" s="229">
        <f>'Annual Fins Data'!M27</f>
        <v>36239</v>
      </c>
      <c r="O12" s="86">
        <f>IF(D12&lt;0,"-",IFERROR((H12/D12)^(1/5)-1,"-"))</f>
        <v>0.17879258075212889</v>
      </c>
      <c r="P12" s="86">
        <f t="shared" si="1"/>
        <v>0.33350142292058349</v>
      </c>
    </row>
    <row r="13" spans="1:19">
      <c r="B13" s="73"/>
      <c r="C13" s="89"/>
      <c r="D13" s="89"/>
      <c r="E13" s="89"/>
      <c r="F13" s="89"/>
      <c r="G13" s="89"/>
      <c r="H13" s="89"/>
      <c r="I13" s="90"/>
      <c r="J13" s="90"/>
      <c r="K13" s="90"/>
      <c r="L13" s="90"/>
      <c r="M13" s="90"/>
      <c r="N13" s="90"/>
      <c r="O13" s="91"/>
      <c r="P13" s="11"/>
      <c r="S13" s="211"/>
    </row>
    <row r="14" spans="1:19">
      <c r="B14" s="73"/>
      <c r="C14" s="89" t="s">
        <v>15</v>
      </c>
      <c r="D14" s="92">
        <f>((D5-D6)/D5)</f>
        <v>0.50114510060526751</v>
      </c>
      <c r="E14" s="92">
        <f t="shared" ref="E14:N14" si="2">((E5-E6)/E5)</f>
        <v>0.82372603861109217</v>
      </c>
      <c r="F14" s="92">
        <f t="shared" si="2"/>
        <v>0.82967714116315416</v>
      </c>
      <c r="G14" s="92">
        <f t="shared" si="2"/>
        <v>0.83105063975491078</v>
      </c>
      <c r="H14" s="92">
        <f t="shared" si="2"/>
        <v>0.79349177330895793</v>
      </c>
      <c r="I14" s="92">
        <f t="shared" si="2"/>
        <v>0.78576135138373071</v>
      </c>
      <c r="J14" s="92">
        <f t="shared" si="2"/>
        <v>0.83312777503700053</v>
      </c>
      <c r="K14" s="92">
        <f t="shared" si="2"/>
        <v>0.83607448943232754</v>
      </c>
      <c r="L14" s="92">
        <f t="shared" si="2"/>
        <v>0.54034813760161671</v>
      </c>
      <c r="M14" s="92">
        <f t="shared" si="2"/>
        <v>0.90323482855884696</v>
      </c>
      <c r="N14" s="92">
        <f t="shared" si="2"/>
        <v>0.90213200202873223</v>
      </c>
      <c r="O14" s="93"/>
      <c r="P14" s="93"/>
    </row>
    <row r="15" spans="1:19">
      <c r="B15" s="73"/>
      <c r="C15" s="89" t="s">
        <v>16</v>
      </c>
      <c r="D15" s="92">
        <f>D8/D5</f>
        <v>0.22591199083919516</v>
      </c>
      <c r="E15" s="92">
        <f t="shared" ref="E15:N15" si="3">E8/E5</f>
        <v>0.23112081315232963</v>
      </c>
      <c r="F15" s="92">
        <f t="shared" si="3"/>
        <v>0.2224438096264755</v>
      </c>
      <c r="G15" s="92">
        <f t="shared" si="3"/>
        <v>0.18525860515408182</v>
      </c>
      <c r="H15" s="92">
        <f t="shared" si="3"/>
        <v>0.19959780621572212</v>
      </c>
      <c r="I15" s="92">
        <f t="shared" si="3"/>
        <v>0.18018449742422427</v>
      </c>
      <c r="J15" s="92">
        <f t="shared" si="3"/>
        <v>0.19097187962506168</v>
      </c>
      <c r="K15" s="92">
        <f t="shared" si="3"/>
        <v>0.17380867543086473</v>
      </c>
      <c r="L15" s="92">
        <f t="shared" si="3"/>
        <v>0.20730568441035532</v>
      </c>
      <c r="M15" s="92">
        <f t="shared" si="3"/>
        <v>0.15121454839746259</v>
      </c>
      <c r="N15" s="92">
        <f t="shared" si="3"/>
        <v>0.1256041894542588</v>
      </c>
      <c r="O15" s="93"/>
      <c r="P15" s="262"/>
    </row>
    <row r="16" spans="1:19">
      <c r="B16" s="73"/>
      <c r="C16" s="89" t="s">
        <v>163</v>
      </c>
      <c r="D16" s="92">
        <f>D12/D5</f>
        <v>0.28856535252740062</v>
      </c>
      <c r="E16" s="92">
        <f t="shared" ref="E16:N16" si="4">E12/E5</f>
        <v>0.33569820588034655</v>
      </c>
      <c r="F16" s="92">
        <f t="shared" si="4"/>
        <v>0.33606424836953591</v>
      </c>
      <c r="G16" s="92">
        <f t="shared" si="4"/>
        <v>0.32204000720850606</v>
      </c>
      <c r="H16" s="92">
        <f t="shared" si="4"/>
        <v>0.29360146252285191</v>
      </c>
      <c r="I16" s="92">
        <f t="shared" si="4"/>
        <v>0.30510962022283455</v>
      </c>
      <c r="J16" s="92">
        <f t="shared" si="4"/>
        <v>0.25461272816970892</v>
      </c>
      <c r="K16" s="92">
        <f t="shared" si="4"/>
        <v>0.2567747501078334</v>
      </c>
      <c r="L16" s="92">
        <f t="shared" si="4"/>
        <v>0.30462805615517691</v>
      </c>
      <c r="M16" s="92">
        <f t="shared" si="4"/>
        <v>0.25561453411565882</v>
      </c>
      <c r="N16" s="92">
        <f t="shared" si="4"/>
        <v>0.22144345519984845</v>
      </c>
      <c r="O16" s="93"/>
      <c r="P16" s="262"/>
    </row>
    <row r="17" spans="1:18">
      <c r="B17" s="73"/>
      <c r="C17" s="89" t="s">
        <v>164</v>
      </c>
      <c r="D17" s="94" t="s">
        <v>55</v>
      </c>
      <c r="E17" s="92">
        <f t="shared" ref="E17:M17" si="5">E5/D5-1</f>
        <v>0.19900212661540984</v>
      </c>
      <c r="F17" s="92">
        <f t="shared" si="5"/>
        <v>0.26563885667508025</v>
      </c>
      <c r="G17" s="92">
        <f t="shared" si="5"/>
        <v>0.19635638441222447</v>
      </c>
      <c r="H17" s="92">
        <f t="shared" si="5"/>
        <v>0.23220400072085057</v>
      </c>
      <c r="I17" s="92">
        <f t="shared" si="5"/>
        <v>0.22076782449725774</v>
      </c>
      <c r="J17" s="92">
        <f t="shared" si="5"/>
        <v>0.21420869773571338</v>
      </c>
      <c r="K17" s="92">
        <f t="shared" si="5"/>
        <v>0.31531820424272317</v>
      </c>
      <c r="L17" s="92">
        <f t="shared" si="5"/>
        <v>0.22496858766385985</v>
      </c>
      <c r="M17" s="92">
        <f t="shared" si="5"/>
        <v>1.5726970712962536</v>
      </c>
      <c r="N17" s="94" t="s">
        <v>55</v>
      </c>
      <c r="O17" s="11"/>
      <c r="P17" s="11"/>
    </row>
    <row r="18" spans="1:18">
      <c r="B18" s="73"/>
      <c r="C18" s="89" t="s">
        <v>165</v>
      </c>
      <c r="D18" s="94" t="s">
        <v>55</v>
      </c>
      <c r="E18" s="92">
        <f t="shared" ref="E18:M18" si="6">E12/D12-1</f>
        <v>0.39484126984126977</v>
      </c>
      <c r="F18" s="92">
        <f t="shared" si="6"/>
        <v>0.26701889859784589</v>
      </c>
      <c r="G18" s="92">
        <f t="shared" si="6"/>
        <v>0.1464314354450682</v>
      </c>
      <c r="H18" s="92">
        <f t="shared" si="6"/>
        <v>0.12339115836597658</v>
      </c>
      <c r="I18" s="92">
        <f t="shared" si="6"/>
        <v>0.26861768368617689</v>
      </c>
      <c r="J18" s="92">
        <f t="shared" si="6"/>
        <v>1.3252184156277602E-2</v>
      </c>
      <c r="K18" s="92">
        <f t="shared" si="6"/>
        <v>0.32648711490021309</v>
      </c>
      <c r="L18" s="92">
        <f t="shared" si="6"/>
        <v>0.45325737657026011</v>
      </c>
      <c r="M18" s="92">
        <f t="shared" si="6"/>
        <v>1.1587596743391297</v>
      </c>
      <c r="N18" s="94" t="s">
        <v>55</v>
      </c>
      <c r="O18" s="11"/>
      <c r="P18" s="11"/>
    </row>
    <row r="19" spans="1:18" s="191" customFormat="1">
      <c r="B19" s="190"/>
      <c r="C19" s="89" t="s">
        <v>355</v>
      </c>
      <c r="D19" s="98">
        <f>D5/'Trading Model'!D5</f>
        <v>62.060913705583758</v>
      </c>
      <c r="E19" s="98">
        <f>E5/'Trading Model'!E5</f>
        <v>74.411167512690355</v>
      </c>
      <c r="F19" s="98">
        <f>F5/'Trading Model'!F5</f>
        <v>94.17766497461929</v>
      </c>
      <c r="G19" s="98">
        <f>G5/'Trading Model'!G5</f>
        <v>112.67005076142132</v>
      </c>
      <c r="H19" s="98">
        <f>H5/'Trading Model'!H5</f>
        <v>139.5408163265306</v>
      </c>
      <c r="I19" s="98">
        <f>I5/'Trading Model'!I5</f>
        <v>172.10309278350516</v>
      </c>
      <c r="J19" s="98">
        <f>J5/'Trading Model'!J5</f>
        <v>208.96907216494844</v>
      </c>
      <c r="K19" s="98">
        <f>K5/'Trading Model'!K5</f>
        <v>274.86082474226805</v>
      </c>
      <c r="L19" s="98">
        <f>L5/'Trading Model'!L5</f>
        <v>336.6958762886598</v>
      </c>
      <c r="M19" s="98">
        <f>M5/'Trading Model'!M5</f>
        <v>389.89791183294665</v>
      </c>
      <c r="N19" s="98">
        <f>N5/'Trading Model'!N5</f>
        <v>379.69605568445473</v>
      </c>
      <c r="O19" s="192"/>
      <c r="P19" s="192"/>
    </row>
    <row r="20" spans="1:18" s="191" customFormat="1">
      <c r="B20" s="190"/>
      <c r="C20" s="89" t="s">
        <v>77</v>
      </c>
      <c r="D20" s="98">
        <f>D11/'Trading Model'!D5</f>
        <v>7.1319796954314718</v>
      </c>
      <c r="E20" s="98">
        <f>E11/'Trading Model'!E5</f>
        <v>9.8223350253807098</v>
      </c>
      <c r="F20" s="98">
        <f>F11/'Trading Model'!F5</f>
        <v>12.756345177664974</v>
      </c>
      <c r="G20" s="98">
        <f>G11/'Trading Model'!G5</f>
        <v>13.629441624365482</v>
      </c>
      <c r="H20" s="98">
        <f>H11/'Trading Model'!H5</f>
        <v>16.336734693877553</v>
      </c>
      <c r="I20" s="98">
        <f>I11/'Trading Model'!I5</f>
        <v>18.932989690721648</v>
      </c>
      <c r="J20" s="98">
        <f>J11/'Trading Model'!J5</f>
        <v>17.541237113402062</v>
      </c>
      <c r="K20" s="98">
        <f>K11/'Trading Model'!K5</f>
        <v>20.489690721649485</v>
      </c>
      <c r="L20" s="98">
        <f>L11/'Trading Model'!L5</f>
        <v>39.329896907216494</v>
      </c>
      <c r="M20" s="98">
        <f>M11/'Trading Model'!M5</f>
        <v>12.283062645011601</v>
      </c>
      <c r="N20" s="98">
        <f>N11/'Trading Model'!N5</f>
        <v>-11.248259860788863</v>
      </c>
      <c r="O20" s="192"/>
      <c r="P20" s="192"/>
    </row>
    <row r="21" spans="1:18" s="191" customFormat="1">
      <c r="B21" s="190"/>
      <c r="C21" s="89" t="s">
        <v>356</v>
      </c>
      <c r="D21" s="98">
        <f>D12/'Trading Model'!D5</f>
        <v>17.908629441624367</v>
      </c>
      <c r="E21" s="98">
        <f>E12/'Trading Model'!E5</f>
        <v>24.979695431472081</v>
      </c>
      <c r="F21" s="98">
        <f>F12/'Trading Model'!F5</f>
        <v>31.649746192893399</v>
      </c>
      <c r="G21" s="98">
        <f>G12/'Trading Model'!G5</f>
        <v>36.284263959390863</v>
      </c>
      <c r="H21" s="98">
        <f>H12/'Trading Model'!H5</f>
        <v>40.969387755102041</v>
      </c>
      <c r="I21" s="98">
        <f>I12/'Trading Model'!I5</f>
        <v>52.510309278350519</v>
      </c>
      <c r="J21" s="98">
        <f>J12/'Trading Model'!J5</f>
        <v>53.206185567010309</v>
      </c>
      <c r="K21" s="98">
        <f>K12/'Trading Model'!K5</f>
        <v>70.577319587628864</v>
      </c>
      <c r="L21" s="98">
        <f>L12/'Trading Model'!L5</f>
        <v>102.56701030927834</v>
      </c>
      <c r="M21" s="98">
        <f>M12/'Trading Model'!M5</f>
        <v>99.663573085846863</v>
      </c>
      <c r="N21" s="98">
        <f>N12/'Trading Model'!N5</f>
        <v>84.081206496519727</v>
      </c>
      <c r="O21" s="192"/>
      <c r="P21" s="192"/>
    </row>
    <row r="22" spans="1:18" s="75" customFormat="1">
      <c r="B22" s="77"/>
      <c r="C22" s="247" t="s">
        <v>357</v>
      </c>
      <c r="D22" s="92">
        <f>D8/'Trading Model'!D8</f>
        <v>3.1300643480713868</v>
      </c>
      <c r="E22" s="92">
        <f>E8/'Trading Model'!E8</f>
        <v>1.6746441828688237</v>
      </c>
      <c r="F22" s="92">
        <f>F8/'Trading Model'!F8</f>
        <v>-18.341833538389746</v>
      </c>
      <c r="G22" s="92">
        <f>G8/'Trading Model'!G8</f>
        <v>-2.1088665199864867</v>
      </c>
      <c r="H22" s="92">
        <f>H8/'Trading Model'!H8</f>
        <v>-2.1881626938300887</v>
      </c>
      <c r="I22" s="92">
        <f>I8/'Trading Model'!I8</f>
        <v>2.3937335988762705</v>
      </c>
      <c r="J22" s="92">
        <f>J8/'Trading Model'!J8</f>
        <v>4.1041331885643384</v>
      </c>
      <c r="K22" s="92">
        <f>K8/'Trading Model'!K8</f>
        <v>1.5249868200282661</v>
      </c>
      <c r="L22" s="92">
        <f>L8/'Trading Model'!L8</f>
        <v>1.4636277752755975</v>
      </c>
      <c r="M22" s="92">
        <f>M8/'Trading Model'!M8</f>
        <v>0.48730184102961549</v>
      </c>
      <c r="N22" s="92">
        <f>N8/'Trading Model'!N8</f>
        <v>0.32953191129819037</v>
      </c>
      <c r="O22" s="153"/>
      <c r="P22" s="153"/>
    </row>
    <row r="23" spans="1:18" s="191" customFormat="1">
      <c r="B23" s="190"/>
      <c r="C23" s="247" t="s">
        <v>358</v>
      </c>
      <c r="D23" s="98">
        <f>'Trading Model'!D4/'Annual Fins'!D20</f>
        <v>1.4871245366548043</v>
      </c>
      <c r="E23" s="98">
        <f>'Trading Model'!E4/'Annual Fins'!E20</f>
        <v>1.6998017229974161</v>
      </c>
      <c r="F23" s="98">
        <f>'Trading Model'!F4/'Annual Fins'!F20</f>
        <v>0.98607052606446488</v>
      </c>
      <c r="G23" s="98">
        <f>'Trading Model'!G4/'Annual Fins'!G20</f>
        <v>0.62276997355679697</v>
      </c>
      <c r="H23" s="98">
        <f>'Trading Model'!H4/'Annual Fins'!H20</f>
        <v>0.82361428107432855</v>
      </c>
      <c r="I23" s="98">
        <f>'Trading Model'!I4/'Annual Fins'!I20</f>
        <v>0.854132509665124</v>
      </c>
      <c r="J23" s="98">
        <f>'Trading Model'!J4/'Annual Fins'!J20</f>
        <v>0.80440523714369672</v>
      </c>
      <c r="K23" s="98">
        <f>'Trading Model'!K4/'Annual Fins'!K20</f>
        <v>0.78677473559748434</v>
      </c>
      <c r="L23" s="98">
        <f>'Trading Model'!L4/'Annual Fins'!L20</f>
        <v>0.84766306605504593</v>
      </c>
      <c r="M23" s="98">
        <f>'Trading Model'!M4/'Annual Fins'!M20</f>
        <v>1.187443264072535</v>
      </c>
      <c r="N23" s="98">
        <f>'Trading Model'!N4/'Annual Fins'!N20</f>
        <v>-1.2577055629125411</v>
      </c>
      <c r="O23" s="192"/>
      <c r="P23" s="192"/>
    </row>
    <row r="24" spans="1:18">
      <c r="B24" s="73"/>
      <c r="C24" s="11"/>
      <c r="D24" s="11"/>
      <c r="E24" s="11"/>
      <c r="F24" s="11"/>
      <c r="G24" s="11"/>
      <c r="H24" s="11"/>
      <c r="I24" s="24"/>
      <c r="J24" s="24"/>
      <c r="K24" s="11"/>
      <c r="L24" s="11"/>
      <c r="M24" s="11"/>
      <c r="N24" s="11"/>
      <c r="O24" s="11"/>
      <c r="P24" s="19"/>
    </row>
    <row r="25" spans="1:18">
      <c r="A25" s="207"/>
      <c r="B25" s="77"/>
      <c r="C25" s="58" t="s">
        <v>18</v>
      </c>
      <c r="D25" s="60">
        <v>2009</v>
      </c>
      <c r="E25" s="60">
        <v>2010</v>
      </c>
      <c r="F25" s="60">
        <v>2011</v>
      </c>
      <c r="G25" s="60">
        <v>2012</v>
      </c>
      <c r="H25" s="60">
        <v>2013</v>
      </c>
      <c r="I25" s="60">
        <v>2014</v>
      </c>
      <c r="J25" s="60">
        <v>2015</v>
      </c>
      <c r="K25" s="60">
        <v>2016</v>
      </c>
      <c r="L25" s="60">
        <v>2017</v>
      </c>
      <c r="M25" s="60">
        <v>2018</v>
      </c>
      <c r="N25" s="60" t="s">
        <v>166</v>
      </c>
      <c r="O25" s="60" t="s">
        <v>160</v>
      </c>
      <c r="P25" s="60" t="s">
        <v>161</v>
      </c>
      <c r="Q25" s="207"/>
      <c r="R25" s="207"/>
    </row>
    <row r="26" spans="1:18">
      <c r="B26" s="73"/>
      <c r="C26" s="95" t="s">
        <v>351</v>
      </c>
      <c r="D26" s="231">
        <f>'Annual Fins Data'!Q9</f>
        <v>1289</v>
      </c>
      <c r="E26" s="231">
        <f>'Annual Fins Data'!R9</f>
        <v>1387</v>
      </c>
      <c r="F26" s="231">
        <f>'Annual Fins Data'!S9</f>
        <v>2818</v>
      </c>
      <c r="G26" s="231">
        <f>'Annual Fins Data'!T9</f>
        <v>3723</v>
      </c>
      <c r="H26" s="231">
        <f>'Annual Fins Data'!U9</f>
        <v>5352</v>
      </c>
      <c r="I26" s="231">
        <f>'Annual Fins Data'!V9</f>
        <v>878</v>
      </c>
      <c r="J26" s="231">
        <f>'Annual Fins Data'!W9</f>
        <v>2300</v>
      </c>
      <c r="K26" s="231">
        <f>'Annual Fins Data'!X9</f>
        <v>5696</v>
      </c>
      <c r="L26" s="231">
        <f>'Annual Fins Data'!Y9</f>
        <v>6257</v>
      </c>
      <c r="M26" s="231">
        <f>'Annual Fins Data'!Z9</f>
        <v>8262</v>
      </c>
      <c r="N26" s="231">
        <f>'Quarterly Fins Data'!Z9</f>
        <v>15376</v>
      </c>
      <c r="O26" s="86">
        <f t="shared" ref="O26:O38" si="7">IFERROR((H26/D26)^(1/5)-1,"-")</f>
        <v>0.32939070373562784</v>
      </c>
      <c r="P26" s="86">
        <f t="shared" ref="P26:P38" si="8">IFERROR((M26/I26)^(1/5)-1,"-")</f>
        <v>0.56573454994561878</v>
      </c>
    </row>
    <row r="27" spans="1:18">
      <c r="B27" s="73"/>
      <c r="C27" s="11" t="s">
        <v>56</v>
      </c>
      <c r="D27" s="232">
        <f>'Annual Fins Data'!Q10</f>
        <v>1163</v>
      </c>
      <c r="E27" s="232">
        <f>'Annual Fins Data'!R10</f>
        <v>1463</v>
      </c>
      <c r="F27" s="232">
        <f>'Annual Fins Data'!S10</f>
        <v>1790</v>
      </c>
      <c r="G27" s="232">
        <f>'Annual Fins Data'!T10</f>
        <v>2181</v>
      </c>
      <c r="H27" s="232">
        <f>'Annual Fins Data'!U10</f>
        <v>2986</v>
      </c>
      <c r="I27" s="232">
        <f>'Annual Fins Data'!V10</f>
        <v>4124</v>
      </c>
      <c r="J27" s="232">
        <f>'Annual Fins Data'!W10</f>
        <v>5663</v>
      </c>
      <c r="K27" s="232">
        <f>'Annual Fins Data'!X10</f>
        <v>7577</v>
      </c>
      <c r="L27" s="232">
        <f>'Annual Fins Data'!Y10</f>
        <v>8636</v>
      </c>
      <c r="M27" s="232">
        <f>'Annual Fins Data'!Z10</f>
        <v>20002</v>
      </c>
      <c r="N27" s="233">
        <f>'Quarterly Fins Data'!Z10</f>
        <v>20037</v>
      </c>
      <c r="O27" s="88">
        <f t="shared" si="7"/>
        <v>0.20754136793368971</v>
      </c>
      <c r="P27" s="88">
        <f t="shared" si="8"/>
        <v>0.37135834382528032</v>
      </c>
    </row>
    <row r="28" spans="1:18">
      <c r="B28" s="73"/>
      <c r="C28" s="37" t="s">
        <v>85</v>
      </c>
      <c r="D28" s="233">
        <f>'Annual Fins Data'!Q11</f>
        <v>243</v>
      </c>
      <c r="E28" s="233">
        <f>'Annual Fins Data'!R11</f>
        <v>452</v>
      </c>
      <c r="F28" s="233">
        <f>'Annual Fins Data'!S11</f>
        <v>536</v>
      </c>
      <c r="G28" s="233">
        <f>'Annual Fins Data'!T11</f>
        <v>633</v>
      </c>
      <c r="H28" s="233">
        <f>'Annual Fins Data'!U11</f>
        <v>772</v>
      </c>
      <c r="I28" s="233">
        <f>'Annual Fins Data'!V11</f>
        <v>721</v>
      </c>
      <c r="J28" s="233">
        <f>'Annual Fins Data'!W11</f>
        <v>2193</v>
      </c>
      <c r="K28" s="233">
        <f>'Annual Fins Data'!X11</f>
        <v>1278</v>
      </c>
      <c r="L28" s="233">
        <f>'Annual Fins Data'!Y11</f>
        <v>1854</v>
      </c>
      <c r="M28" s="233">
        <f>'Annual Fins Data'!Z11</f>
        <v>2737</v>
      </c>
      <c r="N28" s="233">
        <f>'Quarterly Fins Data'!Z11</f>
        <v>3110</v>
      </c>
      <c r="O28" s="88">
        <f t="shared" si="7"/>
        <v>0.26009185781875233</v>
      </c>
      <c r="P28" s="88">
        <f t="shared" si="8"/>
        <v>0.30577366826103947</v>
      </c>
    </row>
    <row r="29" spans="1:18">
      <c r="B29" s="73"/>
      <c r="C29" s="95" t="s">
        <v>331</v>
      </c>
      <c r="D29" s="242">
        <f>'Annual Fins Data'!Q14</f>
        <v>2943</v>
      </c>
      <c r="E29" s="242">
        <f>'Annual Fins Data'!R14</f>
        <v>3624</v>
      </c>
      <c r="F29" s="242">
        <f>'Annual Fins Data'!S14</f>
        <v>5450</v>
      </c>
      <c r="G29" s="242">
        <f>'Annual Fins Data'!T14</f>
        <v>6986</v>
      </c>
      <c r="H29" s="242">
        <f>'Annual Fins Data'!U14</f>
        <v>9751</v>
      </c>
      <c r="I29" s="242">
        <f>'Annual Fins Data'!V14</f>
        <v>6393</v>
      </c>
      <c r="J29" s="242">
        <f>'Annual Fins Data'!W14</f>
        <v>11492</v>
      </c>
      <c r="K29" s="242">
        <f>'Annual Fins Data'!X14</f>
        <v>15562</v>
      </c>
      <c r="L29" s="242">
        <f>'Annual Fins Data'!Y14</f>
        <v>18238</v>
      </c>
      <c r="M29" s="242">
        <f>'Annual Fins Data'!Z14</f>
        <v>33487</v>
      </c>
      <c r="N29" s="242">
        <f>'Quarterly Fins Data'!Z14</f>
        <v>39305</v>
      </c>
      <c r="O29" s="86">
        <f t="shared" si="7"/>
        <v>0.27072559875329105</v>
      </c>
      <c r="P29" s="86">
        <f t="shared" si="8"/>
        <v>0.39262538576931361</v>
      </c>
    </row>
    <row r="30" spans="1:18">
      <c r="B30" s="73"/>
      <c r="C30" s="37" t="s">
        <v>332</v>
      </c>
      <c r="D30" s="233">
        <f>'Annual Fins Data'!Q19</f>
        <v>6839</v>
      </c>
      <c r="E30" s="233">
        <f>'Annual Fins Data'!R19</f>
        <v>7365</v>
      </c>
      <c r="F30" s="233">
        <f>'Annual Fins Data'!S19</f>
        <v>8247</v>
      </c>
      <c r="G30" s="233">
        <f>'Annual Fins Data'!T19</f>
        <v>9035</v>
      </c>
      <c r="H30" s="233">
        <f>'Annual Fins Data'!U19</f>
        <v>11226</v>
      </c>
      <c r="I30" s="233">
        <f>'Annual Fins Data'!V19</f>
        <v>13809</v>
      </c>
      <c r="J30" s="233">
        <f>'Annual Fins Data'!W19</f>
        <v>17963</v>
      </c>
      <c r="K30" s="233">
        <f>'Annual Fins Data'!X19</f>
        <v>23165</v>
      </c>
      <c r="L30" s="233">
        <f>'Annual Fins Data'!Y19</f>
        <v>28538</v>
      </c>
      <c r="M30" s="233">
        <f>'Annual Fins Data'!Z19</f>
        <v>150476</v>
      </c>
      <c r="N30" s="233">
        <f>'Quarterly Fins Data'!Z19</f>
        <v>167658</v>
      </c>
      <c r="O30" s="88">
        <f t="shared" si="7"/>
        <v>0.10419680667257492</v>
      </c>
      <c r="P30" s="88">
        <f t="shared" si="8"/>
        <v>0.61235623626116698</v>
      </c>
    </row>
    <row r="31" spans="1:18">
      <c r="B31" s="73"/>
      <c r="C31" s="95" t="s">
        <v>339</v>
      </c>
      <c r="D31" s="242">
        <f>'Annual Fins Data'!Q26</f>
        <v>10633</v>
      </c>
      <c r="E31" s="242">
        <f>'Annual Fins Data'!R26</f>
        <v>12323</v>
      </c>
      <c r="F31" s="242">
        <f>'Annual Fins Data'!S26</f>
        <v>15319</v>
      </c>
      <c r="G31" s="242">
        <f>'Annual Fins Data'!T26</f>
        <v>17809</v>
      </c>
      <c r="H31" s="242">
        <f>'Annual Fins Data'!U26</f>
        <v>23130</v>
      </c>
      <c r="I31" s="242">
        <f>'Annual Fins Data'!V26</f>
        <v>26317</v>
      </c>
      <c r="J31" s="242">
        <f>'Annual Fins Data'!W26</f>
        <v>38465</v>
      </c>
      <c r="K31" s="242">
        <f>'Annual Fins Data'!X26</f>
        <v>47914</v>
      </c>
      <c r="L31" s="242">
        <f>'Annual Fins Data'!Y26</f>
        <v>57588</v>
      </c>
      <c r="M31" s="242">
        <f>'Annual Fins Data'!Z26</f>
        <v>371738</v>
      </c>
      <c r="N31" s="242">
        <f>'Quarterly Fins Data'!Z26</f>
        <v>419264</v>
      </c>
      <c r="O31" s="86">
        <f t="shared" si="7"/>
        <v>0.16816439157639085</v>
      </c>
      <c r="P31" s="86">
        <f t="shared" si="8"/>
        <v>0.69824410416758798</v>
      </c>
    </row>
    <row r="32" spans="1:18">
      <c r="B32" s="73"/>
      <c r="C32" s="11" t="s">
        <v>337</v>
      </c>
      <c r="D32" s="232">
        <f>'Annual Fins Data'!Q31</f>
        <v>2212</v>
      </c>
      <c r="E32" s="232">
        <f>'Annual Fins Data'!R31</f>
        <v>2908</v>
      </c>
      <c r="F32" s="232">
        <f>'Annual Fins Data'!S31</f>
        <v>3407</v>
      </c>
      <c r="G32" s="232">
        <f>'Annual Fins Data'!T31</f>
        <v>3659</v>
      </c>
      <c r="H32" s="232">
        <f>'Annual Fins Data'!U31</f>
        <v>6130</v>
      </c>
      <c r="I32" s="232">
        <f>'Annual Fins Data'!V31</f>
        <v>6072</v>
      </c>
      <c r="J32" s="232">
        <f>'Annual Fins Data'!W31</f>
        <v>9873</v>
      </c>
      <c r="K32" s="232">
        <f>'Annual Fins Data'!X31</f>
        <v>8979</v>
      </c>
      <c r="L32" s="232">
        <f>'Annual Fins Data'!Y31</f>
        <v>11483</v>
      </c>
      <c r="M32" s="232">
        <f>'Annual Fins Data'!Z31</f>
        <v>22854</v>
      </c>
      <c r="N32" s="233">
        <f>'Quarterly Fins Data'!Z31</f>
        <v>21288</v>
      </c>
      <c r="O32" s="88">
        <f t="shared" si="7"/>
        <v>0.22612591144681149</v>
      </c>
      <c r="P32" s="88">
        <f t="shared" si="8"/>
        <v>0.30354519173990724</v>
      </c>
    </row>
    <row r="33" spans="2:32">
      <c r="B33" s="73"/>
      <c r="C33" s="11" t="s">
        <v>338</v>
      </c>
      <c r="D33" s="232">
        <f>'Annual Fins Data'!Q33</f>
        <v>0</v>
      </c>
      <c r="E33" s="232">
        <f>'Annual Fins Data'!R33</f>
        <v>2</v>
      </c>
      <c r="F33" s="232">
        <f>'Annual Fins Data'!S33</f>
        <v>2</v>
      </c>
      <c r="G33" s="232">
        <f>'Annual Fins Data'!T33</f>
        <v>3</v>
      </c>
      <c r="H33" s="232">
        <f>'Annual Fins Data'!U33</f>
        <v>5</v>
      </c>
      <c r="I33" s="232">
        <f>'Annual Fins Data'!V33</f>
        <v>17</v>
      </c>
      <c r="J33" s="232">
        <f>'Annual Fins Data'!W33</f>
        <v>112</v>
      </c>
      <c r="K33" s="232">
        <f>'Annual Fins Data'!X33</f>
        <v>0</v>
      </c>
      <c r="L33" s="232">
        <f>'Annual Fins Data'!Y33</f>
        <v>2051</v>
      </c>
      <c r="M33" s="232">
        <f>'Annual Fins Data'!Z33</f>
        <v>3675</v>
      </c>
      <c r="N33" s="233">
        <f>'Quarterly Fins Data'!Z33</f>
        <v>0</v>
      </c>
      <c r="O33" s="88" t="str">
        <f t="shared" si="7"/>
        <v>-</v>
      </c>
      <c r="P33" s="88">
        <f t="shared" si="8"/>
        <v>1.9306346788634849</v>
      </c>
    </row>
    <row r="34" spans="2:32">
      <c r="B34" s="73"/>
      <c r="C34" s="95" t="s">
        <v>340</v>
      </c>
      <c r="D34" s="242">
        <f>'Annual Fins Data'!Q36</f>
        <v>4169</v>
      </c>
      <c r="E34" s="242">
        <f>'Annual Fins Data'!R36</f>
        <v>4510</v>
      </c>
      <c r="F34" s="242">
        <f>'Annual Fins Data'!S36</f>
        <v>5519</v>
      </c>
      <c r="G34" s="242">
        <f>'Annual Fins Data'!T36</f>
        <v>5883</v>
      </c>
      <c r="H34" s="242">
        <f>'Annual Fins Data'!U36</f>
        <v>9050</v>
      </c>
      <c r="I34" s="242">
        <f>'Annual Fins Data'!V36</f>
        <v>9097</v>
      </c>
      <c r="J34" s="242">
        <f>'Annual Fins Data'!W36</f>
        <v>16914</v>
      </c>
      <c r="K34" s="242">
        <f>'Annual Fins Data'!X36</f>
        <v>16511</v>
      </c>
      <c r="L34" s="242">
        <f>'Annual Fins Data'!Y36</f>
        <v>21987</v>
      </c>
      <c r="M34" s="242">
        <f>'Annual Fins Data'!Z36</f>
        <v>53445</v>
      </c>
      <c r="N34" s="242">
        <f>'Quarterly Fins Data'!Z36</f>
        <v>54084</v>
      </c>
      <c r="O34" s="86">
        <f t="shared" si="7"/>
        <v>0.16767864256892318</v>
      </c>
      <c r="P34" s="86">
        <f t="shared" si="8"/>
        <v>0.42495705977761311</v>
      </c>
    </row>
    <row r="35" spans="2:32" s="75" customFormat="1">
      <c r="B35" s="152"/>
      <c r="C35" s="37" t="s">
        <v>341</v>
      </c>
      <c r="D35" s="232">
        <f>'Annual Fins Data'!Q38</f>
        <v>82</v>
      </c>
      <c r="E35" s="232">
        <f>'Annual Fins Data'!R38</f>
        <v>121</v>
      </c>
      <c r="F35" s="232">
        <f>'Annual Fins Data'!S38</f>
        <v>115</v>
      </c>
      <c r="G35" s="232">
        <f>'Annual Fins Data'!T38</f>
        <v>101</v>
      </c>
      <c r="H35" s="232">
        <f>'Annual Fins Data'!U38</f>
        <v>220</v>
      </c>
      <c r="I35" s="232">
        <f>'Annual Fins Data'!V38</f>
        <v>254</v>
      </c>
      <c r="J35" s="232">
        <f>'Annual Fins Data'!W38</f>
        <v>1449</v>
      </c>
      <c r="K35" s="232">
        <f>'Annual Fins Data'!X38</f>
        <v>8646</v>
      </c>
      <c r="L35" s="232">
        <f>'Annual Fins Data'!Y38</f>
        <v>9041</v>
      </c>
      <c r="M35" s="232">
        <f>'Annual Fins Data'!Z38</f>
        <v>54122</v>
      </c>
      <c r="N35" s="233">
        <f>'Quarterly Fins Data'!Z38</f>
        <v>71655</v>
      </c>
      <c r="O35" s="88">
        <f t="shared" si="7"/>
        <v>0.21820889337654426</v>
      </c>
      <c r="P35" s="88">
        <f t="shared" si="8"/>
        <v>1.9221871325409241</v>
      </c>
      <c r="S35" s="292"/>
      <c r="T35" s="292"/>
      <c r="U35" s="292"/>
      <c r="V35" s="292"/>
      <c r="W35" s="292"/>
      <c r="X35" s="292"/>
      <c r="Y35" s="292"/>
      <c r="Z35" s="292"/>
      <c r="AA35" s="292"/>
      <c r="AB35" s="292"/>
      <c r="AC35" s="292"/>
      <c r="AD35" s="292"/>
      <c r="AE35" s="292"/>
      <c r="AF35" s="292"/>
    </row>
    <row r="36" spans="2:32">
      <c r="B36" s="73"/>
      <c r="C36" s="153" t="s">
        <v>342</v>
      </c>
      <c r="D36" s="234">
        <f t="shared" ref="D36:M36" si="9">D37-D35-D34</f>
        <v>946</v>
      </c>
      <c r="E36" s="234">
        <f t="shared" si="9"/>
        <v>1288</v>
      </c>
      <c r="F36" s="234">
        <f t="shared" si="9"/>
        <v>1664</v>
      </c>
      <c r="G36" s="234">
        <f t="shared" si="9"/>
        <v>1866</v>
      </c>
      <c r="H36" s="234">
        <f t="shared" si="9"/>
        <v>2077</v>
      </c>
      <c r="I36" s="234">
        <f t="shared" si="9"/>
        <v>2548</v>
      </c>
      <c r="J36" s="234">
        <f t="shared" si="9"/>
        <v>2908</v>
      </c>
      <c r="K36" s="234">
        <f t="shared" si="9"/>
        <v>3421</v>
      </c>
      <c r="L36" s="234">
        <f t="shared" si="9"/>
        <v>3474</v>
      </c>
      <c r="M36" s="234">
        <f t="shared" si="9"/>
        <v>38485</v>
      </c>
      <c r="N36" s="235">
        <f>'Quarterly Fins Data'!Z39</f>
        <v>28015</v>
      </c>
      <c r="O36" s="88">
        <f t="shared" si="7"/>
        <v>0.17033197861086014</v>
      </c>
      <c r="P36" s="88">
        <f t="shared" si="8"/>
        <v>0.72114878038538177</v>
      </c>
    </row>
    <row r="37" spans="2:32" s="76" customFormat="1">
      <c r="B37" s="77"/>
      <c r="C37" s="95" t="s">
        <v>343</v>
      </c>
      <c r="D37" s="242">
        <f>'Annual Fins Data'!Q46</f>
        <v>5197</v>
      </c>
      <c r="E37" s="242">
        <f>'Annual Fins Data'!R46</f>
        <v>5919</v>
      </c>
      <c r="F37" s="242">
        <f>'Annual Fins Data'!S46</f>
        <v>7298</v>
      </c>
      <c r="G37" s="242">
        <f>'Annual Fins Data'!T46</f>
        <v>7850</v>
      </c>
      <c r="H37" s="242">
        <f>'Annual Fins Data'!U46</f>
        <v>11347</v>
      </c>
      <c r="I37" s="242">
        <f>'Annual Fins Data'!V46</f>
        <v>11899</v>
      </c>
      <c r="J37" s="242">
        <f>'Annual Fins Data'!W46</f>
        <v>21271</v>
      </c>
      <c r="K37" s="242">
        <f>'Annual Fins Data'!X46</f>
        <v>28578</v>
      </c>
      <c r="L37" s="242">
        <f>'Annual Fins Data'!Y46</f>
        <v>34502</v>
      </c>
      <c r="M37" s="242">
        <f>'Annual Fins Data'!Z46</f>
        <v>146052</v>
      </c>
      <c r="N37" s="242">
        <f>'Quarterly Fins Data'!Z46</f>
        <v>166097</v>
      </c>
      <c r="O37" s="86">
        <f t="shared" si="7"/>
        <v>0.1690300304369492</v>
      </c>
      <c r="P37" s="86">
        <f t="shared" si="8"/>
        <v>0.65119896905110286</v>
      </c>
    </row>
    <row r="38" spans="2:32">
      <c r="B38" s="73"/>
      <c r="C38" s="95" t="s">
        <v>352</v>
      </c>
      <c r="D38" s="231">
        <f>'Annual Fins Data'!Q54</f>
        <v>5436</v>
      </c>
      <c r="E38" s="231">
        <f>'Annual Fins Data'!R54</f>
        <v>6404</v>
      </c>
      <c r="F38" s="231">
        <f>'Annual Fins Data'!S54</f>
        <v>8021</v>
      </c>
      <c r="G38" s="231">
        <f>'Annual Fins Data'!T54</f>
        <v>9959</v>
      </c>
      <c r="H38" s="231">
        <f>'Annual Fins Data'!U54</f>
        <v>11783</v>
      </c>
      <c r="I38" s="231">
        <f>'Annual Fins Data'!V54</f>
        <v>14418</v>
      </c>
      <c r="J38" s="231">
        <f>'Annual Fins Data'!W54</f>
        <v>17194</v>
      </c>
      <c r="K38" s="231">
        <f>'Annual Fins Data'!X54</f>
        <v>19336</v>
      </c>
      <c r="L38" s="231">
        <f>'Annual Fins Data'!Y54</f>
        <v>23086</v>
      </c>
      <c r="M38" s="231">
        <f>'Annual Fins Data'!Z54</f>
        <v>225686</v>
      </c>
      <c r="N38" s="231">
        <f>'Quarterly Fins Data'!Z54</f>
        <v>253167</v>
      </c>
      <c r="O38" s="86">
        <f t="shared" si="7"/>
        <v>0.16733440552121692</v>
      </c>
      <c r="P38" s="86">
        <f t="shared" si="8"/>
        <v>0.73348432783022788</v>
      </c>
    </row>
    <row r="39" spans="2:32">
      <c r="B39" s="73"/>
      <c r="C39" s="11"/>
      <c r="D39" s="11"/>
      <c r="E39" s="11"/>
      <c r="F39" s="11"/>
      <c r="G39" s="11"/>
      <c r="H39" s="11"/>
      <c r="I39" s="91"/>
      <c r="J39" s="91"/>
      <c r="K39" s="91"/>
      <c r="L39" s="91"/>
      <c r="M39" s="91"/>
      <c r="N39" s="91"/>
      <c r="O39" s="91"/>
      <c r="P39" s="11"/>
    </row>
    <row r="40" spans="2:32">
      <c r="B40" s="73"/>
      <c r="C40" s="89" t="s">
        <v>167</v>
      </c>
      <c r="D40" s="96">
        <f t="shared" ref="D40:N40" si="10">D29-D34</f>
        <v>-1226</v>
      </c>
      <c r="E40" s="96">
        <f t="shared" si="10"/>
        <v>-886</v>
      </c>
      <c r="F40" s="96">
        <f t="shared" si="10"/>
        <v>-69</v>
      </c>
      <c r="G40" s="96">
        <f t="shared" si="10"/>
        <v>1103</v>
      </c>
      <c r="H40" s="96">
        <f t="shared" si="10"/>
        <v>701</v>
      </c>
      <c r="I40" s="96">
        <f t="shared" si="10"/>
        <v>-2704</v>
      </c>
      <c r="J40" s="96">
        <f t="shared" si="10"/>
        <v>-5422</v>
      </c>
      <c r="K40" s="96">
        <f t="shared" si="10"/>
        <v>-949</v>
      </c>
      <c r="L40" s="96">
        <f t="shared" si="10"/>
        <v>-3749</v>
      </c>
      <c r="M40" s="96">
        <f t="shared" si="10"/>
        <v>-19958</v>
      </c>
      <c r="N40" s="96">
        <f t="shared" si="10"/>
        <v>-14779</v>
      </c>
      <c r="O40" s="91"/>
      <c r="P40" s="11"/>
    </row>
    <row r="41" spans="2:32">
      <c r="B41" s="73"/>
      <c r="C41" s="89" t="s">
        <v>168</v>
      </c>
      <c r="D41" s="97">
        <f t="shared" ref="D41:N41" si="11">D40/D5</f>
        <v>-0.10027809586127924</v>
      </c>
      <c r="E41" s="97">
        <f t="shared" si="11"/>
        <v>-6.0440684903472271E-2</v>
      </c>
      <c r="F41" s="97">
        <f t="shared" si="11"/>
        <v>-3.7190750821969494E-3</v>
      </c>
      <c r="G41" s="97">
        <f t="shared" si="11"/>
        <v>4.9693638493422239E-2</v>
      </c>
      <c r="H41" s="97">
        <f t="shared" si="11"/>
        <v>2.5630712979890311E-2</v>
      </c>
      <c r="I41" s="97">
        <f t="shared" si="11"/>
        <v>-8.0987181023122079E-2</v>
      </c>
      <c r="J41" s="97">
        <f t="shared" si="11"/>
        <v>-0.13374444992599901</v>
      </c>
      <c r="K41" s="97">
        <f t="shared" si="11"/>
        <v>-1.7797198207152636E-2</v>
      </c>
      <c r="L41" s="97">
        <f t="shared" si="11"/>
        <v>-5.7395244875151179E-2</v>
      </c>
      <c r="M41" s="97">
        <f t="shared" si="11"/>
        <v>-0.11876510003213406</v>
      </c>
      <c r="N41" s="97">
        <f t="shared" si="11"/>
        <v>-9.0309137238846551E-2</v>
      </c>
      <c r="O41" s="91"/>
      <c r="P41" s="11"/>
    </row>
    <row r="42" spans="2:32">
      <c r="B42" s="73"/>
      <c r="C42" s="89" t="s">
        <v>169</v>
      </c>
      <c r="D42" s="98">
        <f t="shared" ref="D42:N42" si="12">IFERROR(D29/D34,"-")</f>
        <v>0.70592468217798032</v>
      </c>
      <c r="E42" s="98">
        <f t="shared" si="12"/>
        <v>0.8035476718403548</v>
      </c>
      <c r="F42" s="98">
        <f t="shared" si="12"/>
        <v>0.98749773509693783</v>
      </c>
      <c r="G42" s="98">
        <f t="shared" si="12"/>
        <v>1.1874893761686214</v>
      </c>
      <c r="H42" s="98">
        <f t="shared" si="12"/>
        <v>1.0774585635359115</v>
      </c>
      <c r="I42" s="98">
        <f t="shared" si="12"/>
        <v>0.70275915136858302</v>
      </c>
      <c r="J42" s="98">
        <f t="shared" si="12"/>
        <v>0.67943715265460569</v>
      </c>
      <c r="K42" s="98">
        <f t="shared" si="12"/>
        <v>0.94252316637393252</v>
      </c>
      <c r="L42" s="98">
        <f t="shared" si="12"/>
        <v>0.82949015327238818</v>
      </c>
      <c r="M42" s="98">
        <f t="shared" si="12"/>
        <v>0.62656937038076532</v>
      </c>
      <c r="N42" s="98">
        <f t="shared" si="12"/>
        <v>0.72673988610309892</v>
      </c>
      <c r="O42" s="91"/>
      <c r="P42" s="11"/>
    </row>
    <row r="43" spans="2:32" s="75" customFormat="1">
      <c r="B43" s="77"/>
      <c r="C43" s="89" t="s">
        <v>353</v>
      </c>
      <c r="D43" s="96">
        <f t="shared" ref="D43:N43" si="13">D35-D26</f>
        <v>-1207</v>
      </c>
      <c r="E43" s="96">
        <f t="shared" si="13"/>
        <v>-1266</v>
      </c>
      <c r="F43" s="96">
        <f t="shared" si="13"/>
        <v>-2703</v>
      </c>
      <c r="G43" s="96">
        <f t="shared" si="13"/>
        <v>-3622</v>
      </c>
      <c r="H43" s="96">
        <f t="shared" si="13"/>
        <v>-5132</v>
      </c>
      <c r="I43" s="96">
        <f t="shared" si="13"/>
        <v>-624</v>
      </c>
      <c r="J43" s="96">
        <f t="shared" si="13"/>
        <v>-851</v>
      </c>
      <c r="K43" s="96">
        <f t="shared" si="13"/>
        <v>2950</v>
      </c>
      <c r="L43" s="96">
        <f t="shared" si="13"/>
        <v>2784</v>
      </c>
      <c r="M43" s="96">
        <f t="shared" si="13"/>
        <v>45860</v>
      </c>
      <c r="N43" s="96">
        <f t="shared" si="13"/>
        <v>56279</v>
      </c>
      <c r="O43" s="91"/>
      <c r="P43" s="37"/>
    </row>
    <row r="44" spans="2:32">
      <c r="B44" s="73"/>
      <c r="C44" s="89" t="s">
        <v>170</v>
      </c>
      <c r="D44" s="99">
        <f t="shared" ref="D44:N44" si="14">IFERROR(D37/D31,"-")</f>
        <v>0.48876140317878303</v>
      </c>
      <c r="E44" s="99">
        <f t="shared" si="14"/>
        <v>0.48032135032053885</v>
      </c>
      <c r="F44" s="99">
        <f t="shared" si="14"/>
        <v>0.47640185390691298</v>
      </c>
      <c r="G44" s="99">
        <f t="shared" si="14"/>
        <v>0.44078836543320793</v>
      </c>
      <c r="H44" s="99">
        <f t="shared" si="14"/>
        <v>0.49057501080847382</v>
      </c>
      <c r="I44" s="99">
        <f t="shared" si="14"/>
        <v>0.45214120150473081</v>
      </c>
      <c r="J44" s="99">
        <f t="shared" si="14"/>
        <v>0.55299623033926948</v>
      </c>
      <c r="K44" s="99">
        <f t="shared" si="14"/>
        <v>0.59644362816713281</v>
      </c>
      <c r="L44" s="99">
        <f t="shared" si="14"/>
        <v>0.59911787177884279</v>
      </c>
      <c r="M44" s="99">
        <f t="shared" si="14"/>
        <v>0.39288961580467963</v>
      </c>
      <c r="N44" s="99">
        <f t="shared" si="14"/>
        <v>0.39616327659899253</v>
      </c>
      <c r="O44" s="91"/>
      <c r="P44" s="11"/>
    </row>
    <row r="45" spans="2:32">
      <c r="B45" s="73"/>
      <c r="C45" s="89" t="s">
        <v>171</v>
      </c>
      <c r="D45" s="98">
        <f>IFERROR(D12/(D9+ABS('Annual Fins Data'!AD26)),"-")</f>
        <v>20.393063583815028</v>
      </c>
      <c r="E45" s="98">
        <f>IFERROR(E12/(E9+ABS('Annual Fins Data'!AE24)),"-")</f>
        <v>26.744565217391305</v>
      </c>
      <c r="F45" s="98">
        <f>IFERROR(F12/(F9+ABS('Annual Fins Data'!AF26)),"-")</f>
        <v>38.96875</v>
      </c>
      <c r="G45" s="98">
        <f>IFERROR(G12/(G9+ABS('Annual Fins Data'!AG26)),"-")</f>
        <v>7.3463514902363825</v>
      </c>
      <c r="H45" s="98">
        <f>IFERROR(H12/(H9+ABS('Annual Fins Data'!AH26)),"-")</f>
        <v>20.380710659898476</v>
      </c>
      <c r="I45" s="98">
        <f>IFERROR(I12/(I9+ABS('Annual Fins Data'!AI26)),"-")</f>
        <v>6.4190296156269691</v>
      </c>
      <c r="J45" s="98">
        <f>IFERROR(J12/(J9+ABS('Annual Fins Data'!AJ26)),"-")</f>
        <v>5.9561454125793425</v>
      </c>
      <c r="K45" s="98">
        <f>IFERROR(K12/(K9+ABS('Annual Fins Data'!AK26)),"-")</f>
        <v>7.1498694516971275</v>
      </c>
      <c r="L45" s="98">
        <f>IFERROR(L12/(L9+ABS('Annual Fins Data'!AL26)),"-")</f>
        <v>14.761127596439168</v>
      </c>
      <c r="M45" s="98">
        <f>IFERROR(M12/(M9+ABS('Annual Fins Data'!AM26)),"-")</f>
        <v>8.2574009996155322</v>
      </c>
      <c r="N45" s="98">
        <f>IFERROR(N12/(N9+ABS('Annual Fins Data'!AN26)),"-")</f>
        <v>5.9001953760989903</v>
      </c>
      <c r="O45" s="91"/>
      <c r="P45" s="11"/>
    </row>
    <row r="46" spans="2:32">
      <c r="B46" s="73"/>
      <c r="C46" s="89" t="s">
        <v>153</v>
      </c>
      <c r="D46" s="99">
        <f t="shared" ref="D46:N46" si="15">IFERROR(D11/D38,"-")</f>
        <v>0.25846210448859458</v>
      </c>
      <c r="E46" s="99">
        <f t="shared" si="15"/>
        <v>0.30215490318550908</v>
      </c>
      <c r="F46" s="99">
        <f t="shared" si="15"/>
        <v>0.3133025807255953</v>
      </c>
      <c r="G46" s="99">
        <f t="shared" si="15"/>
        <v>0.26960538206647255</v>
      </c>
      <c r="H46" s="99">
        <f t="shared" si="15"/>
        <v>0.27174743274208607</v>
      </c>
      <c r="I46" s="99">
        <f t="shared" si="15"/>
        <v>0.25475100568733527</v>
      </c>
      <c r="J46" s="99">
        <f t="shared" si="15"/>
        <v>0.19791787832964988</v>
      </c>
      <c r="K46" s="99">
        <f t="shared" si="15"/>
        <v>0.2055750930906082</v>
      </c>
      <c r="L46" s="99">
        <f t="shared" si="15"/>
        <v>0.33050333535476045</v>
      </c>
      <c r="M46" s="99">
        <f t="shared" si="15"/>
        <v>2.345736997421196E-2</v>
      </c>
      <c r="N46" s="99">
        <f t="shared" si="15"/>
        <v>-1.9149415208143242E-2</v>
      </c>
      <c r="O46" s="91"/>
      <c r="P46" s="11"/>
    </row>
    <row r="47" spans="2:32">
      <c r="B47" s="73"/>
      <c r="C47" s="89" t="s">
        <v>151</v>
      </c>
      <c r="D47" s="99">
        <f t="shared" ref="D47:N47" si="16">IFERROR(D11/D31,"-")</f>
        <v>0.13213580363020785</v>
      </c>
      <c r="E47" s="99">
        <f t="shared" si="16"/>
        <v>0.15702345208147367</v>
      </c>
      <c r="F47" s="99">
        <f t="shared" si="16"/>
        <v>0.16404465043410144</v>
      </c>
      <c r="G47" s="99">
        <f t="shared" si="16"/>
        <v>0.15076646639339661</v>
      </c>
      <c r="H47" s="99">
        <f t="shared" si="16"/>
        <v>0.13843493298746218</v>
      </c>
      <c r="I47" s="99">
        <f t="shared" si="16"/>
        <v>0.13956757989132501</v>
      </c>
      <c r="J47" s="99">
        <f t="shared" si="16"/>
        <v>8.8470037696607301E-2</v>
      </c>
      <c r="K47" s="99">
        <f t="shared" si="16"/>
        <v>8.2961138706849777E-2</v>
      </c>
      <c r="L47" s="99">
        <f t="shared" si="16"/>
        <v>0.13249288046120719</v>
      </c>
      <c r="M47" s="99">
        <f t="shared" si="16"/>
        <v>1.4241212897255594E-2</v>
      </c>
      <c r="N47" s="99">
        <f t="shared" si="16"/>
        <v>-1.1563120134330637E-2</v>
      </c>
      <c r="O47" s="91"/>
      <c r="P47" s="11"/>
    </row>
    <row r="48" spans="2:32" s="75" customFormat="1">
      <c r="B48" s="77"/>
      <c r="C48" s="89" t="s">
        <v>354</v>
      </c>
      <c r="D48" s="99">
        <f t="shared" ref="D48:N48" si="17">D8/(D30+D40)</f>
        <v>0.49207197577053269</v>
      </c>
      <c r="E48" s="99">
        <f t="shared" si="17"/>
        <v>0.52292020373514436</v>
      </c>
      <c r="F48" s="99">
        <f t="shared" si="17"/>
        <v>0.50464661286378087</v>
      </c>
      <c r="G48" s="99">
        <f t="shared" si="17"/>
        <v>0.40560268297494573</v>
      </c>
      <c r="H48" s="99">
        <f t="shared" si="17"/>
        <v>0.45770101450490486</v>
      </c>
      <c r="I48" s="99">
        <f t="shared" si="17"/>
        <v>0.5417379558757317</v>
      </c>
      <c r="J48" s="99">
        <f t="shared" si="17"/>
        <v>0.61733514073837814</v>
      </c>
      <c r="K48" s="99">
        <f t="shared" si="17"/>
        <v>0.41717680950666186</v>
      </c>
      <c r="L48" s="99">
        <f t="shared" si="17"/>
        <v>0.54625035297914393</v>
      </c>
      <c r="M48" s="99">
        <f t="shared" si="17"/>
        <v>0.1946934522441349</v>
      </c>
      <c r="N48" s="99">
        <f t="shared" si="17"/>
        <v>0.13445273713198019</v>
      </c>
      <c r="O48" s="91"/>
      <c r="P48" s="153"/>
    </row>
    <row r="49" spans="1:18">
      <c r="B49" s="73"/>
      <c r="C49" s="89" t="s">
        <v>172</v>
      </c>
      <c r="D49" s="98">
        <f t="shared" ref="D49:N49" si="18">IFERROR(D31/D38,"-")</f>
        <v>1.9560338484179545</v>
      </c>
      <c r="E49" s="98">
        <f t="shared" si="18"/>
        <v>1.924266083697689</v>
      </c>
      <c r="F49" s="98">
        <f t="shared" si="18"/>
        <v>1.9098616132651789</v>
      </c>
      <c r="G49" s="98">
        <f t="shared" si="18"/>
        <v>1.7882317501757206</v>
      </c>
      <c r="H49" s="98">
        <f t="shared" si="18"/>
        <v>1.9629975388271239</v>
      </c>
      <c r="I49" s="98">
        <f t="shared" si="18"/>
        <v>1.8252878346511305</v>
      </c>
      <c r="J49" s="98">
        <f t="shared" si="18"/>
        <v>2.2371175991624987</v>
      </c>
      <c r="K49" s="98">
        <f t="shared" si="18"/>
        <v>2.4779685560612328</v>
      </c>
      <c r="L49" s="98">
        <f t="shared" si="18"/>
        <v>2.4944988304600191</v>
      </c>
      <c r="M49" s="98">
        <f t="shared" si="18"/>
        <v>1.6471469209432574</v>
      </c>
      <c r="N49" s="98">
        <f t="shared" si="18"/>
        <v>1.6560768188586981</v>
      </c>
      <c r="O49" s="91"/>
      <c r="P49" s="11"/>
    </row>
    <row r="50" spans="1:18">
      <c r="B50" s="73"/>
      <c r="C50" s="11"/>
      <c r="D50" s="11"/>
      <c r="E50" s="11"/>
      <c r="F50" s="11"/>
      <c r="G50" s="11"/>
      <c r="H50" s="11"/>
      <c r="I50" s="91"/>
      <c r="J50" s="91"/>
      <c r="K50" s="91"/>
      <c r="L50" s="91"/>
      <c r="M50" s="11"/>
      <c r="N50" s="91"/>
      <c r="O50" s="91"/>
      <c r="P50" s="19"/>
    </row>
    <row r="51" spans="1:18">
      <c r="A51" s="207"/>
      <c r="B51" s="77"/>
      <c r="C51" s="58" t="s">
        <v>19</v>
      </c>
      <c r="D51" s="60">
        <v>2009</v>
      </c>
      <c r="E51" s="60">
        <v>2010</v>
      </c>
      <c r="F51" s="60">
        <v>2011</v>
      </c>
      <c r="G51" s="60">
        <v>2012</v>
      </c>
      <c r="H51" s="60">
        <v>2013</v>
      </c>
      <c r="I51" s="60">
        <v>2014</v>
      </c>
      <c r="J51" s="60">
        <v>2015</v>
      </c>
      <c r="K51" s="60">
        <v>2016</v>
      </c>
      <c r="L51" s="60">
        <v>2017</v>
      </c>
      <c r="M51" s="60">
        <v>2018</v>
      </c>
      <c r="N51" s="60" t="s">
        <v>9</v>
      </c>
      <c r="O51" s="60" t="s">
        <v>160</v>
      </c>
      <c r="P51" s="60" t="s">
        <v>161</v>
      </c>
      <c r="Q51" s="207"/>
      <c r="R51" s="207"/>
    </row>
    <row r="52" spans="1:18">
      <c r="B52" s="73"/>
      <c r="C52" s="72" t="s">
        <v>13</v>
      </c>
      <c r="D52" s="231">
        <f>'Annual Fins Data'!AD5</f>
        <v>1405</v>
      </c>
      <c r="E52" s="293">
        <f>'Annual Fins Data'!AE5</f>
        <v>1949</v>
      </c>
      <c r="F52" s="231">
        <f>'Annual Fins Data'!AF5</f>
        <v>2542</v>
      </c>
      <c r="G52" s="231">
        <f>'Annual Fins Data'!AG5</f>
        <v>2732</v>
      </c>
      <c r="H52" s="231">
        <f>'Annual Fins Data'!AH5</f>
        <v>3254</v>
      </c>
      <c r="I52" s="231">
        <f>'Annual Fins Data'!AI5</f>
        <v>3729</v>
      </c>
      <c r="J52" s="231">
        <f>'Annual Fins Data'!AJ5</f>
        <v>3435</v>
      </c>
      <c r="K52" s="231">
        <f>'Annual Fins Data'!AK5</f>
        <v>4005</v>
      </c>
      <c r="L52" s="231">
        <f>'Annual Fins Data'!AL5</f>
        <v>7724</v>
      </c>
      <c r="M52" s="231">
        <f>'Annual Fins Data'!AM5</f>
        <v>5536</v>
      </c>
      <c r="N52" s="231">
        <f>'Annual Fins Data'!AN5</f>
        <v>-4586</v>
      </c>
      <c r="O52" s="86">
        <f t="shared" ref="O52:O60" si="19">IFERROR((H52/D52)^(1/5)-1,"-")</f>
        <v>0.18290058036953161</v>
      </c>
      <c r="P52" s="86">
        <f t="shared" ref="P52:P60" si="20">IFERROR((M52/I52)^(1/5)-1,"-")</f>
        <v>8.2232917991486021E-2</v>
      </c>
    </row>
    <row r="53" spans="1:18">
      <c r="B53" s="73"/>
      <c r="C53" s="74" t="s">
        <v>336</v>
      </c>
      <c r="D53" s="232">
        <f>'Annual Fins Data'!AD6</f>
        <v>1138</v>
      </c>
      <c r="E53" s="232">
        <f>'Annual Fins Data'!AE6</f>
        <v>1712</v>
      </c>
      <c r="F53" s="232">
        <f>'Annual Fins Data'!AF6</f>
        <v>1556</v>
      </c>
      <c r="G53" s="232">
        <f>'Annual Fins Data'!AG6</f>
        <v>2612</v>
      </c>
      <c r="H53" s="232">
        <f>'Annual Fins Data'!AH6</f>
        <v>2873</v>
      </c>
      <c r="I53" s="232">
        <f>'Annual Fins Data'!AI6</f>
        <v>3243</v>
      </c>
      <c r="J53" s="232">
        <f>'Annual Fins Data'!AJ6</f>
        <v>4438</v>
      </c>
      <c r="K53" s="232">
        <f>'Annual Fins Data'!AK6</f>
        <v>6198</v>
      </c>
      <c r="L53" s="232">
        <f>'Annual Fins Data'!AL6</f>
        <v>6928</v>
      </c>
      <c r="M53" s="232">
        <f>'Annual Fins Data'!AM6</f>
        <v>33021</v>
      </c>
      <c r="N53" s="232">
        <f>'Annual Fins Data'!AN6</f>
        <v>34545</v>
      </c>
      <c r="O53" s="88">
        <f t="shared" si="19"/>
        <v>0.20347943310403571</v>
      </c>
      <c r="P53" s="88">
        <f t="shared" si="20"/>
        <v>0.59062811495593714</v>
      </c>
    </row>
    <row r="54" spans="1:18">
      <c r="B54" s="73"/>
      <c r="C54" s="72" t="s">
        <v>20</v>
      </c>
      <c r="D54" s="236">
        <f>'Annual Fins Data'!AD18</f>
        <v>3288</v>
      </c>
      <c r="E54" s="236">
        <f>'Annual Fins Data'!AE18</f>
        <v>4244</v>
      </c>
      <c r="F54" s="236">
        <f>'Annual Fins Data'!AF18</f>
        <v>5396</v>
      </c>
      <c r="G54" s="236">
        <f>'Annual Fins Data'!AG18</f>
        <v>5029</v>
      </c>
      <c r="H54" s="236">
        <f>'Annual Fins Data'!AH18</f>
        <v>7139</v>
      </c>
      <c r="I54" s="236">
        <f>'Annual Fins Data'!AI18</f>
        <v>5721</v>
      </c>
      <c r="J54" s="236">
        <f>'Annual Fins Data'!AJ18</f>
        <v>6812</v>
      </c>
      <c r="K54" s="236">
        <f>'Annual Fins Data'!AK18</f>
        <v>11365</v>
      </c>
      <c r="L54" s="236">
        <f>'Annual Fins Data'!AL18</f>
        <v>19332</v>
      </c>
      <c r="M54" s="236">
        <f>'Annual Fins Data'!AM18</f>
        <v>42426</v>
      </c>
      <c r="N54" s="236">
        <f>'Annual Fins Data'!AN18</f>
        <v>43387</v>
      </c>
      <c r="O54" s="86">
        <f t="shared" si="19"/>
        <v>0.16772644235880807</v>
      </c>
      <c r="P54" s="86">
        <f t="shared" si="20"/>
        <v>0.49290450294453891</v>
      </c>
    </row>
    <row r="55" spans="1:18">
      <c r="B55" s="73"/>
      <c r="C55" s="72" t="s">
        <v>21</v>
      </c>
      <c r="D55" s="237">
        <f>'Annual Fins Data'!AD27</f>
        <v>-1231</v>
      </c>
      <c r="E55" s="237">
        <f>'Annual Fins Data'!AE27</f>
        <v>-2327</v>
      </c>
      <c r="F55" s="237">
        <f>'Annual Fins Data'!AF27</f>
        <v>-3020</v>
      </c>
      <c r="G55" s="237">
        <f>'Annual Fins Data'!AG27</f>
        <v>-3945</v>
      </c>
      <c r="H55" s="237">
        <f>'Annual Fins Data'!AH27</f>
        <v>-3894</v>
      </c>
      <c r="I55" s="237">
        <f>'Annual Fins Data'!AI27</f>
        <v>-9426</v>
      </c>
      <c r="J55" s="237">
        <f>'Annual Fins Data'!AJ27</f>
        <v>-9651</v>
      </c>
      <c r="K55" s="237">
        <f>'Annual Fins Data'!AK27</f>
        <v>-11340</v>
      </c>
      <c r="L55" s="237">
        <f>'Annual Fins Data'!AL27</f>
        <v>-14294</v>
      </c>
      <c r="M55" s="237">
        <f>'Annual Fins Data'!AM27</f>
        <v>-31285</v>
      </c>
      <c r="N55" s="237">
        <f>'Annual Fins Data'!AN27</f>
        <v>-35139</v>
      </c>
      <c r="O55" s="86">
        <f t="shared" si="19"/>
        <v>0.25900535943255343</v>
      </c>
      <c r="P55" s="86">
        <f t="shared" si="20"/>
        <v>0.27116446784986303</v>
      </c>
    </row>
    <row r="56" spans="1:18">
      <c r="B56" s="73"/>
      <c r="C56" s="72" t="s">
        <v>22</v>
      </c>
      <c r="D56" s="238">
        <f>'Annual Fins Data'!AD34</f>
        <v>-1686</v>
      </c>
      <c r="E56" s="238">
        <f>'Annual Fins Data'!AE34</f>
        <v>-1832</v>
      </c>
      <c r="F56" s="238">
        <f>'Annual Fins Data'!AF34</f>
        <v>-965</v>
      </c>
      <c r="G56" s="238">
        <f>'Annual Fins Data'!AG34</f>
        <v>-859</v>
      </c>
      <c r="H56" s="238">
        <f>'Annual Fins Data'!AH34</f>
        <v>-1407</v>
      </c>
      <c r="I56" s="238">
        <f>'Annual Fins Data'!AI34</f>
        <v>-1340</v>
      </c>
      <c r="J56" s="238">
        <f>'Annual Fins Data'!AJ34</f>
        <v>2950</v>
      </c>
      <c r="K56" s="238">
        <f>'Annual Fins Data'!AK34</f>
        <v>2828</v>
      </c>
      <c r="L56" s="238">
        <f>'Annual Fins Data'!AL34</f>
        <v>-6296</v>
      </c>
      <c r="M56" s="238">
        <f>'Annual Fins Data'!AM34</f>
        <v>-14597</v>
      </c>
      <c r="N56" s="238">
        <f>'Annual Fins Data'!AN34</f>
        <v>-10362</v>
      </c>
      <c r="O56" s="86">
        <f t="shared" si="19"/>
        <v>-3.5533148960780525E-2</v>
      </c>
      <c r="P56" s="86">
        <f t="shared" si="20"/>
        <v>0.61224768469582913</v>
      </c>
    </row>
    <row r="57" spans="1:18">
      <c r="B57" s="73"/>
      <c r="C57" s="74" t="s">
        <v>23</v>
      </c>
      <c r="D57" s="232">
        <f>'Annual Fins Data'!AD37</f>
        <v>902</v>
      </c>
      <c r="E57" s="232">
        <f>'Annual Fins Data'!AE37</f>
        <v>1273</v>
      </c>
      <c r="F57" s="232">
        <f>'Annual Fins Data'!AF37</f>
        <v>1376</v>
      </c>
      <c r="G57" s="232">
        <f>'Annual Fins Data'!AG37</f>
        <v>2818</v>
      </c>
      <c r="H57" s="232">
        <f>'Annual Fins Data'!AH37</f>
        <v>3160</v>
      </c>
      <c r="I57" s="232">
        <f>'Annual Fins Data'!AI37</f>
        <v>5224</v>
      </c>
      <c r="J57" s="232">
        <f>'Annual Fins Data'!AJ37</f>
        <v>684</v>
      </c>
      <c r="K57" s="232">
        <f>'Annual Fins Data'!AK37</f>
        <v>870</v>
      </c>
      <c r="L57" s="232">
        <f>'Annual Fins Data'!AL37</f>
        <v>3945</v>
      </c>
      <c r="M57" s="232">
        <f>'Annual Fins Data'!AM37</f>
        <v>6517</v>
      </c>
      <c r="N57" s="232">
        <f>'Annual Fins Data'!AN37</f>
        <v>12152</v>
      </c>
      <c r="O57" s="88">
        <f t="shared" si="19"/>
        <v>0.28497923322688834</v>
      </c>
      <c r="P57" s="88">
        <f t="shared" si="20"/>
        <v>4.5222886379238991E-2</v>
      </c>
    </row>
    <row r="58" spans="1:18">
      <c r="B58" s="73"/>
      <c r="C58" s="74" t="s">
        <v>24</v>
      </c>
      <c r="D58" s="232">
        <f>'Annual Fins Data'!AD38</f>
        <v>1273</v>
      </c>
      <c r="E58" s="232">
        <f>'Annual Fins Data'!AE38</f>
        <v>1376</v>
      </c>
      <c r="F58" s="232">
        <f>'Annual Fins Data'!AF38</f>
        <v>2818</v>
      </c>
      <c r="G58" s="232">
        <f>'Annual Fins Data'!AG38</f>
        <v>3160</v>
      </c>
      <c r="H58" s="232">
        <f>'Annual Fins Data'!AH38</f>
        <v>5224</v>
      </c>
      <c r="I58" s="232">
        <f>'Annual Fins Data'!AI38</f>
        <v>684</v>
      </c>
      <c r="J58" s="232">
        <f>'Annual Fins Data'!AJ38</f>
        <v>870</v>
      </c>
      <c r="K58" s="232">
        <f>'Annual Fins Data'!AK38</f>
        <v>3945</v>
      </c>
      <c r="L58" s="232">
        <f>'Annual Fins Data'!AL38</f>
        <v>2831</v>
      </c>
      <c r="M58" s="232">
        <f>'Annual Fins Data'!AM38</f>
        <v>6891</v>
      </c>
      <c r="N58" s="232">
        <f>'Annual Fins Data'!AN38</f>
        <v>13559</v>
      </c>
      <c r="O58" s="88">
        <f t="shared" si="19"/>
        <v>0.3262791825076492</v>
      </c>
      <c r="P58" s="88">
        <f t="shared" si="20"/>
        <v>0.58724961220076133</v>
      </c>
    </row>
    <row r="59" spans="1:18" s="76" customFormat="1">
      <c r="B59" s="190"/>
      <c r="C59" s="76" t="s">
        <v>25</v>
      </c>
      <c r="D59" s="241">
        <f>'Annual Fins Data'!AD42</f>
        <v>1797</v>
      </c>
      <c r="E59" s="241">
        <f>'Annual Fins Data'!AE42</f>
        <v>1892</v>
      </c>
      <c r="F59" s="241">
        <f>'Annual Fins Data'!AF42</f>
        <v>2317</v>
      </c>
      <c r="G59" s="241">
        <f>'Annual Fins Data'!AG42</f>
        <v>1703</v>
      </c>
      <c r="H59" s="241">
        <f>'Annual Fins Data'!AH42</f>
        <v>2941</v>
      </c>
      <c r="I59" s="241">
        <f>'Annual Fins Data'!AI42</f>
        <v>-3383</v>
      </c>
      <c r="J59" s="241">
        <f>'Annual Fins Data'!AJ42</f>
        <v>-1902</v>
      </c>
      <c r="K59" s="241">
        <f>'Annual Fins Data'!AK42</f>
        <v>26</v>
      </c>
      <c r="L59" s="241">
        <f>'Annual Fins Data'!AL42</f>
        <v>7634</v>
      </c>
      <c r="M59" s="241">
        <f>'Annual Fins Data'!AM42</f>
        <v>-54</v>
      </c>
      <c r="N59" s="241">
        <f>'Annual Fins Data'!AN42</f>
        <v>2192</v>
      </c>
      <c r="O59" s="86">
        <f t="shared" si="19"/>
        <v>0.10354332827672175</v>
      </c>
      <c r="P59" s="86">
        <f t="shared" si="20"/>
        <v>-0.56286220990462221</v>
      </c>
    </row>
    <row r="60" spans="1:18">
      <c r="B60" s="73"/>
      <c r="C60" s="191" t="s">
        <v>26</v>
      </c>
      <c r="D60" s="240">
        <f>'Annual Fins Data'!AD32</f>
        <v>-19</v>
      </c>
      <c r="E60" s="240">
        <f>'Annual Fins Data'!AE32</f>
        <v>-1053</v>
      </c>
      <c r="F60" s="240">
        <f>'Annual Fins Data'!AF32</f>
        <v>-915</v>
      </c>
      <c r="G60" s="240">
        <f>'Annual Fins Data'!AG32</f>
        <v>-830</v>
      </c>
      <c r="H60" s="240">
        <f>'Annual Fins Data'!AH32</f>
        <v>-981</v>
      </c>
      <c r="I60" s="240">
        <f>'Annual Fins Data'!AI32</f>
        <v>-1299</v>
      </c>
      <c r="J60" s="240">
        <f>'Annual Fins Data'!AJ32</f>
        <v>-849</v>
      </c>
      <c r="K60" s="240">
        <f>'Annual Fins Data'!AK32</f>
        <v>-2000</v>
      </c>
      <c r="L60" s="240">
        <f>'Annual Fins Data'!AL32</f>
        <v>-4192</v>
      </c>
      <c r="M60" s="240">
        <f>'Annual Fins Data'!AM32</f>
        <v>-34130</v>
      </c>
      <c r="N60" s="240">
        <f>'Annual Fins Data'!AN32</f>
        <v>3714</v>
      </c>
      <c r="O60" s="88">
        <f t="shared" si="19"/>
        <v>1.200812688642364</v>
      </c>
      <c r="P60" s="88">
        <f t="shared" si="20"/>
        <v>0.92267299942484526</v>
      </c>
    </row>
    <row r="61" spans="1:18">
      <c r="B61" s="73"/>
      <c r="D61" s="50"/>
      <c r="E61" s="50"/>
      <c r="F61" s="50"/>
      <c r="G61" s="50"/>
      <c r="H61" s="50"/>
      <c r="I61" s="50"/>
      <c r="J61" s="50"/>
      <c r="K61" s="50"/>
      <c r="L61" s="50"/>
      <c r="M61" s="50"/>
      <c r="N61" s="50"/>
      <c r="O61" s="86"/>
      <c r="P61" s="93"/>
    </row>
    <row r="62" spans="1:18">
      <c r="B62" s="73"/>
      <c r="C62" s="89" t="s">
        <v>173</v>
      </c>
      <c r="D62" s="97">
        <f t="shared" ref="D62:N62" si="21">D30/D54</f>
        <v>2.0799878345498786</v>
      </c>
      <c r="E62" s="97">
        <f t="shared" si="21"/>
        <v>1.7353911404335534</v>
      </c>
      <c r="F62" s="97">
        <f t="shared" si="21"/>
        <v>1.5283543365455894</v>
      </c>
      <c r="G62" s="97">
        <f t="shared" si="21"/>
        <v>1.7965798369457149</v>
      </c>
      <c r="H62" s="97">
        <f t="shared" si="21"/>
        <v>1.5724891441378344</v>
      </c>
      <c r="I62" s="97">
        <f t="shared" si="21"/>
        <v>2.4137388568432092</v>
      </c>
      <c r="J62" s="97">
        <f t="shared" si="21"/>
        <v>2.6369641808573108</v>
      </c>
      <c r="K62" s="97">
        <f t="shared" si="21"/>
        <v>2.0382754069511657</v>
      </c>
      <c r="L62" s="97">
        <f t="shared" si="21"/>
        <v>1.4762052555348644</v>
      </c>
      <c r="M62" s="97">
        <f t="shared" si="21"/>
        <v>3.546787347381323</v>
      </c>
      <c r="N62" s="97">
        <f t="shared" si="21"/>
        <v>3.8642450503607071</v>
      </c>
      <c r="O62" s="86"/>
      <c r="P62" s="93"/>
    </row>
    <row r="63" spans="1:18">
      <c r="B63" s="73"/>
      <c r="C63" s="89" t="s">
        <v>174</v>
      </c>
      <c r="D63" s="99">
        <f t="shared" ref="D63:N63" si="22">IF(D60=0,"-",ABS(D60)/D54)</f>
        <v>5.778588807785888E-3</v>
      </c>
      <c r="E63" s="99">
        <f t="shared" si="22"/>
        <v>0.24811498586239397</v>
      </c>
      <c r="F63" s="99">
        <f t="shared" si="22"/>
        <v>0.16957005189028909</v>
      </c>
      <c r="G63" s="99">
        <f t="shared" si="22"/>
        <v>0.16504275203817856</v>
      </c>
      <c r="H63" s="99">
        <f t="shared" si="22"/>
        <v>0.13741420366998178</v>
      </c>
      <c r="I63" s="99">
        <f t="shared" si="22"/>
        <v>0.2270582066072365</v>
      </c>
      <c r="J63" s="99">
        <f t="shared" si="22"/>
        <v>0.12463300058719906</v>
      </c>
      <c r="K63" s="99">
        <f t="shared" si="22"/>
        <v>0.17597888253409591</v>
      </c>
      <c r="L63" s="99">
        <f t="shared" si="22"/>
        <v>0.21684254086488725</v>
      </c>
      <c r="M63" s="99">
        <f t="shared" si="22"/>
        <v>0.80445952953377642</v>
      </c>
      <c r="N63" s="99">
        <f t="shared" si="22"/>
        <v>8.5601677921958191E-2</v>
      </c>
      <c r="O63" s="86"/>
      <c r="P63" s="93"/>
    </row>
    <row r="64" spans="1:18">
      <c r="B64" s="73"/>
      <c r="C64" s="89" t="s">
        <v>175</v>
      </c>
      <c r="D64" s="99">
        <f>IF(D60=0,"-",ABS(D60)/'Trading Model'!D5/'Trading Model'!D4)</f>
        <v>9.0934762619257984E-3</v>
      </c>
      <c r="E64" s="99">
        <f>IF(E60=0,"-",ABS(E60)/'Trading Model'!E5/'Trading Model'!E4)</f>
        <v>0.32014677897373511</v>
      </c>
      <c r="F64" s="99">
        <f>IF(F60=0,"-",ABS(F60)/'Trading Model'!F5/'Trading Model'!F4)</f>
        <v>0.36925010515920154</v>
      </c>
      <c r="G64" s="99">
        <f>IF(G60=0,"-",ABS(G60)/'Trading Model'!G5/'Trading Model'!G4)</f>
        <v>0.49637069921633514</v>
      </c>
      <c r="H64" s="99">
        <f>IF(H60=0,"-",ABS(H60)/'Trading Model'!H5/'Trading Model'!H4)</f>
        <v>0.37198361557554138</v>
      </c>
      <c r="I64" s="99">
        <f>IF(I60=0,"-",ABS(I60)/'Trading Model'!I5/'Trading Model'!I4)</f>
        <v>0.41405970711906409</v>
      </c>
      <c r="J64" s="99">
        <f>IF(J60=0,"-",ABS(J60)/'Trading Model'!J5/'Trading Model'!J4)</f>
        <v>0.31014933313389093</v>
      </c>
      <c r="K64" s="99">
        <f>IF(K60=0,"-",ABS(K60)/'Trading Model'!K5/'Trading Model'!K4)</f>
        <v>0.6395028097921287</v>
      </c>
      <c r="L64" s="99">
        <f>IF(L60=0,"-",ABS(L60)/'Trading Model'!L5/'Trading Model'!L4)</f>
        <v>0.6481469404602328</v>
      </c>
      <c r="M64" s="99">
        <f>IF(M60=0,"-",ABS(M60)/'Trading Model'!M5/'Trading Model'!M4)</f>
        <v>5.4292455376596651</v>
      </c>
      <c r="N64" s="99">
        <f>IF(N60=0,"-",ABS(N60)/'Trading Model'!O5/'Trading Model'!O4)</f>
        <v>0.56174506998369511</v>
      </c>
      <c r="O64" s="86"/>
      <c r="P64" s="93"/>
    </row>
    <row r="65" spans="1:18">
      <c r="B65" s="73"/>
      <c r="C65" s="89" t="s">
        <v>176</v>
      </c>
      <c r="D65" s="44">
        <f>IFERROR(ABS(D60)/'Trading Model'!D5,"-")</f>
        <v>9.6446700507614211E-2</v>
      </c>
      <c r="E65" s="44">
        <f>IFERROR(ABS(E60)/'Trading Model'!E5,"-")</f>
        <v>5.345177664974619</v>
      </c>
      <c r="F65" s="44">
        <f>IFERROR(ABS(F60)/'Trading Model'!F5,"-")</f>
        <v>4.6446700507614214</v>
      </c>
      <c r="G65" s="44">
        <f>IFERROR(ABS(G60)/'Trading Model'!G5,"-")</f>
        <v>4.2131979695431472</v>
      </c>
      <c r="H65" s="44">
        <f>IFERROR(ABS(H60)/'Trading Model'!H5,"-")</f>
        <v>5.0051020408163263</v>
      </c>
      <c r="I65" s="44">
        <f>IFERROR(ABS(I60)/'Trading Model'!I5,"-")</f>
        <v>6.695876288659794</v>
      </c>
      <c r="J65" s="44">
        <f>IFERROR(ABS(J60)/'Trading Model'!J5,"-")</f>
        <v>4.3762886597938149</v>
      </c>
      <c r="K65" s="44">
        <f>IFERROR(ABS(K60)/'Trading Model'!K5,"-")</f>
        <v>10.309278350515465</v>
      </c>
      <c r="L65" s="44">
        <f>IFERROR(ABS(L60)/'Trading Model'!L5,"-")</f>
        <v>21.608247422680414</v>
      </c>
      <c r="M65" s="44">
        <f>IFERROR(ABS(M60)/'Trading Model'!M5,"-")</f>
        <v>79.187935034802791</v>
      </c>
      <c r="N65" s="44">
        <f>IFERROR(ABS(N60)/'Trading Model'!N5,"-")</f>
        <v>8.6171693735498831</v>
      </c>
      <c r="O65" s="86"/>
      <c r="P65" s="93"/>
    </row>
    <row r="67" spans="1:18">
      <c r="A67" s="74" t="s">
        <v>4</v>
      </c>
      <c r="R67" s="74" t="s">
        <v>4</v>
      </c>
    </row>
    <row r="68" spans="1:18" ht="14">
      <c r="C68" s="61"/>
    </row>
    <row r="69" spans="1:18" ht="14">
      <c r="C69" s="61"/>
      <c r="O69" s="11"/>
      <c r="P69" s="100"/>
    </row>
    <row r="70" spans="1:18" ht="14">
      <c r="C70" s="61"/>
      <c r="O70" s="11"/>
      <c r="P70" s="100"/>
    </row>
    <row r="71" spans="1:18">
      <c r="O71" s="11"/>
      <c r="P71" s="100"/>
    </row>
    <row r="72" spans="1:18">
      <c r="C72" s="11"/>
      <c r="D72" s="12"/>
      <c r="E72" s="54"/>
      <c r="P72" s="100"/>
    </row>
    <row r="73" spans="1:18">
      <c r="C73" s="11"/>
      <c r="D73" s="12"/>
      <c r="E73" s="54"/>
      <c r="P73" s="100"/>
    </row>
    <row r="74" spans="1:18">
      <c r="C74" s="11"/>
      <c r="D74" s="12"/>
      <c r="E74" s="54"/>
      <c r="P74" s="100"/>
    </row>
    <row r="75" spans="1:18">
      <c r="C75" s="11"/>
      <c r="D75" s="11"/>
      <c r="E75" s="55"/>
      <c r="P75" s="100"/>
    </row>
    <row r="76" spans="1:18">
      <c r="C76" s="11"/>
      <c r="D76" s="12"/>
      <c r="E76" s="55"/>
      <c r="P76" s="100"/>
    </row>
    <row r="77" spans="1:18">
      <c r="C77" s="11"/>
      <c r="D77" s="12"/>
      <c r="E77" s="56"/>
      <c r="P77" s="100"/>
    </row>
    <row r="78" spans="1:18">
      <c r="C78" s="11"/>
      <c r="D78" s="12"/>
      <c r="E78" s="56"/>
      <c r="P78" s="100"/>
    </row>
    <row r="79" spans="1:18">
      <c r="C79" s="11"/>
      <c r="D79" s="11"/>
      <c r="E79" s="56"/>
      <c r="P79" s="100"/>
    </row>
    <row r="80" spans="1:18">
      <c r="P80" s="100"/>
    </row>
    <row r="81" spans="16:16">
      <c r="P81" s="100"/>
    </row>
    <row r="82" spans="16:16">
      <c r="P82" s="100"/>
    </row>
    <row r="83" spans="16:16">
      <c r="P83" s="100"/>
    </row>
    <row r="84" spans="16:16">
      <c r="P84" s="100"/>
    </row>
    <row r="85" spans="16:16">
      <c r="P85" s="100"/>
    </row>
    <row r="86" spans="16:16">
      <c r="P86" s="100"/>
    </row>
    <row r="87" spans="16:16">
      <c r="P87" s="100"/>
    </row>
    <row r="88" spans="16:16">
      <c r="P88" s="100"/>
    </row>
    <row r="89" spans="16:16">
      <c r="P89" s="100"/>
    </row>
    <row r="90" spans="16:16">
      <c r="P90" s="100"/>
    </row>
    <row r="91" spans="16:16">
      <c r="P91" s="100"/>
    </row>
    <row r="92" spans="16:16">
      <c r="P92" s="100"/>
    </row>
    <row r="93" spans="16:16">
      <c r="P93" s="100"/>
    </row>
    <row r="94" spans="16:16">
      <c r="P94" s="100"/>
    </row>
    <row r="95" spans="16:16">
      <c r="P95" s="100"/>
    </row>
    <row r="96" spans="16:16">
      <c r="P96" s="100"/>
    </row>
    <row r="97" spans="16:16">
      <c r="P97" s="100"/>
    </row>
    <row r="98" spans="16:16">
      <c r="P98" s="100"/>
    </row>
    <row r="99" spans="16:16">
      <c r="P99" s="100"/>
    </row>
    <row r="100" spans="16:16">
      <c r="P100" s="100"/>
    </row>
    <row r="101" spans="16:16">
      <c r="P101" s="100"/>
    </row>
    <row r="102" spans="16:16">
      <c r="P102" s="100"/>
    </row>
    <row r="103" spans="16:16">
      <c r="P103" s="100"/>
    </row>
    <row r="104" spans="16:16">
      <c r="P104" s="100"/>
    </row>
    <row r="105" spans="16:16">
      <c r="P105" s="100"/>
    </row>
    <row r="106" spans="16:16">
      <c r="P106" s="100"/>
    </row>
    <row r="107" spans="16:16">
      <c r="P107" s="100"/>
    </row>
    <row r="108" spans="16:16">
      <c r="P108" s="100"/>
    </row>
    <row r="109" spans="16:16">
      <c r="P109" s="100"/>
    </row>
    <row r="110" spans="16:16">
      <c r="P110" s="100"/>
    </row>
    <row r="111" spans="16:16">
      <c r="P111" s="100"/>
    </row>
    <row r="112" spans="16:16">
      <c r="P112" s="100"/>
    </row>
    <row r="113" spans="16:16">
      <c r="P113" s="100"/>
    </row>
    <row r="114" spans="16:16">
      <c r="P114" s="100"/>
    </row>
    <row r="115" spans="16:16">
      <c r="P115" s="100"/>
    </row>
    <row r="116" spans="16:16">
      <c r="P116" s="100"/>
    </row>
    <row r="117" spans="16:16">
      <c r="P117" s="100"/>
    </row>
    <row r="118" spans="16:16">
      <c r="P118" s="100"/>
    </row>
    <row r="119" spans="16:16">
      <c r="P119" s="100"/>
    </row>
    <row r="120" spans="16:16">
      <c r="P120" s="100"/>
    </row>
    <row r="121" spans="16:16">
      <c r="P121" s="100"/>
    </row>
    <row r="122" spans="16:16">
      <c r="P122" s="100"/>
    </row>
    <row r="123" spans="16:16">
      <c r="P123" s="100"/>
    </row>
    <row r="124" spans="16:16">
      <c r="P124" s="100"/>
    </row>
    <row r="125" spans="16:16">
      <c r="P125" s="100"/>
    </row>
    <row r="126" spans="16:16">
      <c r="P126" s="100"/>
    </row>
    <row r="127" spans="16:16">
      <c r="P127" s="100"/>
    </row>
    <row r="128" spans="16:16">
      <c r="P128" s="100"/>
    </row>
    <row r="129" spans="16:16">
      <c r="P129" s="100"/>
    </row>
    <row r="130" spans="16:16">
      <c r="P130" s="100"/>
    </row>
    <row r="131" spans="16:16">
      <c r="P131" s="100"/>
    </row>
    <row r="132" spans="16:16">
      <c r="P132" s="100"/>
    </row>
    <row r="133" spans="16:16">
      <c r="P133" s="100"/>
    </row>
    <row r="134" spans="16:16">
      <c r="P134" s="100"/>
    </row>
    <row r="135" spans="16:16">
      <c r="P135" s="100"/>
    </row>
    <row r="136" spans="16:16">
      <c r="P136" s="100"/>
    </row>
    <row r="137" spans="16:16">
      <c r="P137" s="100"/>
    </row>
    <row r="138" spans="16:16">
      <c r="P138" s="100"/>
    </row>
    <row r="139" spans="16:16">
      <c r="P139" s="100"/>
    </row>
    <row r="140" spans="16:16">
      <c r="P140" s="100"/>
    </row>
    <row r="141" spans="16:16">
      <c r="P141" s="100"/>
    </row>
    <row r="142" spans="16:16">
      <c r="P142" s="100"/>
    </row>
    <row r="143" spans="16:16">
      <c r="P143" s="100"/>
    </row>
    <row r="144" spans="16:16">
      <c r="P144" s="100"/>
    </row>
    <row r="145" spans="16:16">
      <c r="P145" s="100"/>
    </row>
    <row r="146" spans="16:16">
      <c r="P146" s="100"/>
    </row>
    <row r="147" spans="16:16">
      <c r="P147" s="100"/>
    </row>
    <row r="148" spans="16:16">
      <c r="P148" s="100"/>
    </row>
    <row r="149" spans="16:16">
      <c r="P149" s="100"/>
    </row>
    <row r="150" spans="16:16">
      <c r="P150" s="100"/>
    </row>
    <row r="151" spans="16:16">
      <c r="P151" s="100"/>
    </row>
    <row r="152" spans="16:16">
      <c r="P152" s="100"/>
    </row>
    <row r="153" spans="16:16">
      <c r="P153" s="100"/>
    </row>
    <row r="154" spans="16:16">
      <c r="P154" s="100"/>
    </row>
    <row r="155" spans="16:16">
      <c r="P155" s="100"/>
    </row>
    <row r="156" spans="16:16">
      <c r="P156" s="100"/>
    </row>
    <row r="157" spans="16:16">
      <c r="P157" s="100"/>
    </row>
    <row r="158" spans="16:16">
      <c r="P158" s="100"/>
    </row>
    <row r="159" spans="16:16">
      <c r="P159" s="100"/>
    </row>
    <row r="160" spans="16:16">
      <c r="P160" s="100"/>
    </row>
    <row r="161" spans="16:16">
      <c r="P161" s="100"/>
    </row>
    <row r="162" spans="16:16">
      <c r="P162" s="100"/>
    </row>
    <row r="163" spans="16:16">
      <c r="P163" s="100"/>
    </row>
    <row r="164" spans="16:16">
      <c r="P164" s="100"/>
    </row>
    <row r="165" spans="16:16">
      <c r="P165" s="100"/>
    </row>
    <row r="166" spans="16:16">
      <c r="P166" s="100"/>
    </row>
    <row r="167" spans="16:16">
      <c r="P167" s="100"/>
    </row>
    <row r="168" spans="16:16">
      <c r="P168" s="100"/>
    </row>
    <row r="169" spans="16:16">
      <c r="P169" s="100"/>
    </row>
    <row r="170" spans="16:16">
      <c r="P170" s="100"/>
    </row>
    <row r="171" spans="16:16">
      <c r="P171" s="100"/>
    </row>
    <row r="172" spans="16:16">
      <c r="P172" s="100"/>
    </row>
    <row r="173" spans="16:16">
      <c r="P173" s="100"/>
    </row>
    <row r="174" spans="16:16">
      <c r="P174" s="100"/>
    </row>
    <row r="175" spans="16:16">
      <c r="P175" s="100"/>
    </row>
    <row r="176" spans="16:16">
      <c r="P176" s="100"/>
    </row>
    <row r="177" spans="2:16">
      <c r="P177" s="100"/>
    </row>
    <row r="178" spans="2:16">
      <c r="P178" s="100"/>
    </row>
    <row r="179" spans="2:16">
      <c r="P179" s="100"/>
    </row>
    <row r="180" spans="2:16">
      <c r="P180" s="100"/>
    </row>
    <row r="181" spans="2:16">
      <c r="B181" s="101"/>
      <c r="C181" s="102"/>
      <c r="D181" s="102"/>
      <c r="E181" s="102"/>
      <c r="F181" s="102"/>
      <c r="G181" s="102"/>
      <c r="H181" s="102"/>
      <c r="I181" s="102"/>
      <c r="J181" s="103"/>
      <c r="K181" s="103"/>
      <c r="L181" s="103"/>
      <c r="M181" s="103"/>
      <c r="N181" s="102"/>
      <c r="O181" s="102"/>
      <c r="P181" s="100"/>
    </row>
    <row r="182" spans="2:16">
      <c r="P182" s="100"/>
    </row>
    <row r="183" spans="2:16">
      <c r="P183" s="100"/>
    </row>
  </sheetData>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7FD39-55C7-46E1-A1F3-0CCF6007A60E}">
  <sheetPr>
    <pageSetUpPr fitToPage="1"/>
  </sheetPr>
  <dimension ref="A2:R197"/>
  <sheetViews>
    <sheetView showGridLines="0" view="pageBreakPreview" zoomScaleNormal="100" zoomScaleSheetLayoutView="100" workbookViewId="0">
      <selection activeCell="L51" sqref="L51"/>
    </sheetView>
  </sheetViews>
  <sheetFormatPr baseColWidth="10" defaultColWidth="8.6640625" defaultRowHeight="13"/>
  <cols>
    <col min="1" max="2" width="2" style="74" customWidth="1"/>
    <col min="3" max="3" width="32.33203125" style="74" customWidth="1"/>
    <col min="4" max="4" width="10.33203125" style="74" customWidth="1"/>
    <col min="5" max="13" width="9.5" style="74" bestFit="1" customWidth="1"/>
    <col min="14" max="14" width="8.83203125" style="74" bestFit="1" customWidth="1"/>
    <col min="15" max="15" width="9.33203125" style="74" bestFit="1" customWidth="1"/>
    <col min="16" max="17" width="2.1640625" style="74" customWidth="1"/>
    <col min="18" max="16384" width="8.6640625" style="74"/>
  </cols>
  <sheetData>
    <row r="2" spans="1:18">
      <c r="A2" s="74" t="s">
        <v>4</v>
      </c>
      <c r="Q2" s="74" t="s">
        <v>4</v>
      </c>
    </row>
    <row r="3" spans="1:18">
      <c r="O3" s="83" t="s">
        <v>462</v>
      </c>
    </row>
    <row r="4" spans="1:18">
      <c r="A4" s="207"/>
      <c r="B4" s="77"/>
      <c r="C4" s="58" t="s">
        <v>287</v>
      </c>
      <c r="D4" s="208">
        <v>42734</v>
      </c>
      <c r="E4" s="208">
        <f>D4+90</f>
        <v>42824</v>
      </c>
      <c r="F4" s="208">
        <f>E4+90</f>
        <v>42914</v>
      </c>
      <c r="G4" s="208">
        <f t="shared" ref="G4" si="0">F4+90</f>
        <v>43004</v>
      </c>
      <c r="H4" s="208">
        <v>43098</v>
      </c>
      <c r="I4" s="208">
        <v>43188</v>
      </c>
      <c r="J4" s="208">
        <f>I4+91</f>
        <v>43279</v>
      </c>
      <c r="K4" s="208">
        <f>J4+91</f>
        <v>43370</v>
      </c>
      <c r="L4" s="208">
        <f>K4+91</f>
        <v>43461</v>
      </c>
      <c r="M4" s="208">
        <f>L4+91</f>
        <v>43552</v>
      </c>
      <c r="N4" s="60" t="s">
        <v>9</v>
      </c>
      <c r="O4" s="60" t="s">
        <v>243</v>
      </c>
      <c r="P4" s="207"/>
      <c r="Q4" s="207"/>
      <c r="R4" s="207"/>
    </row>
    <row r="5" spans="1:18">
      <c r="B5" s="73"/>
      <c r="C5" s="16" t="s">
        <v>10</v>
      </c>
      <c r="D5" s="229">
        <f>'Quarterly Fins Data'!C4</f>
        <v>14471</v>
      </c>
      <c r="E5" s="229">
        <f>'Quarterly Fins Data'!D4</f>
        <v>14742</v>
      </c>
      <c r="F5" s="229">
        <f>'Quarterly Fins Data'!E4</f>
        <v>15841</v>
      </c>
      <c r="G5" s="229">
        <f>'Quarterly Fins Data'!F4</f>
        <v>16741</v>
      </c>
      <c r="H5" s="229">
        <f>'Quarterly Fins Data'!G4</f>
        <v>17995</v>
      </c>
      <c r="I5" s="229">
        <f>'Quarterly Fins Data'!H4</f>
        <v>30698</v>
      </c>
      <c r="J5" s="229">
        <f>'Quarterly Fins Data'!I4</f>
        <v>33481</v>
      </c>
      <c r="K5" s="229">
        <f>'Quarterly Fins Data'!J4</f>
        <v>35315</v>
      </c>
      <c r="L5" s="229">
        <f>'Quarterly Fins Data'!K4</f>
        <v>68552</v>
      </c>
      <c r="M5" s="229">
        <f>'Quarterly Fins Data'!L4</f>
        <v>44328</v>
      </c>
      <c r="N5" s="229">
        <f>'Quarterly Fins Data'!M4</f>
        <v>163649</v>
      </c>
      <c r="O5" s="110">
        <f t="shared" ref="O5:O12" si="1">IFERROR((M5/D5)^(1/10)-1,"-")</f>
        <v>0.11845356815079766</v>
      </c>
    </row>
    <row r="6" spans="1:18">
      <c r="B6" s="73"/>
      <c r="C6" s="11" t="s">
        <v>162</v>
      </c>
      <c r="D6" s="243">
        <f>'Quarterly Fins Data'!C5</f>
        <v>1014</v>
      </c>
      <c r="E6" s="243">
        <f>'Quarterly Fins Data'!D5</f>
        <v>2234</v>
      </c>
      <c r="F6" s="243">
        <f>'Quarterly Fins Data'!E5</f>
        <v>2533</v>
      </c>
      <c r="G6" s="243">
        <f>'Quarterly Fins Data'!F5</f>
        <v>2632</v>
      </c>
      <c r="H6" s="243">
        <f>'Quarterly Fins Data'!G5</f>
        <v>23091</v>
      </c>
      <c r="I6" s="243">
        <f>'Quarterly Fins Data'!H5</f>
        <v>12699</v>
      </c>
      <c r="J6" s="243">
        <f>'Quarterly Fins Data'!I5</f>
        <v>8856</v>
      </c>
      <c r="K6" s="243">
        <f>'Quarterly Fins Data'!J5</f>
        <v>3550</v>
      </c>
      <c r="L6" s="243">
        <f>'Quarterly Fins Data'!K5</f>
        <v>7016</v>
      </c>
      <c r="M6" s="243">
        <f>'Quarterly Fins Data'!L5</f>
        <v>11564</v>
      </c>
      <c r="N6" s="243">
        <f>'Quarterly Fins Data'!M5</f>
        <v>16016</v>
      </c>
      <c r="O6" s="110">
        <f t="shared" si="1"/>
        <v>0.27557797790609517</v>
      </c>
    </row>
    <row r="7" spans="1:18">
      <c r="B7" s="73"/>
      <c r="C7" s="11" t="s">
        <v>11</v>
      </c>
      <c r="D7" s="244">
        <f>'Quarterly Fins Data'!C10</f>
        <v>9797</v>
      </c>
      <c r="E7" s="244">
        <f>'Quarterly Fins Data'!D10</f>
        <v>9496</v>
      </c>
      <c r="F7" s="244">
        <f>'Quarterly Fins Data'!E10</f>
        <v>9772</v>
      </c>
      <c r="G7" s="244">
        <f>'Quarterly Fins Data'!F10</f>
        <v>10905</v>
      </c>
      <c r="H7" s="244">
        <f>'Quarterly Fins Data'!G10</f>
        <v>-9394</v>
      </c>
      <c r="I7" s="244">
        <f>'Quarterly Fins Data'!H10</f>
        <v>10558</v>
      </c>
      <c r="J7" s="244">
        <f>'Quarterly Fins Data'!I10</f>
        <v>17437</v>
      </c>
      <c r="K7" s="244">
        <f>'Quarterly Fins Data'!J10</f>
        <v>24758</v>
      </c>
      <c r="L7" s="244">
        <f>'Quarterly Fins Data'!K10</f>
        <v>58059</v>
      </c>
      <c r="M7" s="244">
        <f>'Quarterly Fins Data'!L10</f>
        <v>27139</v>
      </c>
      <c r="N7" s="244">
        <f>'Quarterly Fins Data'!M10</f>
        <v>127078</v>
      </c>
      <c r="O7" s="110">
        <f t="shared" si="1"/>
        <v>0.10726117809615965</v>
      </c>
    </row>
    <row r="8" spans="1:18">
      <c r="B8" s="73"/>
      <c r="C8" s="16" t="s">
        <v>12</v>
      </c>
      <c r="D8" s="230">
        <f>'Quarterly Fins Data'!C11</f>
        <v>3660</v>
      </c>
      <c r="E8" s="230">
        <f>'Quarterly Fins Data'!D11</f>
        <v>3012</v>
      </c>
      <c r="F8" s="230">
        <f>'Quarterly Fins Data'!E11</f>
        <v>3536</v>
      </c>
      <c r="G8" s="230">
        <f>'Quarterly Fins Data'!F11</f>
        <v>3204</v>
      </c>
      <c r="H8" s="230">
        <f>'Quarterly Fins Data'!G11</f>
        <v>4298</v>
      </c>
      <c r="I8" s="230">
        <f>'Quarterly Fins Data'!H11</f>
        <v>7441</v>
      </c>
      <c r="J8" s="230">
        <f>'Quarterly Fins Data'!I11</f>
        <v>7188</v>
      </c>
      <c r="K8" s="230">
        <f>'Quarterly Fins Data'!J11</f>
        <v>7007</v>
      </c>
      <c r="L8" s="230">
        <f>'Quarterly Fins Data'!K11</f>
        <v>3477</v>
      </c>
      <c r="M8" s="230">
        <f>'Quarterly Fins Data'!L11</f>
        <v>5625</v>
      </c>
      <c r="N8" s="230">
        <f>'Quarterly Fins Data'!M11</f>
        <v>20555</v>
      </c>
      <c r="O8" s="110">
        <f t="shared" si="1"/>
        <v>4.3912611051682982E-2</v>
      </c>
    </row>
    <row r="9" spans="1:18">
      <c r="B9" s="73"/>
      <c r="C9" s="11" t="s">
        <v>70</v>
      </c>
      <c r="D9" s="243">
        <f>IF('Quarterly Fins Data'!C12=0,"-",'Quarterly Fins Data'!C12)</f>
        <v>504</v>
      </c>
      <c r="E9" s="243">
        <f>IF('Quarterly Fins Data'!D12=0,"-",'Quarterly Fins Data'!D12)</f>
        <v>370</v>
      </c>
      <c r="F9" s="243">
        <f>IF('Quarterly Fins Data'!E12=0,"-",'Quarterly Fins Data'!E12)</f>
        <v>282</v>
      </c>
      <c r="G9" s="243">
        <f>IF('Quarterly Fins Data'!F12=0,"-",'Quarterly Fins Data'!F12)</f>
        <v>294</v>
      </c>
      <c r="H9" s="243">
        <f>IF('Quarterly Fins Data'!G12=0,"-",'Quarterly Fins Data'!G12)</f>
        <v>410</v>
      </c>
      <c r="I9" s="243">
        <f>IF('Quarterly Fins Data'!H12=0,"-",'Quarterly Fins Data'!H12)</f>
        <v>666</v>
      </c>
      <c r="J9" s="243">
        <f>IF('Quarterly Fins Data'!I12=0,"-",'Quarterly Fins Data'!I12)</f>
        <v>18870</v>
      </c>
      <c r="K9" s="243">
        <f>IF('Quarterly Fins Data'!J12=0,"-",'Quarterly Fins Data'!J12)</f>
        <v>26580</v>
      </c>
      <c r="L9" s="243">
        <f>IF('Quarterly Fins Data'!K12=0,"-",'Quarterly Fins Data'!K12)</f>
        <v>-42834</v>
      </c>
      <c r="M9" s="243">
        <f>IF('Quarterly Fins Data'!L12=0,"-",'Quarterly Fins Data'!L12)</f>
        <v>1770</v>
      </c>
      <c r="N9" s="243">
        <f>IF('Quarterly Fins Data'!M12=0,"-",'Quarterly Fins Data'!M12)</f>
        <v>6036</v>
      </c>
      <c r="O9" s="110">
        <f t="shared" si="1"/>
        <v>0.13384652399028751</v>
      </c>
    </row>
    <row r="10" spans="1:18">
      <c r="B10" s="73"/>
      <c r="C10" s="11" t="s">
        <v>73</v>
      </c>
      <c r="D10" s="245">
        <f>'Quarterly Fins Data'!C15</f>
        <v>248</v>
      </c>
      <c r="E10" s="245">
        <f>'Quarterly Fins Data'!D15</f>
        <v>1051</v>
      </c>
      <c r="F10" s="245">
        <f>'Quarterly Fins Data'!E15</f>
        <v>901</v>
      </c>
      <c r="G10" s="245">
        <f>'Quarterly Fins Data'!F15</f>
        <v>1095</v>
      </c>
      <c r="H10" s="245">
        <f>'Quarterly Fins Data'!G15</f>
        <v>855</v>
      </c>
      <c r="I10" s="245">
        <f>'Quarterly Fins Data'!H15</f>
        <v>1382</v>
      </c>
      <c r="J10" s="245">
        <f>'Quarterly Fins Data'!I15</f>
        <v>-3612</v>
      </c>
      <c r="K10" s="245">
        <f>'Quarterly Fins Data'!J15</f>
        <v>-6375</v>
      </c>
      <c r="L10" s="245">
        <f>'Quarterly Fins Data'!K15</f>
        <v>5767</v>
      </c>
      <c r="M10" s="245">
        <f>'Quarterly Fins Data'!L15</f>
        <v>3425</v>
      </c>
      <c r="N10" s="245">
        <f>'Quarterly Fins Data'!M15</f>
        <v>-1846</v>
      </c>
      <c r="O10" s="110">
        <f t="shared" si="1"/>
        <v>0.30023211750138312</v>
      </c>
    </row>
    <row r="11" spans="1:18">
      <c r="B11" s="73"/>
      <c r="C11" s="11" t="s">
        <v>13</v>
      </c>
      <c r="D11" s="244">
        <f>'Quarterly Fins Data'!C18</f>
        <v>1504</v>
      </c>
      <c r="E11" s="244">
        <f>'Quarterly Fins Data'!D18</f>
        <v>1955</v>
      </c>
      <c r="F11" s="244">
        <f>'Quarterly Fins Data'!E18</f>
        <v>1660</v>
      </c>
      <c r="G11" s="244">
        <f>'Quarterly Fins Data'!F18</f>
        <v>2026</v>
      </c>
      <c r="H11" s="244">
        <f>'Quarterly Fins Data'!G18</f>
        <v>1989</v>
      </c>
      <c r="I11" s="244">
        <f>'Quarterly Fins Data'!H18</f>
        <v>3460</v>
      </c>
      <c r="J11" s="244">
        <f>'Quarterly Fins Data'!I18</f>
        <v>-8372</v>
      </c>
      <c r="K11" s="244">
        <f>'Quarterly Fins Data'!J18</f>
        <v>-13677</v>
      </c>
      <c r="L11" s="244">
        <f>'Quarterly Fins Data'!K18</f>
        <v>23883</v>
      </c>
      <c r="M11" s="244">
        <f>'Quarterly Fins Data'!L18</f>
        <v>1232</v>
      </c>
      <c r="N11" s="244">
        <f>'Quarterly Fins Data'!M18</f>
        <v>-4848</v>
      </c>
      <c r="O11" s="110">
        <f t="shared" si="1"/>
        <v>-1.9751272591029156E-2</v>
      </c>
    </row>
    <row r="12" spans="1:18">
      <c r="B12" s="73"/>
      <c r="C12" s="16" t="s">
        <v>14</v>
      </c>
      <c r="D12" s="229">
        <f>'Quarterly Fins Data'!C26</f>
        <v>3975</v>
      </c>
      <c r="E12" s="229">
        <f>'Quarterly Fins Data'!D26</f>
        <v>5060</v>
      </c>
      <c r="F12" s="229">
        <f>'Quarterly Fins Data'!E26</f>
        <v>4575</v>
      </c>
      <c r="G12" s="229">
        <f>'Quarterly Fins Data'!F26</f>
        <v>5186</v>
      </c>
      <c r="H12" s="229">
        <f>'Quarterly Fins Data'!G26</f>
        <v>5089</v>
      </c>
      <c r="I12" s="229">
        <f>'Quarterly Fins Data'!H26</f>
        <v>10140</v>
      </c>
      <c r="J12" s="229">
        <f>'Quarterly Fins Data'!I26</f>
        <v>11880</v>
      </c>
      <c r="K12" s="229">
        <f>'Quarterly Fins Data'!J26</f>
        <v>12147</v>
      </c>
      <c r="L12" s="229">
        <f>'Quarterly Fins Data'!K26</f>
        <v>6868</v>
      </c>
      <c r="M12" s="229">
        <f>'Quarterly Fins Data'!L26</f>
        <v>16396</v>
      </c>
      <c r="N12" s="229">
        <f>'Quarterly Fins Data'!M26</f>
        <v>36239</v>
      </c>
      <c r="O12" s="110">
        <f t="shared" si="1"/>
        <v>0.15223238549888096</v>
      </c>
    </row>
    <row r="13" spans="1:18">
      <c r="B13" s="73"/>
      <c r="C13" s="11"/>
      <c r="D13" s="229"/>
      <c r="E13" s="229"/>
      <c r="F13" s="229"/>
      <c r="G13" s="229"/>
      <c r="H13" s="229"/>
      <c r="I13" s="229"/>
      <c r="J13" s="229"/>
      <c r="K13" s="229"/>
      <c r="L13" s="229"/>
      <c r="M13" s="229"/>
      <c r="N13" s="229"/>
      <c r="O13" s="11"/>
    </row>
    <row r="14" spans="1:18">
      <c r="B14" s="73"/>
      <c r="C14" s="247" t="s">
        <v>15</v>
      </c>
      <c r="D14" s="99">
        <f t="shared" ref="D14:N14" si="2">((D5-D6)/D5)</f>
        <v>0.92992882316356851</v>
      </c>
      <c r="E14" s="99">
        <f t="shared" si="2"/>
        <v>0.84846018179351512</v>
      </c>
      <c r="F14" s="99">
        <f t="shared" si="2"/>
        <v>0.84009847863139953</v>
      </c>
      <c r="G14" s="99">
        <f t="shared" si="2"/>
        <v>0.84278119586643574</v>
      </c>
      <c r="H14" s="99">
        <f t="shared" si="2"/>
        <v>-0.28318977493748265</v>
      </c>
      <c r="I14" s="99">
        <f t="shared" si="2"/>
        <v>0.58632484200925139</v>
      </c>
      <c r="J14" s="99">
        <f t="shared" si="2"/>
        <v>0.73549177145246558</v>
      </c>
      <c r="K14" s="99">
        <f t="shared" si="2"/>
        <v>0.89947614328189152</v>
      </c>
      <c r="L14" s="99">
        <f t="shared" si="2"/>
        <v>0.89765433539502859</v>
      </c>
      <c r="M14" s="99">
        <f t="shared" si="2"/>
        <v>0.73912651146002528</v>
      </c>
      <c r="N14" s="99">
        <f t="shared" si="2"/>
        <v>0.90213200202873223</v>
      </c>
      <c r="O14" s="11"/>
    </row>
    <row r="15" spans="1:18">
      <c r="B15" s="73"/>
      <c r="C15" s="247" t="s">
        <v>16</v>
      </c>
      <c r="D15" s="99">
        <f t="shared" ref="D15:N15" si="3">D8/D5</f>
        <v>0.25291963236818465</v>
      </c>
      <c r="E15" s="99">
        <f t="shared" si="3"/>
        <v>0.2043142043142043</v>
      </c>
      <c r="F15" s="99">
        <f t="shared" si="3"/>
        <v>0.22321823117227449</v>
      </c>
      <c r="G15" s="99">
        <f t="shared" si="3"/>
        <v>0.19138641658204408</v>
      </c>
      <c r="H15" s="99">
        <f t="shared" si="3"/>
        <v>0.23884412336760211</v>
      </c>
      <c r="I15" s="99">
        <f t="shared" si="3"/>
        <v>0.2423936412795622</v>
      </c>
      <c r="J15" s="99">
        <f t="shared" si="3"/>
        <v>0.21468892804874407</v>
      </c>
      <c r="K15" s="99">
        <f t="shared" si="3"/>
        <v>0.19841427155599603</v>
      </c>
      <c r="L15" s="99">
        <f t="shared" si="3"/>
        <v>5.0720620842572062E-2</v>
      </c>
      <c r="M15" s="99">
        <f t="shared" si="3"/>
        <v>0.12689496480779644</v>
      </c>
      <c r="N15" s="99">
        <f t="shared" si="3"/>
        <v>0.1256041894542588</v>
      </c>
      <c r="O15" s="11"/>
    </row>
    <row r="16" spans="1:18">
      <c r="B16" s="73"/>
      <c r="C16" s="247" t="s">
        <v>17</v>
      </c>
      <c r="D16" s="99">
        <f t="shared" ref="D16:N16" si="4">D12/D5</f>
        <v>0.27468730564577432</v>
      </c>
      <c r="E16" s="99">
        <f t="shared" si="4"/>
        <v>0.34323700990367656</v>
      </c>
      <c r="F16" s="99">
        <f t="shared" si="4"/>
        <v>0.28880752477747618</v>
      </c>
      <c r="G16" s="99">
        <f t="shared" si="4"/>
        <v>0.30977838838779048</v>
      </c>
      <c r="H16" s="99">
        <f t="shared" si="4"/>
        <v>0.2828007779938872</v>
      </c>
      <c r="I16" s="99">
        <f t="shared" si="4"/>
        <v>0.3303146784806828</v>
      </c>
      <c r="J16" s="99">
        <f t="shared" si="4"/>
        <v>0.35482811146620469</v>
      </c>
      <c r="K16" s="99">
        <f t="shared" si="4"/>
        <v>0.34396148945207417</v>
      </c>
      <c r="L16" s="99">
        <f t="shared" si="4"/>
        <v>0.10018671957054499</v>
      </c>
      <c r="M16" s="99">
        <f t="shared" si="4"/>
        <v>0.36987908319797869</v>
      </c>
      <c r="N16" s="99">
        <f t="shared" si="4"/>
        <v>0.22144345519984845</v>
      </c>
      <c r="O16" s="11"/>
    </row>
    <row r="17" spans="1:17">
      <c r="B17" s="73"/>
      <c r="C17" s="247" t="s">
        <v>164</v>
      </c>
      <c r="D17" s="99" t="s">
        <v>55</v>
      </c>
      <c r="E17" s="113">
        <f t="shared" ref="E17:M17" si="5">E5/D5-1</f>
        <v>1.8727109391196262E-2</v>
      </c>
      <c r="F17" s="113">
        <f t="shared" si="5"/>
        <v>7.4548907882241222E-2</v>
      </c>
      <c r="G17" s="113">
        <f t="shared" si="5"/>
        <v>5.6814595038191973E-2</v>
      </c>
      <c r="H17" s="113">
        <f t="shared" si="5"/>
        <v>7.4905919598590387E-2</v>
      </c>
      <c r="I17" s="113">
        <f t="shared" si="5"/>
        <v>0.70591831064184496</v>
      </c>
      <c r="J17" s="113">
        <f t="shared" si="5"/>
        <v>9.0657371815753507E-2</v>
      </c>
      <c r="K17" s="113">
        <f t="shared" si="5"/>
        <v>5.4777336399749021E-2</v>
      </c>
      <c r="L17" s="113">
        <f t="shared" si="5"/>
        <v>0.94115814809571008</v>
      </c>
      <c r="M17" s="113">
        <f t="shared" si="5"/>
        <v>-0.35336678725638926</v>
      </c>
      <c r="N17" s="99" t="s">
        <v>55</v>
      </c>
      <c r="O17" s="11"/>
    </row>
    <row r="18" spans="1:17">
      <c r="B18" s="73"/>
      <c r="C18" s="247" t="s">
        <v>165</v>
      </c>
      <c r="D18" s="99" t="s">
        <v>55</v>
      </c>
      <c r="E18" s="113">
        <f t="shared" ref="E18:M18" si="6">E12/D12-1</f>
        <v>0.27295597484276723</v>
      </c>
      <c r="F18" s="113">
        <f t="shared" si="6"/>
        <v>-9.5849802371541504E-2</v>
      </c>
      <c r="G18" s="113">
        <f t="shared" si="6"/>
        <v>0.13355191256830601</v>
      </c>
      <c r="H18" s="113">
        <f t="shared" si="6"/>
        <v>-1.8704203625144578E-2</v>
      </c>
      <c r="I18" s="113">
        <f t="shared" si="6"/>
        <v>0.99253291412851241</v>
      </c>
      <c r="J18" s="113">
        <f t="shared" si="6"/>
        <v>0.17159763313609466</v>
      </c>
      <c r="K18" s="113">
        <f t="shared" si="6"/>
        <v>2.2474747474747536E-2</v>
      </c>
      <c r="L18" s="113">
        <f t="shared" si="6"/>
        <v>-0.43459290359759617</v>
      </c>
      <c r="M18" s="113">
        <f t="shared" si="6"/>
        <v>1.3873034362259755</v>
      </c>
      <c r="N18" s="99" t="s">
        <v>55</v>
      </c>
      <c r="O18" s="11"/>
    </row>
    <row r="19" spans="1:17" s="191" customFormat="1">
      <c r="B19" s="190"/>
      <c r="C19" s="247" t="s">
        <v>357</v>
      </c>
      <c r="D19" s="113">
        <f>D8/Valuation!D10</f>
        <v>0.98642849610931327</v>
      </c>
      <c r="E19" s="113">
        <f>E8/Valuation!E10</f>
        <v>0.66044621606319232</v>
      </c>
      <c r="F19" s="113">
        <f>F8/Valuation!F10</f>
        <v>0.72941427234343537</v>
      </c>
      <c r="G19" s="113">
        <f>G8/Valuation!G10</f>
        <v>0.54574989812448649</v>
      </c>
      <c r="H19" s="113">
        <f>H8/Valuation!H10</f>
        <v>0.58622772091937958</v>
      </c>
      <c r="I19" s="113">
        <f>I8/Valuation!I10</f>
        <v>0.5330943971211094</v>
      </c>
      <c r="J19" s="113">
        <f>J8/Valuation!J10</f>
        <v>0.77408510777136641</v>
      </c>
      <c r="K19" s="113">
        <f>K8/Valuation!K10</f>
        <v>0.81902727855310109</v>
      </c>
      <c r="L19" s="113">
        <f>L8/Valuation!L10</f>
        <v>0.47448340130465927</v>
      </c>
      <c r="M19" s="113">
        <f>M8/Valuation!M10</f>
        <v>0.75673104946455594</v>
      </c>
      <c r="N19" s="113">
        <f>N8/Valuation!N10</f>
        <v>2.598051570426732</v>
      </c>
      <c r="O19" s="192"/>
    </row>
    <row r="20" spans="1:17">
      <c r="B20" s="73"/>
    </row>
    <row r="21" spans="1:17">
      <c r="A21" s="207"/>
      <c r="B21" s="77"/>
      <c r="C21" s="58" t="s">
        <v>18</v>
      </c>
      <c r="D21" s="208">
        <f>D4</f>
        <v>42734</v>
      </c>
      <c r="E21" s="208">
        <f t="shared" ref="E21:M21" si="7">E4</f>
        <v>42824</v>
      </c>
      <c r="F21" s="208">
        <f t="shared" si="7"/>
        <v>42914</v>
      </c>
      <c r="G21" s="208">
        <f t="shared" si="7"/>
        <v>43004</v>
      </c>
      <c r="H21" s="208">
        <f t="shared" si="7"/>
        <v>43098</v>
      </c>
      <c r="I21" s="208">
        <f t="shared" si="7"/>
        <v>43188</v>
      </c>
      <c r="J21" s="208">
        <f t="shared" si="7"/>
        <v>43279</v>
      </c>
      <c r="K21" s="208">
        <f t="shared" si="7"/>
        <v>43370</v>
      </c>
      <c r="L21" s="208">
        <f t="shared" si="7"/>
        <v>43461</v>
      </c>
      <c r="M21" s="208">
        <f t="shared" si="7"/>
        <v>43552</v>
      </c>
      <c r="N21" s="60" t="s">
        <v>243</v>
      </c>
      <c r="O21" s="60"/>
      <c r="P21" s="207"/>
      <c r="Q21" s="207"/>
    </row>
    <row r="22" spans="1:17">
      <c r="B22" s="73"/>
      <c r="C22" s="16" t="s">
        <v>84</v>
      </c>
      <c r="D22" s="231">
        <f>'Quarterly Fins Data'!Q9</f>
        <v>5696</v>
      </c>
      <c r="E22" s="231">
        <f>'Quarterly Fins Data'!R9</f>
        <v>5886</v>
      </c>
      <c r="F22" s="231">
        <f>'Quarterly Fins Data'!S9</f>
        <v>5112</v>
      </c>
      <c r="G22" s="231">
        <f>'Quarterly Fins Data'!T9</f>
        <v>8138</v>
      </c>
      <c r="H22" s="231">
        <f>'Quarterly Fins Data'!U9</f>
        <v>6257</v>
      </c>
      <c r="I22" s="231">
        <f>'Quarterly Fins Data'!V9</f>
        <v>10911</v>
      </c>
      <c r="J22" s="231">
        <f>'Quarterly Fins Data'!W9</f>
        <v>11263</v>
      </c>
      <c r="K22" s="231">
        <f>'Quarterly Fins Data'!X9</f>
        <v>16351</v>
      </c>
      <c r="L22" s="231">
        <f>'Quarterly Fins Data'!Y9</f>
        <v>8262</v>
      </c>
      <c r="M22" s="231">
        <f>'Quarterly Fins Data'!Z9</f>
        <v>15376</v>
      </c>
      <c r="N22" s="86">
        <f t="shared" ref="N22:N34" si="8">IFERROR((M22/D22)^(1/10)-1,"-")</f>
        <v>0.1044023929479998</v>
      </c>
      <c r="O22" s="114"/>
      <c r="P22" s="207"/>
    </row>
    <row r="23" spans="1:17">
      <c r="B23" s="73"/>
      <c r="C23" s="153" t="s">
        <v>56</v>
      </c>
      <c r="D23" s="232">
        <f>'Quarterly Fins Data'!Q10</f>
        <v>7577</v>
      </c>
      <c r="E23" s="232">
        <f>'Quarterly Fins Data'!R10</f>
        <v>8063</v>
      </c>
      <c r="F23" s="232">
        <f>'Quarterly Fins Data'!S10</f>
        <v>7854</v>
      </c>
      <c r="G23" s="232">
        <f>'Quarterly Fins Data'!T10</f>
        <v>7824</v>
      </c>
      <c r="H23" s="232">
        <f>'Quarterly Fins Data'!U10</f>
        <v>8636</v>
      </c>
      <c r="I23" s="232">
        <f>'Quarterly Fins Data'!V10</f>
        <v>11077</v>
      </c>
      <c r="J23" s="232">
        <f>'Quarterly Fins Data'!W10</f>
        <v>12176</v>
      </c>
      <c r="K23" s="232">
        <f>'Quarterly Fins Data'!X10</f>
        <v>12953</v>
      </c>
      <c r="L23" s="232">
        <f>'Quarterly Fins Data'!Y10</f>
        <v>20002</v>
      </c>
      <c r="M23" s="232">
        <f>'Quarterly Fins Data'!Z10</f>
        <v>20037</v>
      </c>
      <c r="N23" s="88">
        <f t="shared" si="8"/>
        <v>0.10213181966330809</v>
      </c>
      <c r="O23" s="153"/>
      <c r="P23" s="207"/>
    </row>
    <row r="24" spans="1:17">
      <c r="B24" s="73"/>
      <c r="C24" s="153" t="s">
        <v>85</v>
      </c>
      <c r="D24" s="233">
        <f>'Quarterly Fins Data'!Q11</f>
        <v>1278</v>
      </c>
      <c r="E24" s="233">
        <f>'Quarterly Fins Data'!R11</f>
        <v>1229</v>
      </c>
      <c r="F24" s="233">
        <f>'Quarterly Fins Data'!S11</f>
        <v>1251</v>
      </c>
      <c r="G24" s="233">
        <f>'Quarterly Fins Data'!T11</f>
        <v>1951</v>
      </c>
      <c r="H24" s="233">
        <f>'Quarterly Fins Data'!U11</f>
        <v>1854</v>
      </c>
      <c r="I24" s="233">
        <f>'Quarterly Fins Data'!V11</f>
        <v>2013</v>
      </c>
      <c r="J24" s="233">
        <f>'Quarterly Fins Data'!W11</f>
        <v>2379</v>
      </c>
      <c r="K24" s="233">
        <f>'Quarterly Fins Data'!X11</f>
        <v>2831</v>
      </c>
      <c r="L24" s="233">
        <f>'Quarterly Fins Data'!Y11</f>
        <v>2737</v>
      </c>
      <c r="M24" s="233">
        <f>'Quarterly Fins Data'!Z11</f>
        <v>3110</v>
      </c>
      <c r="N24" s="88">
        <f t="shared" si="8"/>
        <v>9.3007025639871843E-2</v>
      </c>
      <c r="O24" s="153"/>
      <c r="P24" s="207"/>
    </row>
    <row r="25" spans="1:17">
      <c r="B25" s="73"/>
      <c r="C25" s="16" t="s">
        <v>331</v>
      </c>
      <c r="D25" s="242">
        <f>'Quarterly Fins Data'!Q14</f>
        <v>15562</v>
      </c>
      <c r="E25" s="242">
        <f>'Quarterly Fins Data'!R14</f>
        <v>16308</v>
      </c>
      <c r="F25" s="242">
        <f>'Quarterly Fins Data'!S14</f>
        <v>15285</v>
      </c>
      <c r="G25" s="242">
        <f>'Quarterly Fins Data'!T14</f>
        <v>19125</v>
      </c>
      <c r="H25" s="242">
        <f>'Quarterly Fins Data'!U14</f>
        <v>18238</v>
      </c>
      <c r="I25" s="242">
        <f>'Quarterly Fins Data'!V14</f>
        <v>26427</v>
      </c>
      <c r="J25" s="242">
        <f>'Quarterly Fins Data'!W14</f>
        <v>29620</v>
      </c>
      <c r="K25" s="242">
        <f>'Quarterly Fins Data'!X14</f>
        <v>38031</v>
      </c>
      <c r="L25" s="242">
        <f>'Quarterly Fins Data'!Y14</f>
        <v>33487</v>
      </c>
      <c r="M25" s="242">
        <f>'Quarterly Fins Data'!Z14</f>
        <v>39305</v>
      </c>
      <c r="N25" s="86">
        <f t="shared" si="8"/>
        <v>9.7079851245536863E-2</v>
      </c>
      <c r="O25" s="114"/>
      <c r="P25" s="207"/>
    </row>
    <row r="26" spans="1:17">
      <c r="B26" s="73"/>
      <c r="C26" s="153" t="s">
        <v>332</v>
      </c>
      <c r="D26" s="233">
        <f>'Quarterly Fins Data'!Q19</f>
        <v>23165</v>
      </c>
      <c r="E26" s="233">
        <f>'Quarterly Fins Data'!R19</f>
        <v>23526</v>
      </c>
      <c r="F26" s="233">
        <f>'Quarterly Fins Data'!S19</f>
        <v>24727</v>
      </c>
      <c r="G26" s="233">
        <f>'Quarterly Fins Data'!T19</f>
        <v>26333</v>
      </c>
      <c r="H26" s="233">
        <f>'Quarterly Fins Data'!U19</f>
        <v>28538</v>
      </c>
      <c r="I26" s="233">
        <f>'Quarterly Fins Data'!V19</f>
        <v>86632</v>
      </c>
      <c r="J26" s="233">
        <f>'Quarterly Fins Data'!W19</f>
        <v>91585</v>
      </c>
      <c r="K26" s="233">
        <f>'Quarterly Fins Data'!X19</f>
        <v>97513</v>
      </c>
      <c r="L26" s="233">
        <f>'Quarterly Fins Data'!Y19</f>
        <v>150476</v>
      </c>
      <c r="M26" s="233">
        <f>'Quarterly Fins Data'!Z19</f>
        <v>167658</v>
      </c>
      <c r="N26" s="88">
        <f t="shared" si="8"/>
        <v>0.21887507918235882</v>
      </c>
      <c r="O26" s="153"/>
      <c r="P26" s="207"/>
    </row>
    <row r="27" spans="1:17">
      <c r="B27" s="73"/>
      <c r="C27" s="16" t="s">
        <v>339</v>
      </c>
      <c r="D27" s="242">
        <f>'Quarterly Fins Data'!Q26</f>
        <v>47914</v>
      </c>
      <c r="E27" s="242">
        <f>'Quarterly Fins Data'!R26</f>
        <v>48870</v>
      </c>
      <c r="F27" s="242">
        <f>'Quarterly Fins Data'!S26</f>
        <v>52166</v>
      </c>
      <c r="G27" s="242">
        <f>'Quarterly Fins Data'!T26</f>
        <v>58035</v>
      </c>
      <c r="H27" s="242">
        <f>'Quarterly Fins Data'!U26</f>
        <v>57588</v>
      </c>
      <c r="I27" s="242">
        <f>'Quarterly Fins Data'!V26</f>
        <v>223134</v>
      </c>
      <c r="J27" s="242">
        <f>'Quarterly Fins Data'!W26</f>
        <v>232315</v>
      </c>
      <c r="K27" s="242">
        <f>'Quarterly Fins Data'!X26</f>
        <v>248885</v>
      </c>
      <c r="L27" s="242">
        <f>'Quarterly Fins Data'!Y26</f>
        <v>371738</v>
      </c>
      <c r="M27" s="242">
        <f>'Quarterly Fins Data'!Z26</f>
        <v>419264</v>
      </c>
      <c r="N27" s="86">
        <f t="shared" si="8"/>
        <v>0.24223143357207189</v>
      </c>
      <c r="O27" s="16"/>
      <c r="P27" s="207"/>
    </row>
    <row r="28" spans="1:17">
      <c r="B28" s="73"/>
      <c r="C28" s="153" t="s">
        <v>337</v>
      </c>
      <c r="D28" s="232">
        <f>'Quarterly Fins Data'!Q31</f>
        <v>8979</v>
      </c>
      <c r="E28" s="232">
        <f>'Quarterly Fins Data'!R31</f>
        <v>9015</v>
      </c>
      <c r="F28" s="232">
        <f>'Quarterly Fins Data'!S31</f>
        <v>9963</v>
      </c>
      <c r="G28" s="232">
        <f>'Quarterly Fins Data'!T31</f>
        <v>10660</v>
      </c>
      <c r="H28" s="232">
        <f>'Quarterly Fins Data'!U31</f>
        <v>11483</v>
      </c>
      <c r="I28" s="232">
        <f>'Quarterly Fins Data'!V31</f>
        <v>16170</v>
      </c>
      <c r="J28" s="232">
        <f>'Quarterly Fins Data'!W31</f>
        <v>18943</v>
      </c>
      <c r="K28" s="232">
        <f>'Quarterly Fins Data'!X31</f>
        <v>23635</v>
      </c>
      <c r="L28" s="232">
        <f>'Quarterly Fins Data'!Y31</f>
        <v>22854</v>
      </c>
      <c r="M28" s="232">
        <f>'Quarterly Fins Data'!Z31</f>
        <v>21288</v>
      </c>
      <c r="N28" s="88">
        <f t="shared" si="8"/>
        <v>9.0161119763044972E-2</v>
      </c>
      <c r="O28" s="153"/>
      <c r="P28" s="207"/>
    </row>
    <row r="29" spans="1:17">
      <c r="B29" s="73"/>
      <c r="C29" s="153" t="s">
        <v>338</v>
      </c>
      <c r="D29" s="232">
        <f>'Quarterly Fins Data'!Q33</f>
        <v>0</v>
      </c>
      <c r="E29" s="232">
        <f>'Quarterly Fins Data'!R33</f>
        <v>0</v>
      </c>
      <c r="F29" s="232">
        <f>'Quarterly Fins Data'!S33</f>
        <v>594</v>
      </c>
      <c r="G29" s="232">
        <f>'Quarterly Fins Data'!T33</f>
        <v>1355</v>
      </c>
      <c r="H29" s="232">
        <f>'Quarterly Fins Data'!U33</f>
        <v>2051</v>
      </c>
      <c r="I29" s="232">
        <f>'Quarterly Fins Data'!V33</f>
        <v>0</v>
      </c>
      <c r="J29" s="232">
        <f>'Quarterly Fins Data'!W33</f>
        <v>2095</v>
      </c>
      <c r="K29" s="232">
        <f>'Quarterly Fins Data'!X33</f>
        <v>0</v>
      </c>
      <c r="L29" s="232">
        <f>'Quarterly Fins Data'!Y33</f>
        <v>3675</v>
      </c>
      <c r="M29" s="232">
        <f>'Quarterly Fins Data'!Z33</f>
        <v>0</v>
      </c>
      <c r="N29" s="88" t="str">
        <f t="shared" si="8"/>
        <v>-</v>
      </c>
      <c r="O29" s="153"/>
      <c r="P29" s="207"/>
    </row>
    <row r="30" spans="1:17">
      <c r="B30" s="73"/>
      <c r="C30" s="16" t="s">
        <v>340</v>
      </c>
      <c r="D30" s="242">
        <f>'Quarterly Fins Data'!Q36</f>
        <v>16511</v>
      </c>
      <c r="E30" s="242">
        <f>'Quarterly Fins Data'!R36</f>
        <v>15973</v>
      </c>
      <c r="F30" s="242">
        <f>'Quarterly Fins Data'!S36</f>
        <v>17912</v>
      </c>
      <c r="G30" s="242">
        <f>'Quarterly Fins Data'!T36</f>
        <v>20515</v>
      </c>
      <c r="H30" s="242">
        <f>'Quarterly Fins Data'!U36</f>
        <v>21987</v>
      </c>
      <c r="I30" s="242">
        <f>'Quarterly Fins Data'!V36</f>
        <v>53489</v>
      </c>
      <c r="J30" s="242">
        <f>'Quarterly Fins Data'!W36</f>
        <v>62531</v>
      </c>
      <c r="K30" s="242">
        <f>'Quarterly Fins Data'!X36</f>
        <v>85378</v>
      </c>
      <c r="L30" s="242">
        <f>'Quarterly Fins Data'!Y36</f>
        <v>53445</v>
      </c>
      <c r="M30" s="242">
        <f>'Quarterly Fins Data'!Z36</f>
        <v>54084</v>
      </c>
      <c r="N30" s="86">
        <f t="shared" si="8"/>
        <v>0.12597706033384282</v>
      </c>
      <c r="O30" s="153"/>
      <c r="P30" s="207"/>
    </row>
    <row r="31" spans="1:17">
      <c r="B31" s="73"/>
      <c r="C31" s="16" t="s">
        <v>344</v>
      </c>
      <c r="D31" s="232">
        <f>'Quarterly Fins Data'!Q38</f>
        <v>8646</v>
      </c>
      <c r="E31" s="232">
        <f>'Quarterly Fins Data'!R38</f>
        <v>8420</v>
      </c>
      <c r="F31" s="232">
        <f>'Quarterly Fins Data'!S38</f>
        <v>7844</v>
      </c>
      <c r="G31" s="232">
        <f>'Quarterly Fins Data'!T38</f>
        <v>8995</v>
      </c>
      <c r="H31" s="232">
        <f>'Quarterly Fins Data'!U38</f>
        <v>9041</v>
      </c>
      <c r="I31" s="232">
        <f>'Quarterly Fins Data'!V38</f>
        <v>19901</v>
      </c>
      <c r="J31" s="232">
        <f>'Quarterly Fins Data'!W38</f>
        <v>28469</v>
      </c>
      <c r="K31" s="232">
        <f>'Quarterly Fins Data'!X38</f>
        <v>38146</v>
      </c>
      <c r="L31" s="232">
        <f>'Quarterly Fins Data'!Y38</f>
        <v>54122</v>
      </c>
      <c r="M31" s="232">
        <f>'Quarterly Fins Data'!Z38</f>
        <v>71655</v>
      </c>
      <c r="N31" s="88">
        <f t="shared" si="8"/>
        <v>0.23550107300742162</v>
      </c>
      <c r="O31" s="16"/>
      <c r="P31" s="207"/>
    </row>
    <row r="32" spans="1:17">
      <c r="B32" s="73"/>
      <c r="C32" s="153" t="s">
        <v>342</v>
      </c>
      <c r="D32" s="234">
        <f>'Quarterly Fins Data'!Q44</f>
        <v>1517</v>
      </c>
      <c r="E32" s="234">
        <f>'Quarterly Fins Data'!R44</f>
        <v>1768</v>
      </c>
      <c r="F32" s="234">
        <f>'Quarterly Fins Data'!S44</f>
        <v>1922</v>
      </c>
      <c r="G32" s="234">
        <f>'Quarterly Fins Data'!T44</f>
        <v>1974</v>
      </c>
      <c r="H32" s="234">
        <f>'Quarterly Fins Data'!U44</f>
        <v>2208</v>
      </c>
      <c r="I32" s="234">
        <f>'Quarterly Fins Data'!V44</f>
        <v>3413</v>
      </c>
      <c r="J32" s="234">
        <f>'Quarterly Fins Data'!W44</f>
        <v>3599</v>
      </c>
      <c r="K32" s="234">
        <f>'Quarterly Fins Data'!X44</f>
        <v>5175</v>
      </c>
      <c r="L32" s="234">
        <f>'Quarterly Fins Data'!Y44</f>
        <v>5071</v>
      </c>
      <c r="M32" s="234">
        <f>'Quarterly Fins Data'!Z44</f>
        <v>8253</v>
      </c>
      <c r="N32" s="88">
        <f t="shared" si="8"/>
        <v>0.18457517360725872</v>
      </c>
      <c r="O32" s="153"/>
      <c r="P32" s="207"/>
    </row>
    <row r="33" spans="1:17">
      <c r="B33" s="73"/>
      <c r="C33" s="153" t="s">
        <v>343</v>
      </c>
      <c r="D33" s="242">
        <f>'Quarterly Fins Data'!Q46</f>
        <v>28578</v>
      </c>
      <c r="E33" s="242">
        <f>'Quarterly Fins Data'!R46</f>
        <v>27600</v>
      </c>
      <c r="F33" s="242">
        <f>'Quarterly Fins Data'!S46</f>
        <v>29167</v>
      </c>
      <c r="G33" s="242">
        <f>'Quarterly Fins Data'!T46</f>
        <v>32972</v>
      </c>
      <c r="H33" s="242">
        <f>'Quarterly Fins Data'!U46</f>
        <v>34502</v>
      </c>
      <c r="I33" s="242">
        <f>'Quarterly Fins Data'!V46</f>
        <v>95923</v>
      </c>
      <c r="J33" s="242">
        <f>'Quarterly Fins Data'!W46</f>
        <v>112446</v>
      </c>
      <c r="K33" s="242">
        <f>'Quarterly Fins Data'!X46</f>
        <v>140885</v>
      </c>
      <c r="L33" s="242">
        <f>'Quarterly Fins Data'!Y46</f>
        <v>146052</v>
      </c>
      <c r="M33" s="242">
        <f>'Quarterly Fins Data'!Z46</f>
        <v>166097</v>
      </c>
      <c r="N33" s="86">
        <f t="shared" si="8"/>
        <v>0.19243027968719173</v>
      </c>
      <c r="O33" s="153"/>
      <c r="P33" s="207"/>
    </row>
    <row r="34" spans="1:17">
      <c r="B34" s="73"/>
      <c r="C34" s="95" t="s">
        <v>352</v>
      </c>
      <c r="D34" s="231">
        <f>'Quarterly Fins Data'!Q54</f>
        <v>19336</v>
      </c>
      <c r="E34" s="231">
        <f>'Quarterly Fins Data'!R54</f>
        <v>21270</v>
      </c>
      <c r="F34" s="231">
        <f>'Quarterly Fins Data'!S54</f>
        <v>22999</v>
      </c>
      <c r="G34" s="231">
        <f>'Quarterly Fins Data'!T54</f>
        <v>25063</v>
      </c>
      <c r="H34" s="231">
        <f>'Quarterly Fins Data'!U54</f>
        <v>23086</v>
      </c>
      <c r="I34" s="231">
        <f>'Quarterly Fins Data'!V54</f>
        <v>127211</v>
      </c>
      <c r="J34" s="231">
        <f>'Quarterly Fins Data'!W54</f>
        <v>119869</v>
      </c>
      <c r="K34" s="231">
        <f>'Quarterly Fins Data'!X54</f>
        <v>108000</v>
      </c>
      <c r="L34" s="231">
        <f>'Quarterly Fins Data'!Y54</f>
        <v>225686</v>
      </c>
      <c r="M34" s="231">
        <f>'Quarterly Fins Data'!Z54</f>
        <v>253167</v>
      </c>
      <c r="N34" s="86">
        <f t="shared" si="8"/>
        <v>0.29331419950715243</v>
      </c>
      <c r="O34" s="16"/>
      <c r="P34" s="207"/>
    </row>
    <row r="35" spans="1:17">
      <c r="B35" s="73"/>
      <c r="C35" s="11"/>
      <c r="D35" s="11"/>
      <c r="E35" s="11"/>
      <c r="F35" s="11"/>
      <c r="G35" s="11"/>
      <c r="H35" s="11"/>
      <c r="I35" s="11"/>
      <c r="J35" s="11"/>
      <c r="K35" s="11"/>
      <c r="L35" s="11"/>
      <c r="M35" s="11"/>
      <c r="N35" s="112"/>
      <c r="O35" s="11"/>
    </row>
    <row r="36" spans="1:17">
      <c r="B36" s="73"/>
      <c r="C36" s="89" t="s">
        <v>167</v>
      </c>
      <c r="D36" s="115">
        <f t="shared" ref="D36:M36" si="9">D25-D30</f>
        <v>-949</v>
      </c>
      <c r="E36" s="115">
        <f t="shared" si="9"/>
        <v>335</v>
      </c>
      <c r="F36" s="115">
        <f t="shared" si="9"/>
        <v>-2627</v>
      </c>
      <c r="G36" s="115">
        <f t="shared" si="9"/>
        <v>-1390</v>
      </c>
      <c r="H36" s="115">
        <f t="shared" si="9"/>
        <v>-3749</v>
      </c>
      <c r="I36" s="115">
        <f t="shared" si="9"/>
        <v>-27062</v>
      </c>
      <c r="J36" s="115">
        <f t="shared" si="9"/>
        <v>-32911</v>
      </c>
      <c r="K36" s="115">
        <f t="shared" si="9"/>
        <v>-47347</v>
      </c>
      <c r="L36" s="115">
        <f t="shared" si="9"/>
        <v>-19958</v>
      </c>
      <c r="M36" s="115">
        <f t="shared" si="9"/>
        <v>-14779</v>
      </c>
      <c r="N36" s="112"/>
      <c r="O36" s="11"/>
    </row>
    <row r="37" spans="1:17">
      <c r="B37" s="73"/>
      <c r="C37" s="89" t="s">
        <v>288</v>
      </c>
      <c r="D37" s="94" t="s">
        <v>55</v>
      </c>
      <c r="E37" s="94" t="s">
        <v>55</v>
      </c>
      <c r="F37" s="94" t="s">
        <v>55</v>
      </c>
      <c r="G37" s="99">
        <f t="shared" ref="G37:M37" si="10">G36/SUM(D5:G5)</f>
        <v>-2.2493729266121854E-2</v>
      </c>
      <c r="H37" s="99">
        <f t="shared" si="10"/>
        <v>-5.7395244875151179E-2</v>
      </c>
      <c r="I37" s="99">
        <f t="shared" si="10"/>
        <v>-0.33296831744078748</v>
      </c>
      <c r="J37" s="99">
        <f t="shared" si="10"/>
        <v>-0.33272001213162816</v>
      </c>
      <c r="K37" s="99">
        <f t="shared" si="10"/>
        <v>-0.40299091829873435</v>
      </c>
      <c r="L37" s="99">
        <f t="shared" si="10"/>
        <v>-0.11876510003213406</v>
      </c>
      <c r="M37" s="99">
        <f t="shared" si="10"/>
        <v>-8.1348114225324203E-2</v>
      </c>
      <c r="N37" s="112"/>
      <c r="O37" s="11"/>
    </row>
    <row r="38" spans="1:17">
      <c r="B38" s="73"/>
      <c r="C38" s="89" t="s">
        <v>169</v>
      </c>
      <c r="D38" s="98">
        <f t="shared" ref="D38:M38" si="11">D25/D30</f>
        <v>0.94252316637393252</v>
      </c>
      <c r="E38" s="98">
        <f t="shared" si="11"/>
        <v>1.0209728917548362</v>
      </c>
      <c r="F38" s="98">
        <f t="shared" si="11"/>
        <v>0.85333854399285392</v>
      </c>
      <c r="G38" s="98">
        <f t="shared" si="11"/>
        <v>0.93224469900073115</v>
      </c>
      <c r="H38" s="98">
        <f t="shared" si="11"/>
        <v>0.82949015327238818</v>
      </c>
      <c r="I38" s="98">
        <f t="shared" si="11"/>
        <v>0.49406420011591168</v>
      </c>
      <c r="J38" s="98">
        <f t="shared" si="11"/>
        <v>0.47368505221410179</v>
      </c>
      <c r="K38" s="98">
        <f t="shared" si="11"/>
        <v>0.44544261987865724</v>
      </c>
      <c r="L38" s="98">
        <f t="shared" si="11"/>
        <v>0.62656937038076532</v>
      </c>
      <c r="M38" s="98">
        <f t="shared" si="11"/>
        <v>0.72673988610309892</v>
      </c>
      <c r="N38" s="112"/>
      <c r="O38" s="11"/>
    </row>
    <row r="39" spans="1:17" s="191" customFormat="1">
      <c r="B39" s="190"/>
      <c r="C39" s="89" t="s">
        <v>353</v>
      </c>
      <c r="D39" s="115">
        <f t="shared" ref="D39:M39" si="12">D31-D22</f>
        <v>2950</v>
      </c>
      <c r="E39" s="115">
        <f t="shared" si="12"/>
        <v>2534</v>
      </c>
      <c r="F39" s="115">
        <f t="shared" si="12"/>
        <v>2732</v>
      </c>
      <c r="G39" s="115">
        <f t="shared" si="12"/>
        <v>857</v>
      </c>
      <c r="H39" s="115">
        <f t="shared" si="12"/>
        <v>2784</v>
      </c>
      <c r="I39" s="115">
        <f t="shared" si="12"/>
        <v>8990</v>
      </c>
      <c r="J39" s="115">
        <f t="shared" si="12"/>
        <v>17206</v>
      </c>
      <c r="K39" s="115">
        <f t="shared" si="12"/>
        <v>21795</v>
      </c>
      <c r="L39" s="115">
        <f t="shared" si="12"/>
        <v>45860</v>
      </c>
      <c r="M39" s="115">
        <f t="shared" si="12"/>
        <v>56279</v>
      </c>
      <c r="N39" s="250"/>
      <c r="O39" s="192"/>
    </row>
    <row r="40" spans="1:17">
      <c r="B40" s="73"/>
      <c r="C40" s="89" t="s">
        <v>170</v>
      </c>
      <c r="D40" s="99">
        <f t="shared" ref="D40:M40" si="13">D33/D27</f>
        <v>0.59644362816713281</v>
      </c>
      <c r="E40" s="99">
        <f t="shared" si="13"/>
        <v>0.56476365868631062</v>
      </c>
      <c r="F40" s="99">
        <f t="shared" si="13"/>
        <v>0.55911896637656711</v>
      </c>
      <c r="G40" s="99">
        <f t="shared" si="13"/>
        <v>0.56813991556819166</v>
      </c>
      <c r="H40" s="99">
        <f t="shared" si="13"/>
        <v>0.59911787177884279</v>
      </c>
      <c r="I40" s="99">
        <f t="shared" si="13"/>
        <v>0.42988966271388496</v>
      </c>
      <c r="J40" s="99">
        <f t="shared" si="13"/>
        <v>0.48402384693196737</v>
      </c>
      <c r="K40" s="99">
        <f t="shared" si="13"/>
        <v>0.56606464833155878</v>
      </c>
      <c r="L40" s="99">
        <f t="shared" si="13"/>
        <v>0.39288961580467963</v>
      </c>
      <c r="M40" s="99">
        <f t="shared" si="13"/>
        <v>0.39616327659899253</v>
      </c>
      <c r="N40" s="112"/>
      <c r="O40" s="11"/>
    </row>
    <row r="41" spans="1:17">
      <c r="B41" s="73"/>
      <c r="C41" s="89" t="s">
        <v>171</v>
      </c>
      <c r="D41" s="94" t="s">
        <v>55</v>
      </c>
      <c r="E41" s="94" t="s">
        <v>55</v>
      </c>
      <c r="F41" s="94" t="s">
        <v>55</v>
      </c>
      <c r="G41" s="98">
        <f>IFERROR(G12/SUM(D9:G9,ABS('Stock Price Data'!J164)),"-")</f>
        <v>3.5765517241379312</v>
      </c>
      <c r="H41" s="98">
        <f>IFERROR(H12/SUM(E9:H9,ABS('Stock Price Data'!K164)),"-")</f>
        <v>3.7529498525073746</v>
      </c>
      <c r="I41" s="98">
        <f>IFERROR(I12/SUM(F9:I9,ABS('Stock Price Data'!L164)),"-")</f>
        <v>6.1380145278450362</v>
      </c>
      <c r="J41" s="98">
        <f>IFERROR(J12/SUM(G9:J9,ABS('Stock Price Data'!M164)),"-")</f>
        <v>0.58695652173913049</v>
      </c>
      <c r="K41" s="98">
        <f>IFERROR(K12/SUM(H9:K9,ABS('Stock Price Data'!N164)),"-")</f>
        <v>0.26100689744085603</v>
      </c>
      <c r="L41" s="98">
        <f>IFERROR(L12/SUM(I9:L9,ABS('Stock Price Data'!O164)),"-")</f>
        <v>2.092626447288239</v>
      </c>
      <c r="M41" s="98" t="str">
        <f>IFERROR(M12/SUM(J9:M9,ABS('Stock Price Data'!#REF!)),"-")</f>
        <v>-</v>
      </c>
      <c r="N41" s="112"/>
      <c r="O41" s="11"/>
    </row>
    <row r="42" spans="1:17">
      <c r="B42" s="73"/>
      <c r="C42" s="89" t="s">
        <v>153</v>
      </c>
      <c r="D42" s="94" t="s">
        <v>55</v>
      </c>
      <c r="E42" s="94" t="s">
        <v>55</v>
      </c>
      <c r="F42" s="94" t="s">
        <v>55</v>
      </c>
      <c r="G42" s="99">
        <f t="shared" ref="G42:M42" si="14">SUM(D11:G11)/G34</f>
        <v>0.28508159438215697</v>
      </c>
      <c r="H42" s="99">
        <f t="shared" si="14"/>
        <v>0.33050333535476045</v>
      </c>
      <c r="I42" s="99">
        <f t="shared" si="14"/>
        <v>7.180982776646673E-2</v>
      </c>
      <c r="J42" s="99">
        <f t="shared" si="14"/>
        <v>-7.4831691262962066E-3</v>
      </c>
      <c r="K42" s="99">
        <f t="shared" si="14"/>
        <v>-0.1537037037037037</v>
      </c>
      <c r="L42" s="99">
        <f t="shared" si="14"/>
        <v>2.345736997421196E-2</v>
      </c>
      <c r="M42" s="99">
        <f t="shared" si="14"/>
        <v>1.2110583132872768E-2</v>
      </c>
      <c r="N42" s="112"/>
      <c r="O42" s="11"/>
    </row>
    <row r="43" spans="1:17">
      <c r="B43" s="73"/>
      <c r="C43" s="89" t="s">
        <v>151</v>
      </c>
      <c r="D43" s="94" t="s">
        <v>55</v>
      </c>
      <c r="E43" s="94" t="s">
        <v>55</v>
      </c>
      <c r="F43" s="94" t="s">
        <v>55</v>
      </c>
      <c r="G43" s="99">
        <f t="shared" ref="G43:M43" si="15">SUM(D11:G11)/G27</f>
        <v>0.12311536141983286</v>
      </c>
      <c r="H43" s="99">
        <f t="shared" si="15"/>
        <v>0.13249288046120719</v>
      </c>
      <c r="I43" s="99">
        <f t="shared" si="15"/>
        <v>4.0939525128398185E-2</v>
      </c>
      <c r="J43" s="99">
        <f t="shared" si="15"/>
        <v>-3.8611368185437877E-3</v>
      </c>
      <c r="K43" s="99">
        <f t="shared" si="15"/>
        <v>-6.6697470719408555E-2</v>
      </c>
      <c r="L43" s="99">
        <f t="shared" si="15"/>
        <v>1.4241212897255594E-2</v>
      </c>
      <c r="M43" s="99">
        <f t="shared" si="15"/>
        <v>7.3128148374294001E-3</v>
      </c>
      <c r="N43" s="112"/>
      <c r="O43" s="11"/>
    </row>
    <row r="44" spans="1:17" s="191" customFormat="1">
      <c r="B44" s="190"/>
      <c r="C44" s="89" t="s">
        <v>354</v>
      </c>
      <c r="D44" s="99">
        <f t="shared" ref="D44:M44" si="16">D8/(D26+D36)</f>
        <v>0.1647461289160965</v>
      </c>
      <c r="E44" s="99">
        <f t="shared" si="16"/>
        <v>0.1262310883869075</v>
      </c>
      <c r="F44" s="99">
        <f t="shared" si="16"/>
        <v>0.16</v>
      </c>
      <c r="G44" s="99">
        <f t="shared" si="16"/>
        <v>0.12845287254941265</v>
      </c>
      <c r="H44" s="99">
        <f t="shared" si="16"/>
        <v>0.17338335552059381</v>
      </c>
      <c r="I44" s="99">
        <f t="shared" si="16"/>
        <v>0.12491186839012926</v>
      </c>
      <c r="J44" s="99">
        <f t="shared" si="16"/>
        <v>0.12250741384599652</v>
      </c>
      <c r="K44" s="99">
        <f t="shared" si="16"/>
        <v>0.139676274767771</v>
      </c>
      <c r="L44" s="99">
        <f t="shared" si="16"/>
        <v>2.6640003677653658E-2</v>
      </c>
      <c r="M44" s="99">
        <f t="shared" si="16"/>
        <v>3.6793804250420267E-2</v>
      </c>
      <c r="N44" s="99"/>
      <c r="O44" s="192"/>
    </row>
    <row r="45" spans="1:17">
      <c r="B45" s="73"/>
      <c r="C45" s="89" t="s">
        <v>172</v>
      </c>
      <c r="D45" s="98">
        <f t="shared" ref="D45:M45" si="17">D27/D34</f>
        <v>2.4779685560612328</v>
      </c>
      <c r="E45" s="98">
        <f t="shared" si="17"/>
        <v>2.2976022566995771</v>
      </c>
      <c r="F45" s="98">
        <f t="shared" si="17"/>
        <v>2.2681855732857952</v>
      </c>
      <c r="G45" s="98">
        <f t="shared" si="17"/>
        <v>2.3155647767625585</v>
      </c>
      <c r="H45" s="98">
        <f t="shared" si="17"/>
        <v>2.4944988304600191</v>
      </c>
      <c r="I45" s="98">
        <f t="shared" si="17"/>
        <v>1.7540464268027136</v>
      </c>
      <c r="J45" s="98">
        <f t="shared" si="17"/>
        <v>1.9380740641867371</v>
      </c>
      <c r="K45" s="98">
        <f t="shared" si="17"/>
        <v>2.3044907407407407</v>
      </c>
      <c r="L45" s="98">
        <f t="shared" si="17"/>
        <v>1.6471469209432574</v>
      </c>
      <c r="M45" s="98">
        <f t="shared" si="17"/>
        <v>1.6560768188586981</v>
      </c>
      <c r="N45" s="112"/>
      <c r="O45" s="11"/>
    </row>
    <row r="46" spans="1:17">
      <c r="B46" s="73"/>
      <c r="C46" s="11"/>
      <c r="D46" s="11"/>
      <c r="E46" s="11"/>
      <c r="F46" s="11"/>
      <c r="G46" s="11"/>
      <c r="H46" s="11"/>
      <c r="I46" s="11"/>
      <c r="J46" s="11"/>
      <c r="K46" s="11"/>
      <c r="L46" s="11"/>
      <c r="M46" s="11"/>
      <c r="N46" s="11"/>
      <c r="O46" s="11"/>
    </row>
    <row r="47" spans="1:17">
      <c r="A47" s="207"/>
      <c r="B47" s="77"/>
      <c r="C47" s="58" t="s">
        <v>19</v>
      </c>
      <c r="D47" s="208">
        <f>D4</f>
        <v>42734</v>
      </c>
      <c r="E47" s="208">
        <f t="shared" ref="E47:M47" si="18">E4</f>
        <v>42824</v>
      </c>
      <c r="F47" s="208">
        <f t="shared" si="18"/>
        <v>42914</v>
      </c>
      <c r="G47" s="208">
        <f t="shared" si="18"/>
        <v>43004</v>
      </c>
      <c r="H47" s="208">
        <f t="shared" si="18"/>
        <v>43098</v>
      </c>
      <c r="I47" s="208">
        <f t="shared" si="18"/>
        <v>43188</v>
      </c>
      <c r="J47" s="208">
        <f t="shared" si="18"/>
        <v>43279</v>
      </c>
      <c r="K47" s="208">
        <f t="shared" si="18"/>
        <v>43370</v>
      </c>
      <c r="L47" s="208">
        <f t="shared" si="18"/>
        <v>43461</v>
      </c>
      <c r="M47" s="208">
        <f t="shared" si="18"/>
        <v>43552</v>
      </c>
      <c r="N47" s="60" t="s">
        <v>243</v>
      </c>
      <c r="O47" s="60"/>
      <c r="P47" s="207"/>
      <c r="Q47" s="207"/>
    </row>
    <row r="48" spans="1:17">
      <c r="B48" s="73"/>
      <c r="C48" s="72" t="s">
        <v>13</v>
      </c>
      <c r="D48" s="231">
        <f>'Quarterly Fins Data'!AD5</f>
        <v>1510</v>
      </c>
      <c r="E48" s="231">
        <f>'Quarterly Fins Data'!AE5</f>
        <v>1966</v>
      </c>
      <c r="F48" s="231">
        <f>'Quarterly Fins Data'!AF5</f>
        <v>1673</v>
      </c>
      <c r="G48" s="231">
        <f>'Quarterly Fins Data'!AG5</f>
        <v>2056</v>
      </c>
      <c r="H48" s="231">
        <f>'Quarterly Fins Data'!AH5</f>
        <v>2029</v>
      </c>
      <c r="I48" s="231">
        <f>'Quarterly Fins Data'!AI5</f>
        <v>3481</v>
      </c>
      <c r="J48" s="231">
        <f>'Quarterly Fins Data'!AJ5</f>
        <v>-8353</v>
      </c>
      <c r="K48" s="231">
        <f>'Quarterly Fins Data'!AK5</f>
        <v>-13668</v>
      </c>
      <c r="L48" s="231">
        <f>'Quarterly Fins Data'!AL5</f>
        <v>24076</v>
      </c>
      <c r="M48" s="231">
        <f>'Quarterly Fins Data'!AM5</f>
        <v>1279</v>
      </c>
      <c r="N48" s="56">
        <f t="shared" ref="N48:N56" si="19">IFERROR((M48/D48)^(1/10)-1,"-")</f>
        <v>-1.6466040801160764E-2</v>
      </c>
      <c r="O48" s="16"/>
    </row>
    <row r="49" spans="1:17">
      <c r="B49" s="73"/>
      <c r="C49" s="74" t="s">
        <v>345</v>
      </c>
      <c r="D49" s="232">
        <f>'Quarterly Fins Data'!AD6</f>
        <v>1713</v>
      </c>
      <c r="E49" s="232">
        <f>'Quarterly Fins Data'!AE6</f>
        <v>1673</v>
      </c>
      <c r="F49" s="232">
        <f>'Quarterly Fins Data'!AF6</f>
        <v>1719</v>
      </c>
      <c r="G49" s="232">
        <f>'Quarterly Fins Data'!AG6</f>
        <v>1741</v>
      </c>
      <c r="H49" s="232">
        <f>'Quarterly Fins Data'!AH6</f>
        <v>1795</v>
      </c>
      <c r="I49" s="232">
        <f>'Quarterly Fins Data'!AI6</f>
        <v>4611</v>
      </c>
      <c r="J49" s="232">
        <f>'Quarterly Fins Data'!AJ6</f>
        <v>4890</v>
      </c>
      <c r="K49" s="232">
        <f>'Quarterly Fins Data'!AK6</f>
        <v>5482</v>
      </c>
      <c r="L49" s="232">
        <f>'Quarterly Fins Data'!AL6</f>
        <v>18038</v>
      </c>
      <c r="M49" s="232">
        <f>'Quarterly Fins Data'!AM6</f>
        <v>9922</v>
      </c>
      <c r="N49" s="112">
        <f t="shared" si="19"/>
        <v>0.19202176708489271</v>
      </c>
      <c r="O49" s="11"/>
    </row>
    <row r="50" spans="1:17">
      <c r="B50" s="73"/>
      <c r="C50" s="16" t="s">
        <v>20</v>
      </c>
      <c r="D50" s="236">
        <f>'Quarterly Fins Data'!AD16</f>
        <v>5006</v>
      </c>
      <c r="E50" s="236">
        <f>'Quarterly Fins Data'!AE16</f>
        <v>5568</v>
      </c>
      <c r="F50" s="236">
        <f>'Quarterly Fins Data'!AF16</f>
        <v>5238</v>
      </c>
      <c r="G50" s="236">
        <f>'Quarterly Fins Data'!AG16</f>
        <v>4762</v>
      </c>
      <c r="H50" s="236">
        <f>'Quarterly Fins Data'!AH16</f>
        <v>3764</v>
      </c>
      <c r="I50" s="236">
        <f>'Quarterly Fins Data'!AI16</f>
        <v>9200</v>
      </c>
      <c r="J50" s="236">
        <f>'Quarterly Fins Data'!AJ16</f>
        <v>7281</v>
      </c>
      <c r="K50" s="236">
        <f>'Quarterly Fins Data'!AK16</f>
        <v>10896</v>
      </c>
      <c r="L50" s="236">
        <f>'Quarterly Fins Data'!AL16</f>
        <v>15049</v>
      </c>
      <c r="M50" s="236">
        <f>'Quarterly Fins Data'!AM16</f>
        <v>14491</v>
      </c>
      <c r="N50" s="56">
        <f t="shared" si="19"/>
        <v>0.11214330330660394</v>
      </c>
      <c r="O50" s="16"/>
    </row>
    <row r="51" spans="1:17">
      <c r="B51" s="73"/>
      <c r="C51" s="16" t="s">
        <v>21</v>
      </c>
      <c r="D51" s="237">
        <f>'Quarterly Fins Data'!AD25</f>
        <v>-4367</v>
      </c>
      <c r="E51" s="237">
        <f>'Quarterly Fins Data'!AE25</f>
        <v>-5150</v>
      </c>
      <c r="F51" s="237">
        <f>'Quarterly Fins Data'!AF25</f>
        <v>-2770</v>
      </c>
      <c r="G51" s="237">
        <f>'Quarterly Fins Data'!AG25</f>
        <v>-3878</v>
      </c>
      <c r="H51" s="237">
        <f>'Quarterly Fins Data'!AH25</f>
        <v>-2496</v>
      </c>
      <c r="I51" s="237">
        <f>'Quarterly Fins Data'!AI25</f>
        <v>-2456</v>
      </c>
      <c r="J51" s="237">
        <f>'Quarterly Fins Data'!AJ25</f>
        <v>-7616</v>
      </c>
      <c r="K51" s="237">
        <f>'Quarterly Fins Data'!AK25</f>
        <v>-8186</v>
      </c>
      <c r="L51" s="237">
        <f>'Quarterly Fins Data'!AL25</f>
        <v>-13027</v>
      </c>
      <c r="M51" s="237">
        <f>'Quarterly Fins Data'!AM25</f>
        <v>-6873</v>
      </c>
      <c r="N51" s="56">
        <f t="shared" si="19"/>
        <v>4.6396588786353776E-2</v>
      </c>
      <c r="O51" s="16"/>
    </row>
    <row r="52" spans="1:17">
      <c r="B52" s="73"/>
      <c r="C52" s="16" t="s">
        <v>22</v>
      </c>
      <c r="D52" s="238">
        <f>'Quarterly Fins Data'!AD31</f>
        <v>2770</v>
      </c>
      <c r="E52" s="238">
        <f>'Quarterly Fins Data'!AE31</f>
        <v>-2727</v>
      </c>
      <c r="F52" s="238">
        <f>'Quarterly Fins Data'!AF31</f>
        <v>-653</v>
      </c>
      <c r="G52" s="238">
        <f>'Quarterly Fins Data'!AG31</f>
        <v>1852</v>
      </c>
      <c r="H52" s="238">
        <f>'Quarterly Fins Data'!AH31</f>
        <v>-4768</v>
      </c>
      <c r="I52" s="238">
        <f>'Quarterly Fins Data'!AI31</f>
        <v>-3722</v>
      </c>
      <c r="J52" s="238">
        <f>'Quarterly Fins Data'!AJ31</f>
        <v>-1841</v>
      </c>
      <c r="K52" s="238">
        <f>'Quarterly Fins Data'!AK31</f>
        <v>-1010</v>
      </c>
      <c r="L52" s="238">
        <f>'Quarterly Fins Data'!AL31</f>
        <v>-8024</v>
      </c>
      <c r="M52" s="238">
        <f>'Quarterly Fins Data'!AM31</f>
        <v>-1806</v>
      </c>
      <c r="N52" s="56" t="str">
        <f t="shared" si="19"/>
        <v>-</v>
      </c>
      <c r="O52" s="16"/>
    </row>
    <row r="53" spans="1:17">
      <c r="B53" s="73"/>
      <c r="C53" s="11" t="s">
        <v>23</v>
      </c>
      <c r="D53" s="232">
        <f>'Quarterly Fins Data'!AD34</f>
        <v>369</v>
      </c>
      <c r="E53" s="232">
        <f>'Quarterly Fins Data'!AE34</f>
        <v>3945</v>
      </c>
      <c r="F53" s="232">
        <f>'Quarterly Fins Data'!AF34</f>
        <v>1584</v>
      </c>
      <c r="G53" s="232">
        <f>'Quarterly Fins Data'!AG34</f>
        <v>3490</v>
      </c>
      <c r="H53" s="232">
        <f>'Quarterly Fins Data'!AH34</f>
        <v>6197</v>
      </c>
      <c r="I53" s="232">
        <f>'Quarterly Fins Data'!AI34</f>
        <v>4414</v>
      </c>
      <c r="J53" s="232">
        <f>'Quarterly Fins Data'!AJ34</f>
        <v>7849</v>
      </c>
      <c r="K53" s="232">
        <f>'Quarterly Fins Data'!AK34</f>
        <v>6958</v>
      </c>
      <c r="L53" s="232">
        <f>'Quarterly Fins Data'!AL34</f>
        <v>9737</v>
      </c>
      <c r="M53" s="232">
        <f>'Quarterly Fins Data'!AM34</f>
        <v>7637</v>
      </c>
      <c r="N53" s="112">
        <f t="shared" si="19"/>
        <v>0.35390952142439458</v>
      </c>
      <c r="O53" s="11"/>
    </row>
    <row r="54" spans="1:17">
      <c r="B54" s="73"/>
      <c r="C54" s="11" t="s">
        <v>24</v>
      </c>
      <c r="D54" s="232">
        <f>'Quarterly Fins Data'!AD35</f>
        <v>3945</v>
      </c>
      <c r="E54" s="232">
        <f>'Quarterly Fins Data'!AE35</f>
        <v>1584</v>
      </c>
      <c r="F54" s="232">
        <f>'Quarterly Fins Data'!AF35</f>
        <v>3490</v>
      </c>
      <c r="G54" s="232">
        <f>'Quarterly Fins Data'!AG35</f>
        <v>6197</v>
      </c>
      <c r="H54" s="232">
        <f>'Quarterly Fins Data'!AH35</f>
        <v>2831</v>
      </c>
      <c r="I54" s="232">
        <f>'Quarterly Fins Data'!AI35</f>
        <v>7849</v>
      </c>
      <c r="J54" s="232">
        <f>'Quarterly Fins Data'!AJ35</f>
        <v>6958</v>
      </c>
      <c r="K54" s="232">
        <f>'Quarterly Fins Data'!AK35</f>
        <v>9737</v>
      </c>
      <c r="L54" s="232">
        <f>'Quarterly Fins Data'!AL35</f>
        <v>4788</v>
      </c>
      <c r="M54" s="232">
        <f>'Quarterly Fins Data'!AM35</f>
        <v>13534</v>
      </c>
      <c r="N54" s="112">
        <f t="shared" si="19"/>
        <v>0.13119614509308231</v>
      </c>
      <c r="O54" s="11"/>
    </row>
    <row r="55" spans="1:17" s="75" customFormat="1">
      <c r="B55" s="152"/>
      <c r="C55" s="153" t="s">
        <v>25</v>
      </c>
      <c r="D55" s="232">
        <f>'Quarterly Fins Data'!AD39</f>
        <v>1792</v>
      </c>
      <c r="E55" s="232">
        <f>'Quarterly Fins Data'!AE39</f>
        <v>2942</v>
      </c>
      <c r="F55" s="232">
        <f>'Quarterly Fins Data'!AF39</f>
        <v>2593</v>
      </c>
      <c r="G55" s="232">
        <f>'Quarterly Fins Data'!AG39</f>
        <v>1485</v>
      </c>
      <c r="H55" s="232">
        <f>'Quarterly Fins Data'!AH39</f>
        <v>614</v>
      </c>
      <c r="I55" s="232">
        <f>'Quarterly Fins Data'!AI39</f>
        <v>2876</v>
      </c>
      <c r="J55" s="232">
        <f>'Quarterly Fins Data'!AJ39</f>
        <v>-652</v>
      </c>
      <c r="K55" s="232">
        <f>'Quarterly Fins Data'!AK39</f>
        <v>2120</v>
      </c>
      <c r="L55" s="232">
        <f>'Quarterly Fins Data'!AL39</f>
        <v>-4398</v>
      </c>
      <c r="M55" s="232">
        <f>'Quarterly Fins Data'!AM39</f>
        <v>6449</v>
      </c>
      <c r="N55" s="112">
        <f t="shared" si="19"/>
        <v>0.13662037563196572</v>
      </c>
      <c r="O55" s="153"/>
    </row>
    <row r="56" spans="1:17">
      <c r="B56" s="73"/>
      <c r="C56" s="16" t="s">
        <v>26</v>
      </c>
      <c r="D56" s="239">
        <f>'Quarterly Fins Data'!AD29</f>
        <v>0</v>
      </c>
      <c r="E56" s="239">
        <f>'Quarterly Fins Data'!AE29</f>
        <v>0</v>
      </c>
      <c r="F56" s="239">
        <f>'Quarterly Fins Data'!AF29</f>
        <v>-17</v>
      </c>
      <c r="G56" s="239">
        <f>'Quarterly Fins Data'!AG29</f>
        <v>-1</v>
      </c>
      <c r="H56" s="239">
        <f>'Quarterly Fins Data'!AH29</f>
        <v>-4174</v>
      </c>
      <c r="I56" s="239">
        <f>'Quarterly Fins Data'!AI29</f>
        <v>-23951</v>
      </c>
      <c r="J56" s="239">
        <f>'Quarterly Fins Data'!AJ29</f>
        <v>-162</v>
      </c>
      <c r="K56" s="239">
        <f>'Quarterly Fins Data'!AK29</f>
        <v>0</v>
      </c>
      <c r="L56" s="239">
        <f>'Quarterly Fins Data'!AL29</f>
        <v>-10017</v>
      </c>
      <c r="M56" s="239">
        <f>'Quarterly Fins Data'!AM29</f>
        <v>0</v>
      </c>
      <c r="N56" s="56" t="str">
        <f t="shared" si="19"/>
        <v>-</v>
      </c>
      <c r="O56" s="16"/>
    </row>
    <row r="57" spans="1:17">
      <c r="B57" s="73"/>
      <c r="D57" s="231"/>
      <c r="E57" s="231"/>
      <c r="F57" s="231"/>
      <c r="G57" s="231"/>
      <c r="H57" s="231"/>
      <c r="I57" s="231"/>
      <c r="J57" s="231"/>
      <c r="K57" s="231"/>
      <c r="L57" s="231"/>
      <c r="M57" s="231"/>
      <c r="N57" s="56"/>
      <c r="O57" s="11"/>
    </row>
    <row r="58" spans="1:17">
      <c r="B58" s="73"/>
      <c r="C58" s="89" t="s">
        <v>289</v>
      </c>
      <c r="D58" s="94" t="s">
        <v>55</v>
      </c>
      <c r="E58" s="94" t="s">
        <v>55</v>
      </c>
      <c r="F58" s="94" t="s">
        <v>55</v>
      </c>
      <c r="G58" s="99">
        <f t="shared" ref="G58:M58" si="20">G26/SUM(D50:G50)</f>
        <v>1.2799163993389715</v>
      </c>
      <c r="H58" s="99">
        <f t="shared" si="20"/>
        <v>1.4762052555348644</v>
      </c>
      <c r="I58" s="99">
        <f t="shared" si="20"/>
        <v>3.77251349939035</v>
      </c>
      <c r="J58" s="99">
        <f t="shared" si="20"/>
        <v>3.6623745351301635</v>
      </c>
      <c r="K58" s="99">
        <f t="shared" si="20"/>
        <v>3.1313381073183262</v>
      </c>
      <c r="L58" s="99">
        <f t="shared" si="20"/>
        <v>3.546787347381323</v>
      </c>
      <c r="M58" s="99">
        <f t="shared" si="20"/>
        <v>3.5135905442504769</v>
      </c>
      <c r="N58" s="112"/>
      <c r="O58" s="11"/>
    </row>
    <row r="59" spans="1:17">
      <c r="B59" s="73"/>
      <c r="C59" s="89" t="s">
        <v>290</v>
      </c>
      <c r="D59" s="94" t="s">
        <v>55</v>
      </c>
      <c r="E59" s="94" t="s">
        <v>55</v>
      </c>
      <c r="F59" s="94" t="s">
        <v>55</v>
      </c>
      <c r="G59" s="99">
        <f t="shared" ref="G59:M59" si="21">IF(G56=0,"-",ABS(SUM(D56:G56))/SUM(D50:G50))</f>
        <v>8.7489063867016625E-4</v>
      </c>
      <c r="H59" s="99">
        <f t="shared" si="21"/>
        <v>0.21684254086488725</v>
      </c>
      <c r="I59" s="99">
        <f t="shared" si="21"/>
        <v>1.2255269116878593</v>
      </c>
      <c r="J59" s="99">
        <f t="shared" si="21"/>
        <v>1.1312032630863358</v>
      </c>
      <c r="K59" s="99" t="str">
        <f t="shared" si="21"/>
        <v>-</v>
      </c>
      <c r="L59" s="99">
        <f t="shared" si="21"/>
        <v>0.80445952953377642</v>
      </c>
      <c r="M59" s="99" t="str">
        <f t="shared" si="21"/>
        <v>-</v>
      </c>
      <c r="N59" s="112"/>
      <c r="O59" s="11"/>
    </row>
    <row r="60" spans="1:17">
      <c r="B60" s="73"/>
      <c r="C60" s="89" t="s">
        <v>291</v>
      </c>
      <c r="D60" s="94" t="s">
        <v>55</v>
      </c>
      <c r="E60" s="94" t="s">
        <v>55</v>
      </c>
      <c r="F60" s="94" t="s">
        <v>55</v>
      </c>
      <c r="G60" s="99">
        <f>IF(G56=0,"-",ABS(G56)/'Trading Model'!G5/'Trading Model'!G4)</f>
        <v>5.9803698700763267E-4</v>
      </c>
      <c r="H60" s="99">
        <f>IF(H56=0,"-",ABS(H56)/'Trading Model'!H5/'Trading Model'!H4)</f>
        <v>1.5827315101042914</v>
      </c>
      <c r="I60" s="99">
        <f>IF(I56=0,"-",ABS(I56)/'Trading Model'!I5/'Trading Model'!I4)</f>
        <v>7.634444992462436</v>
      </c>
      <c r="J60" s="99">
        <f>IF(J56=0,"-",ABS(J56)/'Trading Model'!J5/'Trading Model'!J4)</f>
        <v>5.9180438124488012E-2</v>
      </c>
      <c r="K60" s="99" t="str">
        <f>IF(K56=0,"-",ABS(K56)/'Trading Model'!K5/'Trading Model'!K4)</f>
        <v>-</v>
      </c>
      <c r="L60" s="99">
        <f>IF(L56=0,"-",ABS(L56)/'Trading Model'!L5/'Trading Model'!L4)</f>
        <v>1.5487805111140631</v>
      </c>
      <c r="M60" s="99" t="str">
        <f>IF(M56=0,"-",ABS(M56)/'Trading Model'!M5/'Trading Model'!M4)</f>
        <v>-</v>
      </c>
      <c r="N60" s="56"/>
      <c r="O60" s="11"/>
    </row>
    <row r="61" spans="1:17">
      <c r="B61" s="73"/>
      <c r="C61" s="89" t="s">
        <v>292</v>
      </c>
      <c r="D61" s="44">
        <f>ABS(D56)/'Trading Model'!D5</f>
        <v>0</v>
      </c>
      <c r="E61" s="44">
        <f>ABS(E56)/'Trading Model'!E5</f>
        <v>0</v>
      </c>
      <c r="F61" s="44">
        <f>ABS(F56)/'Trading Model'!F5</f>
        <v>8.6294416243654817E-2</v>
      </c>
      <c r="G61" s="44">
        <f>ABS(G56)/'Trading Model'!G5</f>
        <v>5.076142131979695E-3</v>
      </c>
      <c r="H61" s="44">
        <f>ABS(H56)/'Trading Model'!H5</f>
        <v>21.295918367346939</v>
      </c>
      <c r="I61" s="44">
        <f>ABS(I56)/'Trading Model'!I5</f>
        <v>123.45876288659794</v>
      </c>
      <c r="J61" s="44">
        <f>ABS(J56)/'Trading Model'!J5</f>
        <v>0.83505154639175261</v>
      </c>
      <c r="K61" s="44">
        <f>ABS(K56)/'Trading Model'!K5</f>
        <v>0</v>
      </c>
      <c r="L61" s="44">
        <f>ABS(L56)/'Trading Model'!L5</f>
        <v>51.634020618556704</v>
      </c>
      <c r="M61" s="44">
        <f>ABS(M56)/'Trading Model'!M5</f>
        <v>0</v>
      </c>
      <c r="N61" s="56"/>
      <c r="O61" s="11"/>
    </row>
    <row r="63" spans="1:17">
      <c r="A63" s="74" t="s">
        <v>4</v>
      </c>
      <c r="Q63" s="74" t="s">
        <v>4</v>
      </c>
    </row>
    <row r="182" spans="2:15">
      <c r="B182" s="73"/>
      <c r="C182" s="72"/>
      <c r="D182" s="72"/>
      <c r="E182" s="72"/>
      <c r="F182" s="72"/>
      <c r="G182" s="72"/>
      <c r="H182" s="72"/>
      <c r="I182" s="72"/>
      <c r="J182" s="116"/>
      <c r="K182" s="116"/>
      <c r="L182" s="116"/>
      <c r="M182" s="116"/>
      <c r="N182" s="72"/>
      <c r="O182" s="72"/>
    </row>
    <row r="183" spans="2:15">
      <c r="B183" s="73"/>
      <c r="C183" s="72"/>
      <c r="D183" s="72"/>
      <c r="E183" s="72"/>
      <c r="F183" s="72"/>
      <c r="G183" s="72"/>
      <c r="H183" s="72"/>
      <c r="I183" s="72"/>
      <c r="J183" s="116"/>
      <c r="K183" s="116"/>
      <c r="L183" s="116"/>
      <c r="M183" s="116"/>
      <c r="N183" s="72"/>
      <c r="O183" s="72"/>
    </row>
    <row r="184" spans="2:15">
      <c r="B184" s="73"/>
    </row>
    <row r="186" spans="2:15">
      <c r="B186" s="73"/>
    </row>
    <row r="187" spans="2:15">
      <c r="B187" s="73"/>
    </row>
    <row r="188" spans="2:15">
      <c r="B188" s="73"/>
    </row>
    <row r="189" spans="2:15">
      <c r="B189" s="73"/>
    </row>
    <row r="190" spans="2:15">
      <c r="B190" s="73"/>
    </row>
    <row r="191" spans="2:15">
      <c r="B191" s="73"/>
    </row>
    <row r="192" spans="2:15">
      <c r="B192" s="73"/>
    </row>
    <row r="193" spans="2:2">
      <c r="B193" s="73"/>
    </row>
    <row r="194" spans="2:2">
      <c r="B194" s="73"/>
    </row>
    <row r="195" spans="2:2">
      <c r="B195" s="73"/>
    </row>
    <row r="196" spans="2:2">
      <c r="B196" s="73"/>
    </row>
    <row r="197" spans="2:2">
      <c r="B197" s="73"/>
    </row>
  </sheetData>
  <pageMargins left="0.7" right="0.7" top="0.75" bottom="0.75" header="0.3" footer="0.3"/>
  <pageSetup scale="6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7236F-2B3A-4407-9C67-CD4DA21561F2}">
  <sheetPr>
    <pageSetUpPr fitToPage="1"/>
  </sheetPr>
  <dimension ref="A1:Q41"/>
  <sheetViews>
    <sheetView showGridLines="0" zoomScaleNormal="100" zoomScaleSheetLayoutView="100" workbookViewId="0">
      <selection activeCell="T24" sqref="T24"/>
    </sheetView>
  </sheetViews>
  <sheetFormatPr baseColWidth="10" defaultColWidth="8.6640625" defaultRowHeight="13"/>
  <cols>
    <col min="1" max="1" width="1.5" style="74" bestFit="1" customWidth="1"/>
    <col min="2" max="2" width="1.6640625" style="74" customWidth="1"/>
    <col min="3" max="3" width="36.83203125" style="74" bestFit="1" customWidth="1"/>
    <col min="4" max="15" width="12" style="74" customWidth="1"/>
    <col min="16" max="16" width="1.33203125" style="74" customWidth="1"/>
    <col min="17" max="17" width="2" style="74" customWidth="1"/>
    <col min="18" max="16384" width="8.6640625" style="74"/>
  </cols>
  <sheetData>
    <row r="1" spans="2:17">
      <c r="D1" s="251"/>
      <c r="Q1" s="74" t="s">
        <v>4</v>
      </c>
    </row>
    <row r="2" spans="2:17">
      <c r="B2" s="73"/>
      <c r="C2" s="11"/>
      <c r="D2" s="11"/>
      <c r="E2" s="11"/>
      <c r="F2" s="11"/>
      <c r="G2" s="11"/>
      <c r="H2" s="11"/>
      <c r="I2" s="11"/>
      <c r="J2" s="11"/>
      <c r="K2" s="11"/>
      <c r="L2" s="11"/>
      <c r="M2" s="11"/>
      <c r="N2" s="11"/>
      <c r="O2" s="11"/>
    </row>
    <row r="3" spans="2:17">
      <c r="B3" s="73"/>
      <c r="C3" s="58" t="s">
        <v>364</v>
      </c>
      <c r="D3" s="252">
        <v>40178</v>
      </c>
      <c r="E3" s="252">
        <f t="shared" ref="E3:M3" si="0">D3+365</f>
        <v>40543</v>
      </c>
      <c r="F3" s="252">
        <f t="shared" si="0"/>
        <v>40908</v>
      </c>
      <c r="G3" s="252">
        <f t="shared" si="0"/>
        <v>41273</v>
      </c>
      <c r="H3" s="252">
        <f t="shared" si="0"/>
        <v>41638</v>
      </c>
      <c r="I3" s="252">
        <f t="shared" si="0"/>
        <v>42003</v>
      </c>
      <c r="J3" s="252">
        <f t="shared" si="0"/>
        <v>42368</v>
      </c>
      <c r="K3" s="252">
        <f t="shared" si="0"/>
        <v>42733</v>
      </c>
      <c r="L3" s="252">
        <f t="shared" si="0"/>
        <v>43098</v>
      </c>
      <c r="M3" s="252">
        <f t="shared" si="0"/>
        <v>43463</v>
      </c>
      <c r="N3" s="60" t="s">
        <v>166</v>
      </c>
      <c r="O3" s="60" t="s">
        <v>177</v>
      </c>
    </row>
    <row r="4" spans="2:17">
      <c r="B4" s="73"/>
      <c r="C4" s="11" t="s">
        <v>363</v>
      </c>
      <c r="D4" s="246">
        <f>VLOOKUP(D3,'Stock Price Data'!$A$2:$F$2519,6)</f>
        <v>10.606142</v>
      </c>
      <c r="E4" s="246">
        <f>VLOOKUP(E3,'Stock Price Data'!$A$2:$F$2519,6)</f>
        <v>16.696021999999999</v>
      </c>
      <c r="F4" s="246">
        <f>VLOOKUP(F3,'Stock Price Data'!$A$2:$F$2519,6)</f>
        <v>12.578656000000001</v>
      </c>
      <c r="G4" s="246">
        <f>VLOOKUP(G3,'Stock Price Data'!$A$2:$F$2519,6)</f>
        <v>8.4880069999999996</v>
      </c>
      <c r="H4" s="246">
        <f>VLOOKUP(H3,'Stock Price Data'!$A$2:$F$2519,6)</f>
        <v>13.455168</v>
      </c>
      <c r="I4" s="246">
        <f>VLOOKUP(I3,'Stock Price Data'!$A$2:$F$2519,6)</f>
        <v>16.171282000000001</v>
      </c>
      <c r="J4" s="246">
        <f>VLOOKUP(J3,'Stock Price Data'!$A$2:$F$2519,6)</f>
        <v>14.110263</v>
      </c>
      <c r="K4" s="246">
        <f>VLOOKUP(K3,'Stock Price Data'!$A$2:$F$2519,6)</f>
        <v>16.120771000000001</v>
      </c>
      <c r="L4" s="246">
        <f>VLOOKUP(L3,'Stock Price Data'!$A$2:$F$2519,6)</f>
        <v>33.338501000000001</v>
      </c>
      <c r="M4" s="246">
        <f>VLOOKUP(M3,'Stock Price Data'!$A$2:$F$2519,6)</f>
        <v>14.58544</v>
      </c>
      <c r="N4" s="246">
        <f>VLOOKUP('Quarterly Fins'!M4,'Stock Price Data'!$A$2:$F$2519,6)</f>
        <v>14.146998999999999</v>
      </c>
      <c r="O4" s="246">
        <f>'Stock Info'!D7</f>
        <v>15.34</v>
      </c>
    </row>
    <row r="5" spans="2:17">
      <c r="B5" s="73"/>
      <c r="C5" s="11" t="s">
        <v>361</v>
      </c>
      <c r="D5" s="232">
        <f>'Annual Fins Data'!C25</f>
        <v>197</v>
      </c>
      <c r="E5" s="232">
        <f>'Annual Fins Data'!D25</f>
        <v>197</v>
      </c>
      <c r="F5" s="232">
        <f>'Annual Fins Data'!E25</f>
        <v>197</v>
      </c>
      <c r="G5" s="232">
        <f>'Annual Fins Data'!F25</f>
        <v>197</v>
      </c>
      <c r="H5" s="232">
        <f>'Annual Fins Data'!G25</f>
        <v>196</v>
      </c>
      <c r="I5" s="232">
        <f>'Annual Fins Data'!H25</f>
        <v>194</v>
      </c>
      <c r="J5" s="232">
        <f>'Annual Fins Data'!I25</f>
        <v>194</v>
      </c>
      <c r="K5" s="232">
        <f>'Annual Fins Data'!J25</f>
        <v>194</v>
      </c>
      <c r="L5" s="232">
        <f>'Annual Fins Data'!K25</f>
        <v>194</v>
      </c>
      <c r="M5" s="232">
        <f>'Annual Fins Data'!L25</f>
        <v>431</v>
      </c>
      <c r="N5" s="269">
        <f>'Quarterly Fins Data'!L24</f>
        <v>431</v>
      </c>
      <c r="O5" s="162">
        <f>N5</f>
        <v>431</v>
      </c>
    </row>
    <row r="6" spans="2:17">
      <c r="B6" s="73"/>
      <c r="C6" s="11" t="s">
        <v>362</v>
      </c>
      <c r="D6" s="232">
        <f>'Annual Fins Data'!C26</f>
        <v>197</v>
      </c>
      <c r="E6" s="232">
        <f>'Annual Fins Data'!D26</f>
        <v>197</v>
      </c>
      <c r="F6" s="232">
        <f>'Annual Fins Data'!E26</f>
        <v>197</v>
      </c>
      <c r="G6" s="232">
        <f>'Annual Fins Data'!F26</f>
        <v>197</v>
      </c>
      <c r="H6" s="232">
        <f>'Annual Fins Data'!G26</f>
        <v>196</v>
      </c>
      <c r="I6" s="232">
        <f>'Annual Fins Data'!H26</f>
        <v>194</v>
      </c>
      <c r="J6" s="232">
        <f>'Annual Fins Data'!I26</f>
        <v>194</v>
      </c>
      <c r="K6" s="232">
        <f>'Annual Fins Data'!J26</f>
        <v>194</v>
      </c>
      <c r="L6" s="232">
        <f>'Annual Fins Data'!K26</f>
        <v>194</v>
      </c>
      <c r="M6" s="232">
        <f>'Annual Fins Data'!L26</f>
        <v>431</v>
      </c>
      <c r="N6" s="269">
        <f>'Quarterly Fins Data'!L25</f>
        <v>431</v>
      </c>
      <c r="O6" s="197">
        <f>N6</f>
        <v>431</v>
      </c>
    </row>
    <row r="7" spans="2:17">
      <c r="B7" s="73"/>
      <c r="C7" s="11" t="s">
        <v>360</v>
      </c>
      <c r="D7" s="87">
        <f t="shared" ref="D7:O7" si="1">D5*D4</f>
        <v>2089.4099740000001</v>
      </c>
      <c r="E7" s="87">
        <f t="shared" si="1"/>
        <v>3289.1163339999998</v>
      </c>
      <c r="F7" s="87">
        <f t="shared" si="1"/>
        <v>2477.9952320000002</v>
      </c>
      <c r="G7" s="87">
        <f t="shared" si="1"/>
        <v>1672.137379</v>
      </c>
      <c r="H7" s="87">
        <f t="shared" si="1"/>
        <v>2637.2129279999999</v>
      </c>
      <c r="I7" s="87">
        <f t="shared" si="1"/>
        <v>3137.2287080000001</v>
      </c>
      <c r="J7" s="87">
        <f t="shared" si="1"/>
        <v>2737.3910219999998</v>
      </c>
      <c r="K7" s="87">
        <f t="shared" si="1"/>
        <v>3127.4295740000002</v>
      </c>
      <c r="L7" s="87">
        <f t="shared" si="1"/>
        <v>6467.6691940000001</v>
      </c>
      <c r="M7" s="87">
        <f t="shared" si="1"/>
        <v>6286.3246399999998</v>
      </c>
      <c r="N7" s="87">
        <f t="shared" si="1"/>
        <v>6097.3565689999996</v>
      </c>
      <c r="O7" s="87">
        <f t="shared" si="1"/>
        <v>6611.54</v>
      </c>
    </row>
    <row r="8" spans="2:17">
      <c r="B8" s="73"/>
      <c r="C8" s="11" t="s">
        <v>359</v>
      </c>
      <c r="D8" s="249">
        <f>D7+'Annual Fins'!D43</f>
        <v>882.40997400000015</v>
      </c>
      <c r="E8" s="87">
        <f>E7+'Annual Fins'!E43</f>
        <v>2023.1163339999998</v>
      </c>
      <c r="F8" s="87">
        <f>F7+'Annual Fins'!F43</f>
        <v>-225.00476799999979</v>
      </c>
      <c r="G8" s="87">
        <f>G7+'Annual Fins'!G43</f>
        <v>-1949.862621</v>
      </c>
      <c r="H8" s="87">
        <f>H7+'Annual Fins'!H43</f>
        <v>-2494.7870720000001</v>
      </c>
      <c r="I8" s="87">
        <f>I7+'Annual Fins'!I43</f>
        <v>2513.2287080000001</v>
      </c>
      <c r="J8" s="87">
        <f>J7+'Annual Fins'!J43</f>
        <v>1886.3910219999998</v>
      </c>
      <c r="K8" s="87">
        <f>K7+'Annual Fins'!K43</f>
        <v>6077.4295739999998</v>
      </c>
      <c r="L8" s="87">
        <f>L7+'Annual Fins'!L43</f>
        <v>9251.6691940000001</v>
      </c>
      <c r="M8" s="87">
        <f>M7+'Annual Fins'!M43</f>
        <v>52146.324639999999</v>
      </c>
      <c r="N8" s="249">
        <f>N7+'Quarterly Fins'!M39</f>
        <v>62376.356568999996</v>
      </c>
      <c r="O8" s="249">
        <f>O7+'Quarterly Fins'!M39</f>
        <v>62890.54</v>
      </c>
    </row>
    <row r="9" spans="2:17">
      <c r="B9" s="73"/>
      <c r="C9" s="11" t="s">
        <v>178</v>
      </c>
      <c r="D9" s="163">
        <f>D8/'Annual Fins'!D12</f>
        <v>0.25011620578231297</v>
      </c>
      <c r="E9" s="163">
        <f>E8/'Annual Fins'!E12</f>
        <v>0.41111894614915662</v>
      </c>
      <c r="F9" s="163">
        <f>F8/'Annual Fins'!F12</f>
        <v>-3.6087372574177989E-2</v>
      </c>
      <c r="G9" s="163">
        <f>G8/'Annual Fins'!G12</f>
        <v>-0.27278436219921659</v>
      </c>
      <c r="H9" s="253">
        <f>H8/'Annual Fins'!H12</f>
        <v>-0.31068332154420925</v>
      </c>
      <c r="I9" s="163">
        <f>I8/'Annual Fins'!I12</f>
        <v>0.24670940492784924</v>
      </c>
      <c r="J9" s="163">
        <f>J8/'Annual Fins'!J12</f>
        <v>0.18275441019182326</v>
      </c>
      <c r="K9" s="163">
        <f>K8/'Annual Fins'!K12</f>
        <v>0.44386719062226115</v>
      </c>
      <c r="L9" s="163">
        <f>L8/'Annual Fins'!L12</f>
        <v>0.46495472881696653</v>
      </c>
      <c r="M9" s="163">
        <f>M8/'Annual Fins'!M12</f>
        <v>1.2139756638342452</v>
      </c>
      <c r="N9" s="163">
        <f>N8/'Quarterly Fins'!N12</f>
        <v>1.7212493879246116</v>
      </c>
      <c r="O9" s="253">
        <f>O8/'Quarterly Fins'!N12</f>
        <v>1.7354380639642375</v>
      </c>
    </row>
    <row r="10" spans="2:17">
      <c r="B10" s="73"/>
      <c r="C10" s="11" t="s">
        <v>179</v>
      </c>
      <c r="D10" s="163">
        <f>D8/'Annual Fins'!D5</f>
        <v>7.2174871094389026E-2</v>
      </c>
      <c r="E10" s="163">
        <f>E8/'Annual Fins'!E5</f>
        <v>0.13801189262569069</v>
      </c>
      <c r="F10" s="163">
        <f>F8/'Annual Fins'!F5</f>
        <v>-1.2127675739772532E-2</v>
      </c>
      <c r="G10" s="163">
        <f>G8/'Annual Fins'!G5</f>
        <v>-8.7847477969003426E-2</v>
      </c>
      <c r="H10" s="163">
        <f>H8/'Annual Fins'!H5</f>
        <v>-9.1217077586837295E-2</v>
      </c>
      <c r="I10" s="163">
        <f>I8/'Annual Fins'!I5</f>
        <v>7.5273412842937579E-2</v>
      </c>
      <c r="J10" s="163">
        <f>J8/'Annual Fins'!J5</f>
        <v>4.6531598963986183E-2</v>
      </c>
      <c r="K10" s="163">
        <f>K8/'Annual Fins'!K5</f>
        <v>0.11397388695309715</v>
      </c>
      <c r="L10" s="163">
        <f>L8/'Annual Fins'!L5</f>
        <v>0.14163825523966994</v>
      </c>
      <c r="M10" s="163">
        <f>M8/'Annual Fins'!M5</f>
        <v>0.31030982373873822</v>
      </c>
      <c r="N10" s="163">
        <f>N8/'Annual Fins'!N5</f>
        <v>0.38115941172265028</v>
      </c>
      <c r="O10" s="253">
        <f>O8/'Quarterly Fins'!N5</f>
        <v>0.38430140116957634</v>
      </c>
    </row>
    <row r="11" spans="2:17">
      <c r="B11" s="73"/>
      <c r="C11" s="29"/>
      <c r="D11" s="29"/>
      <c r="E11" s="29"/>
      <c r="F11" s="29"/>
      <c r="G11" s="29"/>
      <c r="H11" s="29"/>
      <c r="K11" s="29"/>
      <c r="L11" s="11"/>
      <c r="M11" s="165"/>
      <c r="N11" s="11"/>
      <c r="O11" s="11"/>
    </row>
    <row r="12" spans="2:17">
      <c r="B12" s="73"/>
      <c r="C12" s="58" t="s">
        <v>366</v>
      </c>
      <c r="D12" s="58"/>
      <c r="E12" s="58"/>
      <c r="F12" s="29"/>
      <c r="G12" s="58" t="s">
        <v>395</v>
      </c>
      <c r="H12" s="58"/>
      <c r="I12" s="58"/>
      <c r="K12" s="58" t="s">
        <v>365</v>
      </c>
      <c r="L12" s="58"/>
      <c r="M12" s="58"/>
      <c r="N12" s="58"/>
      <c r="O12" s="58"/>
    </row>
    <row r="13" spans="2:17">
      <c r="B13" s="73"/>
      <c r="C13" s="74" t="s">
        <v>28</v>
      </c>
      <c r="E13" s="204">
        <v>0.05</v>
      </c>
      <c r="G13" s="74" t="s">
        <v>180</v>
      </c>
      <c r="I13" s="166">
        <f>MIN('Stock Price Data'!$A$3:$A$2519)</f>
        <v>39973</v>
      </c>
      <c r="K13" s="74" t="s">
        <v>29</v>
      </c>
      <c r="M13" s="11"/>
      <c r="N13" s="11"/>
      <c r="O13" s="167">
        <f>COUNTIF('Stock Price Data'!$J$3:$J$2519,"&lt;&gt;0")</f>
        <v>98</v>
      </c>
    </row>
    <row r="14" spans="2:17">
      <c r="B14" s="73"/>
      <c r="C14" s="74" t="s">
        <v>30</v>
      </c>
      <c r="E14" s="204">
        <v>0.05</v>
      </c>
      <c r="G14" s="74" t="s">
        <v>181</v>
      </c>
      <c r="I14" s="166">
        <f>MAX('Stock Price Data'!$A$3:$A$2519)</f>
        <v>43623</v>
      </c>
      <c r="K14" s="74" t="s">
        <v>31</v>
      </c>
      <c r="M14" s="11"/>
      <c r="N14" s="11"/>
      <c r="O14" s="167">
        <f>COUNTIF('Stock Price Data'!$K$3:$K$2519,"&lt;&gt;0")</f>
        <v>25</v>
      </c>
    </row>
    <row r="15" spans="2:17">
      <c r="B15" s="73"/>
      <c r="C15" s="74" t="s">
        <v>379</v>
      </c>
      <c r="E15" s="168">
        <v>0.1</v>
      </c>
      <c r="G15" s="74" t="s">
        <v>182</v>
      </c>
      <c r="I15" s="87">
        <f>COUNT('Stock Price Data'!A3:A2519)</f>
        <v>2517</v>
      </c>
      <c r="K15" s="74" t="s">
        <v>32</v>
      </c>
      <c r="L15" s="11"/>
      <c r="M15" s="11"/>
      <c r="N15" s="11"/>
      <c r="O15" s="167">
        <f>O13-O14+1</f>
        <v>74</v>
      </c>
    </row>
    <row r="16" spans="2:17">
      <c r="B16" s="73"/>
      <c r="C16" s="72"/>
      <c r="D16" s="72"/>
      <c r="E16" s="72"/>
      <c r="F16" s="72"/>
      <c r="G16" s="74" t="s">
        <v>183</v>
      </c>
      <c r="I16" s="170">
        <f>STDEVA('Stock Price Data'!S2455:S2519)</f>
        <v>2.0981544362646549E-2</v>
      </c>
      <c r="K16" s="72"/>
      <c r="L16" s="11"/>
      <c r="M16" s="11"/>
      <c r="N16" s="11"/>
      <c r="O16" s="11"/>
    </row>
    <row r="17" spans="2:15">
      <c r="B17" s="73"/>
      <c r="C17" s="58" t="s">
        <v>367</v>
      </c>
      <c r="D17" s="58"/>
      <c r="E17" s="58"/>
      <c r="F17" s="29"/>
      <c r="G17" s="74" t="s">
        <v>184</v>
      </c>
      <c r="I17" s="170">
        <f>I16*SQRT(252)</f>
        <v>0.33307169103379186</v>
      </c>
      <c r="K17" s="58" t="s">
        <v>368</v>
      </c>
      <c r="L17" s="58"/>
      <c r="M17" s="58"/>
      <c r="N17" s="58"/>
      <c r="O17" s="58"/>
    </row>
    <row r="18" spans="2:15">
      <c r="B18" s="73"/>
      <c r="C18" s="74" t="s">
        <v>33</v>
      </c>
      <c r="E18" s="206">
        <f>SUM('Stock Price Data'!M3:M2518)</f>
        <v>-1494.6700010000002</v>
      </c>
      <c r="G18" s="74" t="s">
        <v>186</v>
      </c>
      <c r="H18" s="72"/>
      <c r="I18" s="170">
        <f>COUNTIF('Stock Price Data'!S4:S2519,"&gt;0")/I15</f>
        <v>0.48867699642431467</v>
      </c>
      <c r="K18" s="74" t="s">
        <v>33</v>
      </c>
      <c r="L18" s="171"/>
      <c r="M18" s="11"/>
      <c r="N18" s="11"/>
      <c r="O18" s="206">
        <f>'Stock Price Data'!O3</f>
        <v>-10.549999999999999</v>
      </c>
    </row>
    <row r="19" spans="2:15">
      <c r="B19" s="73"/>
      <c r="C19" s="74" t="s">
        <v>34</v>
      </c>
      <c r="E19" s="206">
        <f>'Stock Price Data'!M2519</f>
        <v>1127.76</v>
      </c>
      <c r="G19" s="74" t="s">
        <v>327</v>
      </c>
      <c r="I19" s="170">
        <f>COUNTIF('Stock Price Data'!R4:R2519,"&gt;0")/(I15/5)</f>
        <v>0.50655542312276525</v>
      </c>
      <c r="K19" s="74" t="s">
        <v>185</v>
      </c>
      <c r="L19" s="11"/>
      <c r="M19" s="11"/>
      <c r="N19" s="11"/>
      <c r="O19" s="206">
        <f>SUM('Stock Price Data'!O4:O2519)</f>
        <v>25.626098000000002</v>
      </c>
    </row>
    <row r="20" spans="2:15">
      <c r="B20" s="73"/>
      <c r="C20" s="72" t="s">
        <v>35</v>
      </c>
      <c r="D20" s="72"/>
      <c r="E20" s="172">
        <f>XIRR('Stock Price Data'!M3:M2519,'Stock Price Data'!A3:A2519)</f>
        <v>2.9802322387695314E-9</v>
      </c>
      <c r="F20" s="72"/>
      <c r="G20" s="74" t="s">
        <v>326</v>
      </c>
      <c r="I20" s="205">
        <f>'Stock Price Data'!Q2519</f>
        <v>-25.399999999998688</v>
      </c>
      <c r="K20" s="72" t="s">
        <v>35</v>
      </c>
      <c r="L20" s="72"/>
      <c r="M20" s="11"/>
      <c r="N20" s="11"/>
      <c r="O20" s="172">
        <f>XIRR('Stock Price Data'!O3:O2519,'Stock Price Data'!A3:A2519)</f>
        <v>0.12341924309730529</v>
      </c>
    </row>
    <row r="21" spans="2:15">
      <c r="B21" s="73"/>
      <c r="C21" s="11"/>
      <c r="D21" s="11"/>
      <c r="E21" s="11"/>
      <c r="F21" s="11"/>
      <c r="G21" s="11"/>
      <c r="H21" s="11"/>
      <c r="I21" s="16"/>
      <c r="J21" s="16"/>
      <c r="K21" s="11"/>
      <c r="L21" s="11"/>
      <c r="M21" s="11"/>
      <c r="N21" s="11"/>
      <c r="O21" s="11"/>
    </row>
    <row r="22" spans="2:15">
      <c r="B22" s="73"/>
      <c r="C22" s="11"/>
      <c r="D22" s="11"/>
      <c r="E22" s="11"/>
      <c r="F22" s="11"/>
      <c r="G22" s="11"/>
      <c r="H22" s="11"/>
      <c r="I22" s="16"/>
      <c r="J22" s="16"/>
      <c r="K22" s="11"/>
      <c r="L22" s="11"/>
      <c r="M22" s="11"/>
      <c r="N22" s="11"/>
      <c r="O22" s="11"/>
    </row>
    <row r="23" spans="2:15">
      <c r="B23" s="73"/>
      <c r="C23" s="11"/>
      <c r="D23" s="11"/>
      <c r="E23" s="11"/>
      <c r="F23" s="11"/>
      <c r="G23" s="11"/>
      <c r="H23" s="11"/>
      <c r="I23" s="16"/>
      <c r="J23" s="16"/>
      <c r="K23" s="11"/>
      <c r="L23" s="11"/>
      <c r="M23" s="11"/>
      <c r="N23" s="11"/>
      <c r="O23" s="11"/>
    </row>
    <row r="24" spans="2:15">
      <c r="B24" s="73"/>
      <c r="C24" s="11"/>
      <c r="D24" s="11"/>
      <c r="E24" s="11"/>
      <c r="F24" s="11"/>
      <c r="G24" s="11"/>
      <c r="H24" s="11"/>
      <c r="I24" s="16"/>
      <c r="J24" s="16"/>
      <c r="K24" s="11"/>
      <c r="L24" s="11"/>
      <c r="M24" s="11"/>
      <c r="N24" s="11"/>
      <c r="O24" s="11"/>
    </row>
    <row r="25" spans="2:15">
      <c r="B25" s="73"/>
      <c r="C25" s="11"/>
      <c r="D25" s="11"/>
      <c r="E25" s="11"/>
      <c r="F25" s="11"/>
      <c r="G25" s="11"/>
      <c r="H25" s="11"/>
      <c r="I25" s="16"/>
      <c r="J25" s="16"/>
      <c r="K25" s="11"/>
      <c r="L25" s="11"/>
      <c r="M25" s="11"/>
      <c r="N25" s="11"/>
      <c r="O25" s="11"/>
    </row>
    <row r="26" spans="2:15">
      <c r="B26" s="73"/>
      <c r="C26" s="11"/>
      <c r="D26" s="11"/>
      <c r="E26" s="11"/>
      <c r="F26" s="11"/>
      <c r="G26" s="11"/>
      <c r="H26" s="11"/>
      <c r="I26" s="16"/>
      <c r="J26" s="16"/>
      <c r="K26" s="11"/>
      <c r="L26" s="11"/>
      <c r="M26" s="11"/>
      <c r="N26" s="11"/>
      <c r="O26" s="11"/>
    </row>
    <row r="27" spans="2:15">
      <c r="B27" s="73"/>
      <c r="C27" s="11"/>
      <c r="D27" s="11"/>
      <c r="E27" s="11"/>
      <c r="F27" s="11"/>
      <c r="G27" s="11"/>
      <c r="H27" s="11"/>
      <c r="I27" s="16"/>
      <c r="J27" s="16"/>
      <c r="K27" s="11"/>
      <c r="L27" s="11"/>
      <c r="M27" s="11"/>
      <c r="N27" s="11"/>
      <c r="O27" s="11"/>
    </row>
    <row r="28" spans="2:15">
      <c r="B28" s="73"/>
      <c r="C28" s="11"/>
      <c r="D28" s="11"/>
      <c r="E28" s="11"/>
      <c r="F28" s="11"/>
      <c r="G28" s="11"/>
      <c r="H28" s="11"/>
      <c r="I28" s="16"/>
      <c r="J28" s="16"/>
      <c r="K28" s="11"/>
      <c r="L28" s="11"/>
      <c r="M28" s="11"/>
      <c r="N28" s="11"/>
      <c r="O28" s="11"/>
    </row>
    <row r="29" spans="2:15">
      <c r="B29" s="73"/>
      <c r="C29" s="11"/>
      <c r="D29" s="11"/>
      <c r="E29" s="11"/>
      <c r="F29" s="11"/>
      <c r="G29" s="11"/>
      <c r="H29" s="11"/>
      <c r="I29" s="16"/>
      <c r="J29" s="16"/>
      <c r="K29" s="11"/>
      <c r="L29" s="11"/>
      <c r="M29" s="11"/>
      <c r="N29" s="11"/>
      <c r="O29" s="11"/>
    </row>
    <row r="30" spans="2:15">
      <c r="B30" s="73"/>
      <c r="C30" s="11"/>
      <c r="D30" s="11"/>
      <c r="E30" s="11"/>
      <c r="F30" s="11"/>
      <c r="G30" s="11"/>
      <c r="H30" s="11"/>
      <c r="I30" s="16"/>
      <c r="J30" s="16"/>
      <c r="K30" s="11"/>
      <c r="L30" s="11"/>
      <c r="M30" s="11"/>
      <c r="N30" s="11"/>
      <c r="O30" s="11"/>
    </row>
    <row r="31" spans="2:15">
      <c r="B31" s="73"/>
      <c r="C31" s="11"/>
      <c r="D31" s="11"/>
      <c r="E31" s="11"/>
      <c r="F31" s="11"/>
      <c r="G31" s="11"/>
      <c r="H31" s="11"/>
      <c r="I31" s="16"/>
      <c r="J31" s="16"/>
      <c r="K31" s="11"/>
      <c r="L31" s="11"/>
      <c r="M31" s="11"/>
      <c r="N31" s="11"/>
      <c r="O31" s="11"/>
    </row>
    <row r="32" spans="2:15">
      <c r="B32" s="73"/>
      <c r="C32" s="11"/>
      <c r="D32" s="11"/>
      <c r="E32" s="11"/>
      <c r="F32" s="11"/>
      <c r="G32" s="11"/>
      <c r="H32" s="11"/>
      <c r="I32" s="16"/>
      <c r="J32" s="16"/>
      <c r="K32" s="11"/>
      <c r="L32" s="11"/>
      <c r="M32" s="11"/>
      <c r="N32" s="11"/>
      <c r="O32" s="11"/>
    </row>
    <row r="33" spans="1:17">
      <c r="B33" s="73"/>
      <c r="C33" s="11"/>
      <c r="D33" s="11"/>
      <c r="E33" s="11"/>
      <c r="F33" s="11"/>
      <c r="G33" s="11"/>
      <c r="H33" s="11"/>
      <c r="I33" s="16"/>
      <c r="J33" s="16"/>
      <c r="K33" s="11"/>
      <c r="L33" s="11"/>
      <c r="M33" s="11"/>
      <c r="N33" s="11"/>
      <c r="O33" s="11"/>
    </row>
    <row r="34" spans="1:17">
      <c r="B34" s="73"/>
      <c r="C34" s="11"/>
      <c r="D34" s="11"/>
      <c r="E34" s="11"/>
      <c r="F34" s="11"/>
      <c r="G34" s="11"/>
      <c r="H34" s="11"/>
      <c r="I34" s="16"/>
      <c r="J34" s="16"/>
      <c r="K34" s="11"/>
      <c r="L34" s="11"/>
      <c r="M34" s="11"/>
      <c r="N34" s="11"/>
      <c r="O34" s="11"/>
    </row>
    <row r="35" spans="1:17">
      <c r="B35" s="73"/>
      <c r="C35" s="11"/>
      <c r="D35" s="11"/>
      <c r="E35" s="11"/>
      <c r="F35" s="11"/>
      <c r="G35" s="11"/>
      <c r="H35" s="11"/>
      <c r="I35" s="16"/>
      <c r="J35" s="16"/>
      <c r="K35" s="11"/>
      <c r="L35" s="11"/>
      <c r="M35" s="11"/>
      <c r="N35" s="11"/>
      <c r="O35" s="11"/>
    </row>
    <row r="36" spans="1:17">
      <c r="B36" s="73"/>
      <c r="C36" s="11"/>
      <c r="D36" s="11"/>
      <c r="E36" s="11"/>
      <c r="F36" s="11"/>
      <c r="G36" s="11"/>
      <c r="H36" s="11"/>
      <c r="I36" s="16"/>
      <c r="J36" s="16"/>
      <c r="K36" s="11"/>
      <c r="L36" s="11"/>
      <c r="M36" s="11"/>
      <c r="N36" s="11"/>
      <c r="O36" s="11"/>
    </row>
    <row r="37" spans="1:17">
      <c r="B37" s="73"/>
      <c r="C37" s="11"/>
      <c r="D37" s="11"/>
      <c r="E37" s="11"/>
      <c r="F37" s="11"/>
      <c r="G37" s="11"/>
      <c r="H37" s="11"/>
      <c r="I37" s="16"/>
      <c r="J37" s="16"/>
      <c r="K37" s="11"/>
      <c r="L37" s="11"/>
      <c r="M37" s="11"/>
      <c r="N37" s="11"/>
      <c r="O37" s="11"/>
    </row>
    <row r="38" spans="1:17">
      <c r="B38" s="73"/>
      <c r="C38" s="11"/>
      <c r="D38" s="11"/>
      <c r="E38" s="11"/>
      <c r="F38" s="11"/>
      <c r="G38" s="11"/>
      <c r="H38" s="11"/>
      <c r="I38" s="16"/>
      <c r="J38" s="16"/>
      <c r="K38" s="11"/>
      <c r="L38" s="11"/>
      <c r="M38" s="11"/>
      <c r="N38" s="11"/>
      <c r="O38" s="11"/>
    </row>
    <row r="39" spans="1:17">
      <c r="B39" s="73"/>
      <c r="C39" s="11"/>
      <c r="D39" s="11"/>
      <c r="E39" s="11"/>
      <c r="F39" s="11"/>
      <c r="G39" s="11"/>
      <c r="H39" s="11"/>
      <c r="I39" s="16"/>
      <c r="J39" s="16"/>
      <c r="K39" s="11"/>
      <c r="L39" s="11"/>
      <c r="M39" s="11"/>
      <c r="N39" s="11"/>
      <c r="O39" s="11"/>
    </row>
    <row r="41" spans="1:17">
      <c r="A41" s="74" t="s">
        <v>4</v>
      </c>
      <c r="Q41" s="74" t="s">
        <v>4</v>
      </c>
    </row>
  </sheetData>
  <pageMargins left="0.7" right="0.7" top="0.75" bottom="0.75" header="0.3" footer="0.3"/>
  <pageSetup scale="6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6BC3-3CED-437A-8D49-9474C93871C0}">
  <sheetPr>
    <pageSetUpPr fitToPage="1"/>
  </sheetPr>
  <dimension ref="A3:U71"/>
  <sheetViews>
    <sheetView showGridLines="0" view="pageBreakPreview" zoomScaleNormal="100" zoomScaleSheetLayoutView="100" workbookViewId="0">
      <selection activeCell="N6" sqref="N6"/>
    </sheetView>
  </sheetViews>
  <sheetFormatPr baseColWidth="10" defaultColWidth="8.6640625" defaultRowHeight="13"/>
  <cols>
    <col min="1" max="1" width="1.83203125" style="74" customWidth="1"/>
    <col min="2" max="2" width="2" style="74" customWidth="1"/>
    <col min="3" max="3" width="44.33203125" style="74" bestFit="1" customWidth="1"/>
    <col min="4" max="4" width="6.83203125" style="74" bestFit="1" customWidth="1"/>
    <col min="5" max="5" width="7.6640625" style="74" bestFit="1" customWidth="1"/>
    <col min="6" max="6" width="8.6640625" style="74" bestFit="1" customWidth="1"/>
    <col min="7" max="10" width="9.5" style="74" bestFit="1" customWidth="1"/>
    <col min="11" max="13" width="10.5" style="74" bestFit="1" customWidth="1"/>
    <col min="14" max="14" width="13" style="74" bestFit="1" customWidth="1"/>
    <col min="15" max="15" width="11.1640625" style="74" bestFit="1" customWidth="1"/>
    <col min="16" max="16" width="8.83203125" style="74" bestFit="1" customWidth="1"/>
    <col min="17" max="17" width="2" style="74" customWidth="1"/>
    <col min="18" max="16384" width="8.6640625" style="74"/>
  </cols>
  <sheetData>
    <row r="3" spans="1:21">
      <c r="A3" s="207"/>
      <c r="B3" s="77"/>
      <c r="C3" s="58" t="s">
        <v>187</v>
      </c>
      <c r="D3" s="60"/>
      <c r="E3" s="60"/>
      <c r="F3" s="60"/>
      <c r="G3" s="60"/>
      <c r="H3" s="60"/>
      <c r="I3" s="60"/>
      <c r="J3" s="60"/>
      <c r="K3" s="60"/>
      <c r="L3" s="60"/>
      <c r="M3" s="60"/>
      <c r="N3" s="60"/>
      <c r="O3" s="60"/>
      <c r="P3" s="60"/>
      <c r="Q3" s="207"/>
      <c r="R3" s="11"/>
      <c r="S3" s="11"/>
      <c r="T3" s="12"/>
      <c r="U3" s="51"/>
    </row>
    <row r="4" spans="1:21">
      <c r="B4" s="73"/>
      <c r="D4" s="11"/>
      <c r="E4" s="11"/>
      <c r="F4" s="11"/>
      <c r="G4" s="11"/>
      <c r="H4" s="11"/>
      <c r="I4" s="16"/>
      <c r="J4" s="16"/>
      <c r="K4" s="11"/>
      <c r="L4" s="11"/>
      <c r="M4" s="11"/>
      <c r="N4" s="11"/>
      <c r="O4" s="11"/>
      <c r="P4" s="94"/>
      <c r="R4" s="11"/>
      <c r="S4" s="11"/>
      <c r="T4" s="12"/>
      <c r="U4" s="51"/>
    </row>
    <row r="5" spans="1:21">
      <c r="B5" s="73"/>
      <c r="C5" s="58" t="s">
        <v>188</v>
      </c>
      <c r="D5" s="208">
        <f>'Quarterly Fins'!D4</f>
        <v>42734</v>
      </c>
      <c r="E5" s="208">
        <f>'Quarterly Fins'!E4</f>
        <v>42824</v>
      </c>
      <c r="F5" s="208">
        <f>'Quarterly Fins'!F4</f>
        <v>42914</v>
      </c>
      <c r="G5" s="208">
        <f>'Quarterly Fins'!G4</f>
        <v>43004</v>
      </c>
      <c r="H5" s="208">
        <f>'Quarterly Fins'!H4</f>
        <v>43098</v>
      </c>
      <c r="I5" s="208">
        <f>'Quarterly Fins'!I4</f>
        <v>43188</v>
      </c>
      <c r="J5" s="208">
        <f>'Quarterly Fins'!J4</f>
        <v>43279</v>
      </c>
      <c r="K5" s="208">
        <f>'Quarterly Fins'!K4</f>
        <v>43370</v>
      </c>
      <c r="L5" s="208">
        <f>'Quarterly Fins'!L4</f>
        <v>43461</v>
      </c>
      <c r="M5" s="208">
        <f>'Quarterly Fins'!M4</f>
        <v>43552</v>
      </c>
      <c r="N5" s="60" t="str">
        <f>'Quarterly Fins'!N4</f>
        <v>TTM</v>
      </c>
      <c r="O5" s="60" t="s">
        <v>189</v>
      </c>
      <c r="P5" s="60"/>
    </row>
    <row r="6" spans="1:21">
      <c r="B6" s="73"/>
      <c r="C6" s="11" t="s">
        <v>372</v>
      </c>
      <c r="D6" s="232">
        <f>'Quarterly Fins Data'!C24</f>
        <v>194</v>
      </c>
      <c r="E6" s="232">
        <f>'Quarterly Fins Data'!D24</f>
        <v>194</v>
      </c>
      <c r="F6" s="232">
        <f>'Quarterly Fins Data'!E24</f>
        <v>194</v>
      </c>
      <c r="G6" s="232">
        <f>'Quarterly Fins Data'!F24</f>
        <v>194</v>
      </c>
      <c r="H6" s="232">
        <f>'Quarterly Fins Data'!G24</f>
        <v>194</v>
      </c>
      <c r="I6" s="232">
        <f>'Quarterly Fins Data'!H24</f>
        <v>431</v>
      </c>
      <c r="J6" s="232">
        <f>'Quarterly Fins Data'!I24</f>
        <v>431</v>
      </c>
      <c r="K6" s="232">
        <f>'Quarterly Fins Data'!J24</f>
        <v>431</v>
      </c>
      <c r="L6" s="232">
        <f>'Quarterly Fins Data'!K24</f>
        <v>431</v>
      </c>
      <c r="M6" s="232">
        <f>'Quarterly Fins Data'!L24</f>
        <v>431</v>
      </c>
      <c r="N6" s="232">
        <f>'Quarterly Fins Data'!M24</f>
        <v>431</v>
      </c>
      <c r="O6" s="88"/>
      <c r="P6" s="11"/>
    </row>
    <row r="7" spans="1:21">
      <c r="B7" s="73"/>
      <c r="C7" s="11" t="s">
        <v>371</v>
      </c>
      <c r="D7" s="248">
        <f>VLOOKUP('Quarterly Fins'!D4,'Stock Price Data'!$A$3:$E$2519,2,FALSE)</f>
        <v>18.170000000000002</v>
      </c>
      <c r="E7" s="248">
        <f>VLOOKUP('Quarterly Fins'!E4,'Stock Price Data'!$A$3:$E$2519,2,FALSE)</f>
        <v>22.67</v>
      </c>
      <c r="F7" s="248">
        <f>VLOOKUP('Quarterly Fins'!F4,'Stock Price Data'!$A$3:$E$2519,2,FALSE)</f>
        <v>24.129999000000002</v>
      </c>
      <c r="G7" s="248">
        <f>VLOOKUP('Quarterly Fins'!G4,'Stock Price Data'!$A$3:$E$2519,2,FALSE)</f>
        <v>30.01</v>
      </c>
      <c r="H7" s="248">
        <f>VLOOKUP('Quarterly Fins'!H4,'Stock Price Data'!$A$3:$E$2519,2,FALSE)</f>
        <v>37.020000000000003</v>
      </c>
      <c r="I7" s="248">
        <f>VLOOKUP('Quarterly Fins'!I4,'Stock Price Data'!$A$3:$E$2519,2,FALSE)</f>
        <v>31.35</v>
      </c>
      <c r="J7" s="248">
        <f>VLOOKUP('Quarterly Fins'!J4,'Stock Price Data'!$A$3:$E$2519,2,FALSE)</f>
        <v>20.09</v>
      </c>
      <c r="K7" s="248">
        <f>VLOOKUP('Quarterly Fins'!K4,'Stock Price Data'!$A$3:$E$2519,2,FALSE)</f>
        <v>18.579999999999998</v>
      </c>
      <c r="L7" s="248">
        <f>VLOOKUP('Quarterly Fins'!L4,'Stock Price Data'!$A$3:$E$2519,2,FALSE)</f>
        <v>14.14</v>
      </c>
      <c r="M7" s="248">
        <f>VLOOKUP('Quarterly Fins'!M4,'Stock Price Data'!$A$3:$E$2519,2,FALSE)</f>
        <v>14.23</v>
      </c>
      <c r="N7" s="248">
        <f>'Stock Info'!D7</f>
        <v>15.34</v>
      </c>
      <c r="O7" s="88">
        <f>IFERROR((M7/D7)^(1/10)-1,"-")</f>
        <v>-2.4145661483925607E-2</v>
      </c>
      <c r="P7" s="11"/>
    </row>
    <row r="8" spans="1:21">
      <c r="B8" s="73"/>
      <c r="C8" s="11" t="s">
        <v>370</v>
      </c>
      <c r="D8" s="111">
        <f t="shared" ref="D8:N8" si="0">D6*D7</f>
        <v>3524.9800000000005</v>
      </c>
      <c r="E8" s="111">
        <f t="shared" si="0"/>
        <v>4397.9800000000005</v>
      </c>
      <c r="F8" s="111">
        <f t="shared" si="0"/>
        <v>4681.2198060000001</v>
      </c>
      <c r="G8" s="111">
        <f t="shared" si="0"/>
        <v>5821.9400000000005</v>
      </c>
      <c r="H8" s="111">
        <f t="shared" si="0"/>
        <v>7181.880000000001</v>
      </c>
      <c r="I8" s="111">
        <f t="shared" si="0"/>
        <v>13511.85</v>
      </c>
      <c r="J8" s="111">
        <f t="shared" si="0"/>
        <v>8658.7899999999991</v>
      </c>
      <c r="K8" s="111">
        <f t="shared" si="0"/>
        <v>8007.98</v>
      </c>
      <c r="L8" s="111">
        <f t="shared" si="0"/>
        <v>6094.34</v>
      </c>
      <c r="M8" s="111">
        <f t="shared" si="0"/>
        <v>6133.13</v>
      </c>
      <c r="N8" s="111">
        <f t="shared" si="0"/>
        <v>6611.54</v>
      </c>
      <c r="O8" s="88">
        <f>IFERROR((M8/D8)^(1/10)-1,"-")</f>
        <v>5.6945395929329568E-2</v>
      </c>
      <c r="P8" s="11"/>
    </row>
    <row r="9" spans="1:21">
      <c r="B9" s="73"/>
      <c r="C9" s="11" t="s">
        <v>191</v>
      </c>
      <c r="D9" s="111">
        <f>('Quarterly Fins'!D31-'Quarterly Fins'!D22)/D11</f>
        <v>185.3750986572559</v>
      </c>
      <c r="E9" s="111">
        <f>('Quarterly Fins'!E31-'Quarterly Fins'!E22)/E11</f>
        <v>162.57304238703932</v>
      </c>
      <c r="F9" s="111">
        <f>('Quarterly Fins'!F31-'Quarterly Fins'!F22)/F11</f>
        <v>166.50546353670526</v>
      </c>
      <c r="G9" s="111">
        <f>('Quarterly Fins'!G31-'Quarterly Fins'!G22)/G11</f>
        <v>48.881068424940182</v>
      </c>
      <c r="H9" s="111">
        <f>('Quarterly Fins'!H31-'Quarterly Fins'!H22)/H11</f>
        <v>149.74190498166146</v>
      </c>
      <c r="I9" s="111">
        <f>('Quarterly Fins'!I31-'Quarterly Fins'!I22)/I11</f>
        <v>446.27831683079842</v>
      </c>
      <c r="J9" s="111">
        <f>('Quarterly Fins'!J31-'Quarterly Fins'!J22)/J11</f>
        <v>627.01065400643995</v>
      </c>
      <c r="K9" s="111">
        <f>('Quarterly Fins'!K31-'Quarterly Fins'!K22)/K11</f>
        <v>547.29060390297673</v>
      </c>
      <c r="L9" s="111">
        <f>('Quarterly Fins'!L31-'Quarterly Fins'!L22)/L11</f>
        <v>1233.6297254730014</v>
      </c>
      <c r="M9" s="111">
        <f>('Quarterly Fins'!M31-'Quarterly Fins'!M22)/M11</f>
        <v>1300.158225691426</v>
      </c>
      <c r="N9" s="111">
        <f>M9</f>
        <v>1300.158225691426</v>
      </c>
      <c r="O9" s="88">
        <f>IFERROR((M9/D9)^(1/10)-1,"-")</f>
        <v>0.21505092749181709</v>
      </c>
      <c r="P9" s="11"/>
    </row>
    <row r="10" spans="1:21">
      <c r="B10" s="73"/>
      <c r="C10" s="11" t="s">
        <v>369</v>
      </c>
      <c r="D10" s="111">
        <f t="shared" ref="D10:N10" si="1">D8+D9</f>
        <v>3710.3550986572563</v>
      </c>
      <c r="E10" s="111">
        <f t="shared" si="1"/>
        <v>4560.5530423870396</v>
      </c>
      <c r="F10" s="111">
        <f t="shared" si="1"/>
        <v>4847.7252695367051</v>
      </c>
      <c r="G10" s="111">
        <f t="shared" si="1"/>
        <v>5870.8210684249407</v>
      </c>
      <c r="H10" s="111">
        <f t="shared" si="1"/>
        <v>7331.6219049816627</v>
      </c>
      <c r="I10" s="111">
        <f t="shared" si="1"/>
        <v>13958.128316830798</v>
      </c>
      <c r="J10" s="111">
        <f t="shared" si="1"/>
        <v>9285.8006540064398</v>
      </c>
      <c r="K10" s="111">
        <f t="shared" si="1"/>
        <v>8555.2706039029763</v>
      </c>
      <c r="L10" s="111">
        <f t="shared" si="1"/>
        <v>7327.9697254730017</v>
      </c>
      <c r="M10" s="111">
        <f t="shared" si="1"/>
        <v>7433.2882256914263</v>
      </c>
      <c r="N10" s="111">
        <f t="shared" si="1"/>
        <v>7911.6982256914262</v>
      </c>
      <c r="O10" s="88">
        <f>IFERROR((M10/D10)^(1/10)-1,"-")</f>
        <v>7.1954988633870176E-2</v>
      </c>
      <c r="P10" s="11"/>
    </row>
    <row r="11" spans="1:21">
      <c r="B11" s="73"/>
      <c r="C11" s="74" t="s">
        <v>373</v>
      </c>
      <c r="D11" s="123">
        <v>15.913679999999999</v>
      </c>
      <c r="E11" s="123">
        <v>15.58684</v>
      </c>
      <c r="F11" s="123">
        <v>16.407869999999999</v>
      </c>
      <c r="G11" s="123">
        <v>17.532350000000001</v>
      </c>
      <c r="H11" s="123">
        <v>18.591989999999999</v>
      </c>
      <c r="I11" s="123">
        <v>20.144380000000002</v>
      </c>
      <c r="J11" s="123">
        <v>27.441320000000001</v>
      </c>
      <c r="K11" s="123">
        <v>39.823450000000001</v>
      </c>
      <c r="L11" s="123">
        <v>37.174849999999999</v>
      </c>
      <c r="M11" s="123">
        <v>43.286270000000002</v>
      </c>
      <c r="N11" s="123">
        <v>44.882550000000002</v>
      </c>
      <c r="O11" s="88">
        <f>IFERROR((M11/D11)^(1/10)-1,"-")</f>
        <v>0.10524346144224883</v>
      </c>
      <c r="P11" s="11"/>
    </row>
    <row r="12" spans="1:21">
      <c r="B12" s="73"/>
      <c r="C12" s="119"/>
      <c r="G12" s="121"/>
      <c r="H12" s="120"/>
      <c r="I12" s="120"/>
      <c r="J12" s="120"/>
      <c r="K12" s="120"/>
      <c r="L12" s="120"/>
      <c r="M12" s="120"/>
      <c r="N12" s="120"/>
      <c r="O12" s="120"/>
      <c r="P12" s="11"/>
    </row>
    <row r="13" spans="1:21">
      <c r="B13" s="73"/>
      <c r="C13" s="119" t="s">
        <v>192</v>
      </c>
      <c r="G13" s="120">
        <f>'Quarterly Fins'!G4</f>
        <v>43004</v>
      </c>
      <c r="H13" s="120">
        <f>'Quarterly Fins'!H4</f>
        <v>43098</v>
      </c>
      <c r="I13" s="120">
        <f>'Quarterly Fins'!I4</f>
        <v>43188</v>
      </c>
      <c r="J13" s="120">
        <f>'Quarterly Fins'!J4</f>
        <v>43279</v>
      </c>
      <c r="K13" s="120">
        <f>'Quarterly Fins'!K4</f>
        <v>43370</v>
      </c>
      <c r="L13" s="120">
        <f>'Quarterly Fins'!L4</f>
        <v>43461</v>
      </c>
      <c r="M13" s="120">
        <f>'Quarterly Fins'!M4</f>
        <v>43552</v>
      </c>
      <c r="N13" s="120" t="s">
        <v>193</v>
      </c>
      <c r="O13" s="121" t="s">
        <v>194</v>
      </c>
      <c r="P13" s="11"/>
    </row>
    <row r="14" spans="1:21">
      <c r="B14" s="73"/>
      <c r="C14" s="74" t="s">
        <v>195</v>
      </c>
      <c r="D14" s="11"/>
      <c r="E14" s="11"/>
      <c r="F14" s="11"/>
      <c r="G14" s="111">
        <f>(SUM('Quarterly Fins'!D5:G5)/G11)</f>
        <v>3524.6273317610016</v>
      </c>
      <c r="H14" s="111">
        <f>(SUM('Quarterly Fins'!E5:H5)/H11)</f>
        <v>3513.2871736699517</v>
      </c>
      <c r="I14" s="111">
        <f>(SUM('Quarterly Fins'!F5:I5)/I11)</f>
        <v>4034.6240489903385</v>
      </c>
      <c r="J14" s="111">
        <f>(SUM('Quarterly Fins'!G5:J5)/J11)</f>
        <v>3604.6006533213417</v>
      </c>
      <c r="K14" s="111">
        <f>(SUM('Quarterly Fins'!H5:K5)/K11)</f>
        <v>2950.2466511565422</v>
      </c>
      <c r="L14" s="111">
        <f>(SUM('Quarterly Fins'!I5:L5)/L11)</f>
        <v>4520.4217367386827</v>
      </c>
      <c r="M14" s="111">
        <f>(SUM('Quarterly Fins'!J5:M5)/M11)</f>
        <v>4197.081430208701</v>
      </c>
      <c r="N14" s="99">
        <f t="shared" ref="N14:N19" si="2">M14/G14-1</f>
        <v>0.19078729044290843</v>
      </c>
      <c r="O14" s="124">
        <f t="shared" ref="O14:O19" si="3">IFERROR((M14/G14)^(1/7)-1,"-")</f>
        <v>2.525868243192253E-2</v>
      </c>
      <c r="P14" s="11"/>
    </row>
    <row r="15" spans="1:21">
      <c r="B15" s="73"/>
      <c r="C15" s="74" t="s">
        <v>196</v>
      </c>
      <c r="D15" s="11"/>
      <c r="E15" s="11"/>
      <c r="F15" s="11"/>
      <c r="G15" s="111">
        <f>SUM('Quarterly Fins'!D12:G12)/G11</f>
        <v>1072.075335023542</v>
      </c>
      <c r="H15" s="111">
        <f>SUM('Quarterly Fins'!E12:H12)/H11</f>
        <v>1070.8912816756033</v>
      </c>
      <c r="I15" s="111">
        <f>SUM('Quarterly Fins'!F12:I12)/I11</f>
        <v>1240.5445091881704</v>
      </c>
      <c r="J15" s="111">
        <f>SUM('Quarterly Fins'!G12:J12)/J11</f>
        <v>1176.87487336615</v>
      </c>
      <c r="K15" s="111">
        <f>SUM('Quarterly Fins'!H12:K12)/K11</f>
        <v>985.75085784883026</v>
      </c>
      <c r="L15" s="111">
        <f>SUM('Quarterly Fins'!I12:L12)/L11</f>
        <v>1103.8376752024556</v>
      </c>
      <c r="M15" s="111">
        <f>SUM('Quarterly Fins'!J12:M12)/M11</f>
        <v>1092.5173270877808</v>
      </c>
      <c r="N15" s="99">
        <f t="shared" si="2"/>
        <v>1.9067682462622804E-2</v>
      </c>
      <c r="O15" s="124">
        <f t="shared" si="3"/>
        <v>2.7019540743029591E-3</v>
      </c>
      <c r="P15" s="11"/>
    </row>
    <row r="16" spans="1:21">
      <c r="B16" s="73"/>
      <c r="C16" s="74" t="s">
        <v>197</v>
      </c>
      <c r="D16" s="11"/>
      <c r="E16" s="11"/>
      <c r="F16" s="11"/>
      <c r="G16" s="111">
        <f>SUM('Quarterly Fins'!D11:G11)/G11</f>
        <v>407.53236160583151</v>
      </c>
      <c r="H16" s="111">
        <f>SUM('Quarterly Fins'!E11:H11)/H11</f>
        <v>410.39178700074604</v>
      </c>
      <c r="I16" s="111">
        <f>SUM('Quarterly Fins'!F11:I11)/I11</f>
        <v>453.47635419903713</v>
      </c>
      <c r="J16" s="111">
        <f>SUM('Quarterly Fins'!G11:J11)/J11</f>
        <v>-32.687931921642253</v>
      </c>
      <c r="K16" s="111">
        <f>SUM('Quarterly Fins'!H11:K11)/K11</f>
        <v>-416.83982678547437</v>
      </c>
      <c r="L16" s="111">
        <f>SUM('Quarterly Fins'!I11:L11)/L11</f>
        <v>142.40810655591079</v>
      </c>
      <c r="M16" s="111">
        <f>SUM('Quarterly Fins'!J11:M11)/M11</f>
        <v>70.830773822738706</v>
      </c>
      <c r="N16" s="99">
        <f t="shared" si="2"/>
        <v>-0.82619595277381486</v>
      </c>
      <c r="O16" s="124">
        <f t="shared" si="3"/>
        <v>-0.22117994467900359</v>
      </c>
      <c r="P16" s="11"/>
    </row>
    <row r="17" spans="2:16">
      <c r="B17" s="73"/>
      <c r="C17" s="125" t="s">
        <v>198</v>
      </c>
      <c r="D17" s="11"/>
      <c r="E17" s="11"/>
      <c r="F17" s="11"/>
      <c r="G17" s="126">
        <f t="shared" ref="G17:M17" si="4">G14/G6</f>
        <v>18.16818212247939</v>
      </c>
      <c r="H17" s="126">
        <f t="shared" si="4"/>
        <v>18.10972769932965</v>
      </c>
      <c r="I17" s="126">
        <f t="shared" si="4"/>
        <v>9.3610766797919691</v>
      </c>
      <c r="J17" s="126">
        <f t="shared" si="4"/>
        <v>8.3633425831121624</v>
      </c>
      <c r="K17" s="126">
        <f t="shared" si="4"/>
        <v>6.8451198402703994</v>
      </c>
      <c r="L17" s="126">
        <f t="shared" si="4"/>
        <v>10.488217486632674</v>
      </c>
      <c r="M17" s="126">
        <f t="shared" si="4"/>
        <v>9.7380079587208837</v>
      </c>
      <c r="N17" s="127">
        <f t="shared" si="2"/>
        <v>-0.46400757692360972</v>
      </c>
      <c r="O17" s="110">
        <f t="shared" si="3"/>
        <v>-8.5237445425252911E-2</v>
      </c>
      <c r="P17" s="11"/>
    </row>
    <row r="18" spans="2:16">
      <c r="B18" s="73"/>
      <c r="C18" s="125" t="s">
        <v>199</v>
      </c>
      <c r="D18" s="11"/>
      <c r="E18" s="11"/>
      <c r="F18" s="11"/>
      <c r="G18" s="126">
        <f t="shared" ref="G18:M18" si="5">G15/G6</f>
        <v>5.5261615207399073</v>
      </c>
      <c r="H18" s="126">
        <f t="shared" si="5"/>
        <v>5.5200581529670272</v>
      </c>
      <c r="I18" s="126">
        <f t="shared" si="5"/>
        <v>2.8782935247985391</v>
      </c>
      <c r="J18" s="126">
        <f t="shared" si="5"/>
        <v>2.7305681516616009</v>
      </c>
      <c r="K18" s="126">
        <f t="shared" si="5"/>
        <v>2.2871249602061026</v>
      </c>
      <c r="L18" s="126">
        <f t="shared" si="5"/>
        <v>2.5611082951333075</v>
      </c>
      <c r="M18" s="126">
        <f t="shared" si="5"/>
        <v>2.5348429862825541</v>
      </c>
      <c r="N18" s="127">
        <f t="shared" si="2"/>
        <v>-0.54130132158294941</v>
      </c>
      <c r="O18" s="110">
        <f t="shared" si="3"/>
        <v>-0.10536314717139228</v>
      </c>
      <c r="P18" s="11"/>
    </row>
    <row r="19" spans="2:16">
      <c r="B19" s="73"/>
      <c r="C19" s="125" t="s">
        <v>200</v>
      </c>
      <c r="D19" s="11"/>
      <c r="E19" s="11"/>
      <c r="F19" s="11"/>
      <c r="G19" s="126">
        <f>SUM('Quarterly Fins'!D11:G11)/G11/G6</f>
        <v>2.100682276318719</v>
      </c>
      <c r="H19" s="126">
        <f>SUM('Quarterly Fins'!E11:H11)/H11/H6</f>
        <v>2.1154215824780724</v>
      </c>
      <c r="I19" s="126">
        <f>SUM('Quarterly Fins'!F11:I11)/I11/I6</f>
        <v>1.0521493136868612</v>
      </c>
      <c r="J19" s="126">
        <f>SUM('Quarterly Fins'!G11:J11)/J11/J6</f>
        <v>-7.5842069423763925E-2</v>
      </c>
      <c r="K19" s="126">
        <f>SUM('Quarterly Fins'!H11:K11)/K11/K6</f>
        <v>-0.96714576980388489</v>
      </c>
      <c r="L19" s="126">
        <f>SUM('Quarterly Fins'!I11:L11)/L11/L6</f>
        <v>0.33041324026893454</v>
      </c>
      <c r="M19" s="126">
        <f>SUM('Quarterly Fins'!J11:M11)/M11/M6</f>
        <v>0.16434054251215477</v>
      </c>
      <c r="N19" s="127">
        <f t="shared" si="2"/>
        <v>-0.92176801586570778</v>
      </c>
      <c r="O19" s="110">
        <f t="shared" si="3"/>
        <v>-0.30511642030713904</v>
      </c>
      <c r="P19" s="11"/>
    </row>
    <row r="20" spans="2:16">
      <c r="B20" s="73"/>
      <c r="C20" s="74" t="s">
        <v>61</v>
      </c>
      <c r="D20" s="11"/>
      <c r="E20" s="11"/>
      <c r="F20" s="11"/>
      <c r="G20" s="128">
        <f t="shared" ref="G20:M20" si="6">G10/G15</f>
        <v>5.4761273547031299</v>
      </c>
      <c r="H20" s="128">
        <f t="shared" si="6"/>
        <v>6.8462803184932204</v>
      </c>
      <c r="I20" s="128">
        <f t="shared" si="6"/>
        <v>11.251614281832735</v>
      </c>
      <c r="J20" s="128">
        <f t="shared" si="6"/>
        <v>7.890219142368788</v>
      </c>
      <c r="K20" s="128">
        <f t="shared" si="6"/>
        <v>8.6789380255502344</v>
      </c>
      <c r="L20" s="128">
        <f t="shared" si="6"/>
        <v>6.6386298367003773</v>
      </c>
      <c r="M20" s="128">
        <f t="shared" si="6"/>
        <v>6.8038172405975779</v>
      </c>
      <c r="N20" s="99">
        <f>M20/G20-1</f>
        <v>0.24245051290747854</v>
      </c>
      <c r="O20" s="124">
        <f>IFERROR((M20/G20)^(1/7)-1,"-")</f>
        <v>3.1498124859278054E-2</v>
      </c>
      <c r="P20" s="11"/>
    </row>
    <row r="21" spans="2:16">
      <c r="B21" s="73"/>
      <c r="C21" s="74" t="s">
        <v>201</v>
      </c>
      <c r="D21" s="11"/>
      <c r="E21" s="11"/>
      <c r="F21" s="11"/>
      <c r="G21" s="128">
        <f t="shared" ref="G21:M21" si="7">G10/G14</f>
        <v>1.6656572499231332</v>
      </c>
      <c r="H21" s="128">
        <f t="shared" si="7"/>
        <v>2.0868268213107979</v>
      </c>
      <c r="I21" s="128">
        <f t="shared" si="7"/>
        <v>3.4595858616179638</v>
      </c>
      <c r="J21" s="128">
        <f t="shared" si="7"/>
        <v>2.5760969236495979</v>
      </c>
      <c r="K21" s="128">
        <f t="shared" si="7"/>
        <v>2.8998492721105804</v>
      </c>
      <c r="L21" s="128">
        <f t="shared" si="7"/>
        <v>1.6210809858550634</v>
      </c>
      <c r="M21" s="128">
        <f t="shared" si="7"/>
        <v>1.7710612360746605</v>
      </c>
      <c r="N21" s="99">
        <f>M21/G21-1</f>
        <v>6.328071766048593E-2</v>
      </c>
      <c r="O21" s="124">
        <f>IFERROR((M21/G21)^(1/7)-1,"-")</f>
        <v>8.8041224552657393E-3</v>
      </c>
      <c r="P21" s="11"/>
    </row>
    <row r="22" spans="2:16">
      <c r="B22" s="73"/>
      <c r="C22" s="207" t="s">
        <v>215</v>
      </c>
      <c r="D22" s="129"/>
      <c r="E22" s="129"/>
      <c r="F22" s="129"/>
      <c r="G22" s="154">
        <f t="shared" ref="G22:M22" si="8">G7/G19</f>
        <v>14.285834815815257</v>
      </c>
      <c r="H22" s="154">
        <f t="shared" si="8"/>
        <v>17.500057816671035</v>
      </c>
      <c r="I22" s="154">
        <f t="shared" si="8"/>
        <v>29.796151166174056</v>
      </c>
      <c r="J22" s="154">
        <f t="shared" si="8"/>
        <v>-264.89256098416945</v>
      </c>
      <c r="K22" s="154">
        <f t="shared" si="8"/>
        <v>-19.211168140421684</v>
      </c>
      <c r="L22" s="154">
        <f t="shared" si="8"/>
        <v>42.794895230260671</v>
      </c>
      <c r="M22" s="154">
        <f t="shared" si="8"/>
        <v>86.588493517645148</v>
      </c>
      <c r="N22" s="254">
        <f>M22/G22-1</f>
        <v>5.0611434077192747</v>
      </c>
      <c r="O22" s="112">
        <f>IFERROR((M22/G22)^(1/7)-1,"-")</f>
        <v>0.29358064390815697</v>
      </c>
      <c r="P22" s="11"/>
    </row>
    <row r="23" spans="2:16">
      <c r="B23" s="73"/>
      <c r="C23" s="119"/>
      <c r="D23" s="121"/>
      <c r="E23" s="121"/>
      <c r="F23" s="121"/>
      <c r="G23" s="121"/>
      <c r="H23" s="121"/>
      <c r="I23" s="121"/>
      <c r="J23" s="121"/>
      <c r="K23" s="121"/>
      <c r="L23" s="121"/>
      <c r="M23" s="121"/>
      <c r="N23" s="121"/>
      <c r="O23" s="11"/>
      <c r="P23" s="11"/>
    </row>
    <row r="24" spans="2:16">
      <c r="B24" s="73"/>
      <c r="C24" s="119" t="s">
        <v>202</v>
      </c>
      <c r="D24" s="121">
        <f>'Annual Fins'!D51</f>
        <v>2009</v>
      </c>
      <c r="E24" s="121">
        <f>'Annual Fins'!E51</f>
        <v>2010</v>
      </c>
      <c r="F24" s="121">
        <f>'Annual Fins'!F51</f>
        <v>2011</v>
      </c>
      <c r="G24" s="121">
        <f>'Annual Fins'!G51</f>
        <v>2012</v>
      </c>
      <c r="H24" s="121">
        <f>'Annual Fins'!H51</f>
        <v>2013</v>
      </c>
      <c r="I24" s="121">
        <f>'Annual Fins'!I51</f>
        <v>2014</v>
      </c>
      <c r="J24" s="121">
        <f>'Annual Fins'!J51</f>
        <v>2015</v>
      </c>
      <c r="K24" s="121">
        <f>'Annual Fins'!K51</f>
        <v>2016</v>
      </c>
      <c r="L24" s="121">
        <f>'Annual Fins'!L51</f>
        <v>2017</v>
      </c>
      <c r="M24" s="121">
        <f>'Annual Fins'!M51</f>
        <v>2018</v>
      </c>
      <c r="N24" s="121" t="s">
        <v>166</v>
      </c>
      <c r="O24" s="11"/>
      <c r="P24" s="11"/>
    </row>
    <row r="25" spans="2:16">
      <c r="B25" s="73"/>
      <c r="C25" s="11" t="s">
        <v>203</v>
      </c>
      <c r="D25" s="128">
        <f>'Annual Fins'!D11/'Trading Model'!D5</f>
        <v>7.1319796954314718</v>
      </c>
      <c r="E25" s="128">
        <f>'Annual Fins'!E11/'Trading Model'!E5</f>
        <v>9.8223350253807098</v>
      </c>
      <c r="F25" s="128">
        <f>'Annual Fins'!F11/'Trading Model'!F5</f>
        <v>12.756345177664974</v>
      </c>
      <c r="G25" s="128">
        <f>'Annual Fins'!G11/'Trading Model'!G5</f>
        <v>13.629441624365482</v>
      </c>
      <c r="H25" s="128">
        <f>'Annual Fins'!H11/'Trading Model'!H5</f>
        <v>16.336734693877553</v>
      </c>
      <c r="I25" s="128">
        <f>'Annual Fins'!I11/'Trading Model'!I5</f>
        <v>18.932989690721648</v>
      </c>
      <c r="J25" s="128">
        <f>'Annual Fins'!J11/'Trading Model'!J5</f>
        <v>17.541237113402062</v>
      </c>
      <c r="K25" s="128">
        <f>'Annual Fins'!K11/'Trading Model'!K5</f>
        <v>20.489690721649485</v>
      </c>
      <c r="L25" s="128">
        <f>'Annual Fins'!L11/'Trading Model'!L5</f>
        <v>39.329896907216494</v>
      </c>
      <c r="M25" s="128">
        <f>'Annual Fins'!M11/'Trading Model'!M5</f>
        <v>12.283062645011601</v>
      </c>
      <c r="N25" s="128">
        <f>'Annual Fins'!N11/'Trading Model'!N5</f>
        <v>-11.248259860788863</v>
      </c>
      <c r="O25" s="11"/>
      <c r="P25" s="11"/>
    </row>
    <row r="26" spans="2:16">
      <c r="B26" s="73"/>
      <c r="C26" s="11" t="s">
        <v>204</v>
      </c>
      <c r="D26" s="128">
        <f>'Annual Fins'!D38/'Trading Model'!D5</f>
        <v>27.593908629441625</v>
      </c>
      <c r="E26" s="128">
        <f>'Annual Fins'!E38/'Trading Model'!E5</f>
        <v>32.507614213197968</v>
      </c>
      <c r="F26" s="128">
        <f>'Annual Fins'!F38/'Trading Model'!F5</f>
        <v>40.715736040609137</v>
      </c>
      <c r="G26" s="128">
        <f>'Annual Fins'!G38/'Trading Model'!G5</f>
        <v>50.55329949238579</v>
      </c>
      <c r="H26" s="128">
        <f>'Annual Fins'!H38/'Trading Model'!H5</f>
        <v>60.117346938775512</v>
      </c>
      <c r="I26" s="128">
        <f>'Annual Fins'!I38/'Trading Model'!I5</f>
        <v>74.319587628865975</v>
      </c>
      <c r="J26" s="128">
        <f>'Annual Fins'!J38/'Trading Model'!J5</f>
        <v>88.628865979381445</v>
      </c>
      <c r="K26" s="128">
        <f>'Annual Fins'!K38/'Trading Model'!K5</f>
        <v>99.670103092783506</v>
      </c>
      <c r="L26" s="128">
        <f>'Annual Fins'!L38/'Trading Model'!L5</f>
        <v>119</v>
      </c>
      <c r="M26" s="128">
        <f>'Annual Fins'!M38/'Trading Model'!M5</f>
        <v>523.63341067285387</v>
      </c>
      <c r="N26" s="128">
        <f>'Annual Fins'!N38/'Trading Model'!N5</f>
        <v>587.39443155452432</v>
      </c>
      <c r="O26" s="11"/>
      <c r="P26" s="11"/>
    </row>
    <row r="27" spans="2:16">
      <c r="B27" s="73"/>
      <c r="C27" s="16" t="s">
        <v>205</v>
      </c>
      <c r="D27" s="130">
        <f t="shared" ref="D27:N27" si="9">IFERROR(SQRT(D26*D25*22.5),"-")</f>
        <v>66.543083122232176</v>
      </c>
      <c r="E27" s="130">
        <f t="shared" si="9"/>
        <v>84.760045114144489</v>
      </c>
      <c r="F27" s="130">
        <f t="shared" si="9"/>
        <v>108.10244964697075</v>
      </c>
      <c r="G27" s="130">
        <f t="shared" si="9"/>
        <v>124.51023250274288</v>
      </c>
      <c r="H27" s="130">
        <f t="shared" si="9"/>
        <v>148.65303837247245</v>
      </c>
      <c r="I27" s="130">
        <f t="shared" si="9"/>
        <v>177.93136231117347</v>
      </c>
      <c r="J27" s="130">
        <f t="shared" si="9"/>
        <v>187.0290056323241</v>
      </c>
      <c r="K27" s="130">
        <f t="shared" si="9"/>
        <v>214.35884795766236</v>
      </c>
      <c r="L27" s="130">
        <f t="shared" si="9"/>
        <v>324.5085499167505</v>
      </c>
      <c r="M27" s="130">
        <f t="shared" si="9"/>
        <v>380.41555527094891</v>
      </c>
      <c r="N27" s="130" t="str">
        <f t="shared" si="9"/>
        <v>-</v>
      </c>
      <c r="O27" s="11"/>
      <c r="P27" s="11"/>
    </row>
    <row r="28" spans="2:16">
      <c r="B28" s="73"/>
      <c r="C28" s="11" t="s">
        <v>190</v>
      </c>
      <c r="D28" s="43">
        <f>IF(D27&lt;&gt;0,'Trading Model'!D4,"-")</f>
        <v>10.606142</v>
      </c>
      <c r="E28" s="43">
        <f>'Trading Model'!E4</f>
        <v>16.696021999999999</v>
      </c>
      <c r="F28" s="43">
        <f>'Trading Model'!F4</f>
        <v>12.578656000000001</v>
      </c>
      <c r="G28" s="43">
        <f>'Trading Model'!G4</f>
        <v>8.4880069999999996</v>
      </c>
      <c r="H28" s="43">
        <f>'Trading Model'!H4</f>
        <v>13.455168</v>
      </c>
      <c r="I28" s="43">
        <f>'Trading Model'!I4</f>
        <v>16.171282000000001</v>
      </c>
      <c r="J28" s="43">
        <f>'Trading Model'!J4</f>
        <v>14.110263</v>
      </c>
      <c r="K28" s="43">
        <f>'Trading Model'!K4</f>
        <v>16.120771000000001</v>
      </c>
      <c r="L28" s="43">
        <f>'Trading Model'!L4</f>
        <v>33.338501000000001</v>
      </c>
      <c r="M28" s="43">
        <f>'Trading Model'!M4</f>
        <v>14.58544</v>
      </c>
      <c r="N28" s="43">
        <f>'Trading Model'!N4</f>
        <v>14.146998999999999</v>
      </c>
      <c r="O28" s="11"/>
      <c r="P28" s="11"/>
    </row>
    <row r="29" spans="2:16">
      <c r="B29" s="73"/>
      <c r="C29" s="11" t="s">
        <v>62</v>
      </c>
      <c r="D29" s="131" t="str">
        <f t="shared" ref="D29:N29" si="10">IF(D27&lt;&gt;"-",IF(D28&lt;D27,"Yes","No"),"-")</f>
        <v>Yes</v>
      </c>
      <c r="E29" s="131" t="str">
        <f t="shared" si="10"/>
        <v>Yes</v>
      </c>
      <c r="F29" s="131" t="str">
        <f t="shared" si="10"/>
        <v>Yes</v>
      </c>
      <c r="G29" s="131" t="str">
        <f t="shared" si="10"/>
        <v>Yes</v>
      </c>
      <c r="H29" s="131" t="str">
        <f t="shared" si="10"/>
        <v>Yes</v>
      </c>
      <c r="I29" s="131" t="str">
        <f t="shared" si="10"/>
        <v>Yes</v>
      </c>
      <c r="J29" s="131" t="str">
        <f t="shared" si="10"/>
        <v>Yes</v>
      </c>
      <c r="K29" s="131" t="str">
        <f t="shared" si="10"/>
        <v>Yes</v>
      </c>
      <c r="L29" s="131" t="str">
        <f t="shared" si="10"/>
        <v>Yes</v>
      </c>
      <c r="M29" s="131" t="str">
        <f t="shared" si="10"/>
        <v>Yes</v>
      </c>
      <c r="N29" s="131" t="str">
        <f t="shared" si="10"/>
        <v>-</v>
      </c>
      <c r="O29" s="11"/>
      <c r="P29" s="11"/>
    </row>
    <row r="30" spans="2:16">
      <c r="B30" s="73"/>
      <c r="C30" s="11"/>
      <c r="D30" s="131"/>
      <c r="E30" s="131"/>
      <c r="F30" s="131"/>
      <c r="G30" s="131"/>
      <c r="H30" s="131"/>
      <c r="I30" s="131"/>
      <c r="J30" s="131"/>
      <c r="K30" s="131"/>
      <c r="L30" s="131"/>
      <c r="M30" s="131"/>
      <c r="N30" s="131"/>
      <c r="O30" s="11"/>
      <c r="P30" s="11"/>
    </row>
    <row r="31" spans="2:16" ht="42">
      <c r="B31" s="73"/>
      <c r="C31" s="119" t="s">
        <v>415</v>
      </c>
      <c r="D31" s="118" t="s">
        <v>1</v>
      </c>
      <c r="E31" s="303" t="s">
        <v>2</v>
      </c>
      <c r="F31" s="303"/>
      <c r="G31" s="118" t="s">
        <v>206</v>
      </c>
      <c r="H31" s="118" t="s">
        <v>385</v>
      </c>
      <c r="I31" s="118" t="s">
        <v>384</v>
      </c>
      <c r="J31" s="118" t="s">
        <v>382</v>
      </c>
      <c r="K31" s="118" t="s">
        <v>383</v>
      </c>
      <c r="L31" s="118" t="s">
        <v>208</v>
      </c>
      <c r="M31" s="118" t="s">
        <v>209</v>
      </c>
      <c r="N31" s="118" t="s">
        <v>386</v>
      </c>
      <c r="O31" s="118" t="s">
        <v>376</v>
      </c>
      <c r="P31" s="118" t="s">
        <v>150</v>
      </c>
    </row>
    <row r="32" spans="2:16">
      <c r="B32" s="73"/>
      <c r="C32" s="16" t="s">
        <v>442</v>
      </c>
      <c r="D32" s="132" t="s">
        <v>443</v>
      </c>
      <c r="E32" s="301" t="s">
        <v>431</v>
      </c>
      <c r="F32" s="302"/>
      <c r="G32" s="133">
        <v>15.4</v>
      </c>
      <c r="H32" s="259">
        <v>6.8</v>
      </c>
      <c r="I32" s="259">
        <v>8.39</v>
      </c>
      <c r="J32" s="134">
        <v>163.65</v>
      </c>
      <c r="K32" s="134">
        <v>42.95</v>
      </c>
      <c r="L32" s="255">
        <f>I32/J32</f>
        <v>5.126794989306447E-2</v>
      </c>
      <c r="M32" s="256">
        <f>I32/K32</f>
        <v>0.19534342258440046</v>
      </c>
      <c r="N32" s="134">
        <v>14.53</v>
      </c>
      <c r="O32" s="134">
        <v>1.83</v>
      </c>
      <c r="P32" s="134">
        <v>0.73</v>
      </c>
    </row>
    <row r="33" spans="2:16">
      <c r="B33" s="73"/>
      <c r="C33" s="276" t="s">
        <v>450</v>
      </c>
      <c r="D33" s="132" t="s">
        <v>451</v>
      </c>
      <c r="E33" s="301" t="s">
        <v>431</v>
      </c>
      <c r="F33" s="302"/>
      <c r="G33" s="133">
        <v>45.86</v>
      </c>
      <c r="H33" s="259">
        <v>4</v>
      </c>
      <c r="I33" s="259">
        <v>5.7</v>
      </c>
      <c r="J33" s="134">
        <v>3.99</v>
      </c>
      <c r="K33" s="134">
        <v>0.80300000000000005</v>
      </c>
      <c r="L33" s="261">
        <f t="shared" ref="L33:L42" si="11">I33/J33</f>
        <v>1.4285714285714286</v>
      </c>
      <c r="M33" s="135">
        <f t="shared" ref="M33:M42" si="12">I33/K33</f>
        <v>7.0983810709838107</v>
      </c>
      <c r="N33" s="134">
        <v>25.07</v>
      </c>
      <c r="O33" s="134">
        <v>0.99</v>
      </c>
      <c r="P33" s="134">
        <v>0.68</v>
      </c>
    </row>
    <row r="34" spans="2:16">
      <c r="B34" s="73"/>
      <c r="C34" s="192" t="s">
        <v>432</v>
      </c>
      <c r="D34" s="132" t="s">
        <v>433</v>
      </c>
      <c r="E34" s="301" t="s">
        <v>431</v>
      </c>
      <c r="F34" s="302"/>
      <c r="G34" s="133">
        <v>61.16</v>
      </c>
      <c r="H34" s="259">
        <v>0.97</v>
      </c>
      <c r="I34" s="259">
        <v>1.04</v>
      </c>
      <c r="J34" s="134">
        <v>0.45</v>
      </c>
      <c r="K34" s="134">
        <v>0.12</v>
      </c>
      <c r="L34" s="261">
        <f t="shared" si="11"/>
        <v>2.3111111111111113</v>
      </c>
      <c r="M34" s="135">
        <f t="shared" si="12"/>
        <v>8.6666666666666679</v>
      </c>
      <c r="N34" s="134">
        <v>41.1</v>
      </c>
      <c r="O34" s="134">
        <v>2.15</v>
      </c>
      <c r="P34" s="134">
        <v>0.43</v>
      </c>
    </row>
    <row r="35" spans="2:16">
      <c r="B35" s="73"/>
      <c r="C35" s="192" t="s">
        <v>434</v>
      </c>
      <c r="D35" s="132" t="s">
        <v>435</v>
      </c>
      <c r="E35" s="301" t="s">
        <v>431</v>
      </c>
      <c r="F35" s="302"/>
      <c r="G35" s="133">
        <v>0.53500000000000003</v>
      </c>
      <c r="H35" s="259">
        <v>0.76</v>
      </c>
      <c r="I35" s="259">
        <v>1.23</v>
      </c>
      <c r="J35" s="134">
        <v>0.13</v>
      </c>
      <c r="K35" s="134">
        <v>1.7000000000000001E-2</v>
      </c>
      <c r="L35" s="261">
        <f t="shared" si="11"/>
        <v>9.4615384615384617</v>
      </c>
      <c r="M35" s="135">
        <f t="shared" si="12"/>
        <v>72.35294117647058</v>
      </c>
      <c r="N35" s="134">
        <v>9.1999999999999993</v>
      </c>
      <c r="O35" s="134">
        <v>5.92</v>
      </c>
      <c r="P35" s="134">
        <v>0.23</v>
      </c>
    </row>
    <row r="36" spans="2:16">
      <c r="B36" s="73"/>
      <c r="C36" s="192" t="s">
        <v>436</v>
      </c>
      <c r="D36" s="132" t="s">
        <v>437</v>
      </c>
      <c r="E36" s="301" t="s">
        <v>431</v>
      </c>
      <c r="F36" s="302"/>
      <c r="G36" s="133">
        <v>21.11</v>
      </c>
      <c r="H36" s="259">
        <v>2.6</v>
      </c>
      <c r="I36" s="259">
        <v>4.1900000000000004</v>
      </c>
      <c r="J36" s="134">
        <v>0.54</v>
      </c>
      <c r="K36" s="134">
        <v>0.27300000000000002</v>
      </c>
      <c r="L36" s="261">
        <f t="shared" si="11"/>
        <v>7.7592592592592595</v>
      </c>
      <c r="M36" s="135">
        <f t="shared" si="12"/>
        <v>15.347985347985349</v>
      </c>
      <c r="N36" s="134">
        <v>21.95</v>
      </c>
      <c r="O36" s="134">
        <v>5.13</v>
      </c>
      <c r="P36" s="134">
        <v>2.14</v>
      </c>
    </row>
    <row r="37" spans="2:16" s="191" customFormat="1">
      <c r="B37" s="190"/>
      <c r="C37" s="192" t="s">
        <v>438</v>
      </c>
      <c r="D37" s="132" t="s">
        <v>439</v>
      </c>
      <c r="E37" s="301" t="s">
        <v>431</v>
      </c>
      <c r="F37" s="302"/>
      <c r="G37" s="133">
        <v>23.75</v>
      </c>
      <c r="H37" s="259">
        <v>5.5</v>
      </c>
      <c r="I37" s="259">
        <v>5.1100000000000003</v>
      </c>
      <c r="J37" s="134">
        <v>165.68</v>
      </c>
      <c r="K37" s="134">
        <v>77.88</v>
      </c>
      <c r="L37" s="261">
        <f t="shared" si="11"/>
        <v>3.0842588121680347E-2</v>
      </c>
      <c r="M37" s="135">
        <f t="shared" si="12"/>
        <v>6.5613764766307148E-2</v>
      </c>
      <c r="N37" s="134">
        <v>35.78</v>
      </c>
      <c r="O37" s="134">
        <v>1.6</v>
      </c>
      <c r="P37" s="134">
        <v>0.7</v>
      </c>
    </row>
    <row r="38" spans="2:16" s="191" customFormat="1">
      <c r="B38" s="190"/>
      <c r="C38" s="192" t="s">
        <v>440</v>
      </c>
      <c r="D38" s="132" t="s">
        <v>441</v>
      </c>
      <c r="E38" s="301" t="s">
        <v>431</v>
      </c>
      <c r="F38" s="302"/>
      <c r="G38" s="133">
        <v>38.909999999999997</v>
      </c>
      <c r="H38" s="259">
        <v>2.1</v>
      </c>
      <c r="I38" s="259">
        <v>3.04</v>
      </c>
      <c r="J38" s="134">
        <v>0.63500000000000001</v>
      </c>
      <c r="K38" s="134">
        <v>0.26500000000000001</v>
      </c>
      <c r="L38" s="261">
        <f t="shared" si="11"/>
        <v>4.78740157480315</v>
      </c>
      <c r="M38" s="135">
        <f t="shared" si="12"/>
        <v>11.471698113207546</v>
      </c>
      <c r="N38" s="134">
        <v>36.119999999999997</v>
      </c>
      <c r="O38" s="134">
        <v>3.06</v>
      </c>
      <c r="P38" s="134">
        <v>0.39</v>
      </c>
    </row>
    <row r="39" spans="2:16" s="191" customFormat="1">
      <c r="B39" s="190"/>
      <c r="C39" s="191" t="s">
        <v>562</v>
      </c>
      <c r="D39" s="132" t="s">
        <v>430</v>
      </c>
      <c r="E39" s="301" t="s">
        <v>431</v>
      </c>
      <c r="F39" s="302"/>
      <c r="G39" s="133">
        <v>30.33</v>
      </c>
      <c r="H39" s="258">
        <v>3.5</v>
      </c>
      <c r="I39" s="258">
        <v>6.54</v>
      </c>
      <c r="J39" s="133">
        <v>5.14</v>
      </c>
      <c r="K39" s="133">
        <v>1.1000000000000001</v>
      </c>
      <c r="L39" s="261">
        <f>I39/J39</f>
        <v>1.2723735408560313</v>
      </c>
      <c r="M39" s="135">
        <f t="shared" si="12"/>
        <v>5.9454545454545453</v>
      </c>
      <c r="N39" s="133">
        <v>22.71</v>
      </c>
      <c r="O39" s="133">
        <v>0.67</v>
      </c>
      <c r="P39" s="294">
        <v>1</v>
      </c>
    </row>
    <row r="40" spans="2:16" s="191" customFormat="1">
      <c r="B40" s="190"/>
      <c r="C40" s="191" t="s">
        <v>444</v>
      </c>
      <c r="D40" s="132" t="s">
        <v>445</v>
      </c>
      <c r="E40" s="301" t="s">
        <v>431</v>
      </c>
      <c r="F40" s="302"/>
      <c r="G40" s="133">
        <v>14</v>
      </c>
      <c r="H40" s="259">
        <v>6.4</v>
      </c>
      <c r="I40" s="259">
        <v>21.08</v>
      </c>
      <c r="J40" s="134">
        <v>16.98</v>
      </c>
      <c r="K40" s="134">
        <v>6.2560000000000002</v>
      </c>
      <c r="L40" s="261">
        <f t="shared" si="11"/>
        <v>1.2414605418138986</v>
      </c>
      <c r="M40" s="135">
        <f t="shared" si="12"/>
        <v>3.3695652173913038</v>
      </c>
      <c r="N40" s="134">
        <v>8.8800000000000008</v>
      </c>
      <c r="O40" s="134">
        <v>1.5</v>
      </c>
      <c r="P40" s="134">
        <v>0.95</v>
      </c>
    </row>
    <row r="41" spans="2:16" s="191" customFormat="1">
      <c r="B41" s="190"/>
      <c r="C41" s="191" t="s">
        <v>446</v>
      </c>
      <c r="D41" s="132" t="s">
        <v>447</v>
      </c>
      <c r="E41" s="301" t="s">
        <v>431</v>
      </c>
      <c r="F41" s="302"/>
      <c r="G41" s="133">
        <v>5.08</v>
      </c>
      <c r="H41" s="259">
        <v>4.0999999999999996</v>
      </c>
      <c r="I41" s="259">
        <v>4.33</v>
      </c>
      <c r="J41" s="134">
        <v>22.21</v>
      </c>
      <c r="K41" s="134">
        <v>7.7679999999999998</v>
      </c>
      <c r="L41" s="261">
        <f t="shared" si="11"/>
        <v>0.19495722647456101</v>
      </c>
      <c r="M41" s="135">
        <f t="shared" si="12"/>
        <v>0.55741503604531417</v>
      </c>
      <c r="N41" s="134">
        <v>6.81</v>
      </c>
      <c r="O41" s="134">
        <v>1.19</v>
      </c>
      <c r="P41" s="134">
        <v>0.68</v>
      </c>
    </row>
    <row r="42" spans="2:16">
      <c r="B42" s="73"/>
      <c r="C42" s="192" t="s">
        <v>448</v>
      </c>
      <c r="D42" s="132" t="s">
        <v>449</v>
      </c>
      <c r="E42" s="301" t="s">
        <v>431</v>
      </c>
      <c r="F42" s="302"/>
      <c r="G42" s="133">
        <v>2.34</v>
      </c>
      <c r="H42" s="259">
        <v>4.2</v>
      </c>
      <c r="I42" s="259">
        <v>11.33</v>
      </c>
      <c r="J42" s="134">
        <v>8.9600000000000009</v>
      </c>
      <c r="K42" s="134">
        <v>3.19</v>
      </c>
      <c r="L42" s="261">
        <f t="shared" si="11"/>
        <v>1.2645089285714284</v>
      </c>
      <c r="M42" s="261">
        <f t="shared" si="12"/>
        <v>3.5517241379310347</v>
      </c>
      <c r="N42" s="134">
        <v>3.41</v>
      </c>
      <c r="O42" s="134">
        <v>0.46</v>
      </c>
      <c r="P42" s="134">
        <v>1.75</v>
      </c>
    </row>
    <row r="43" spans="2:16">
      <c r="B43" s="73"/>
      <c r="C43" s="16" t="s">
        <v>210</v>
      </c>
      <c r="D43" s="37"/>
      <c r="E43" s="37"/>
      <c r="F43" s="136"/>
      <c r="G43" s="136"/>
      <c r="H43" s="136"/>
      <c r="I43" s="136"/>
      <c r="J43" s="136"/>
      <c r="L43" s="137">
        <f>AVERAGE(L32:L42)</f>
        <v>2.7093902373649157</v>
      </c>
      <c r="M43" s="138">
        <f>AVERAGE(M32:M42)</f>
        <v>11.692980772680624</v>
      </c>
      <c r="N43" s="136">
        <f>AVERAGE(N33:N42)</f>
        <v>21.103000000000002</v>
      </c>
      <c r="O43" s="136">
        <f>AVERAGE(O33:O42)</f>
        <v>2.2670000000000003</v>
      </c>
      <c r="P43" s="11"/>
    </row>
    <row r="44" spans="2:16">
      <c r="B44" s="73"/>
      <c r="C44" s="16" t="s">
        <v>211</v>
      </c>
      <c r="D44" s="37"/>
      <c r="E44" s="37"/>
      <c r="F44" s="136"/>
      <c r="G44" s="136"/>
      <c r="H44" s="136"/>
      <c r="I44" s="136"/>
      <c r="J44" s="136"/>
      <c r="L44" s="139">
        <f>MEDIAN(L32:L42)</f>
        <v>1.2723735408560313</v>
      </c>
      <c r="M44" s="140">
        <f>MEDIAN(M32:M42)</f>
        <v>5.9454545454545453</v>
      </c>
      <c r="N44" s="136">
        <f>MEDIAN(N33:N42)</f>
        <v>22.33</v>
      </c>
      <c r="O44" s="136">
        <f>MEDIAN(O33:O42)</f>
        <v>1.55</v>
      </c>
      <c r="P44" s="11"/>
    </row>
    <row r="45" spans="2:16">
      <c r="B45" s="73"/>
      <c r="C45" s="119"/>
      <c r="D45" s="11"/>
      <c r="E45" s="11"/>
      <c r="F45" s="11"/>
      <c r="G45" s="121"/>
      <c r="H45" s="120"/>
      <c r="I45" s="120"/>
      <c r="J45" s="120"/>
      <c r="K45" s="120"/>
      <c r="L45" s="120"/>
      <c r="M45" s="120"/>
      <c r="N45" s="120"/>
      <c r="O45" s="120"/>
      <c r="P45" s="141"/>
    </row>
    <row r="46" spans="2:16">
      <c r="B46" s="73"/>
      <c r="C46" s="119" t="s">
        <v>212</v>
      </c>
      <c r="D46" s="142" t="s">
        <v>213</v>
      </c>
      <c r="E46" s="120">
        <f>'Quarterly Fins'!G4</f>
        <v>43004</v>
      </c>
      <c r="F46" s="120">
        <f>'Quarterly Fins'!H4</f>
        <v>43098</v>
      </c>
      <c r="G46" s="120">
        <f>'Quarterly Fins'!I4</f>
        <v>43188</v>
      </c>
      <c r="H46" s="120">
        <f>'Quarterly Fins'!J4</f>
        <v>43279</v>
      </c>
      <c r="I46" s="120">
        <f>'Quarterly Fins'!K4</f>
        <v>43370</v>
      </c>
      <c r="J46" s="120">
        <f>'Quarterly Fins'!L4</f>
        <v>43461</v>
      </c>
      <c r="K46" s="120">
        <f>'Quarterly Fins'!M4</f>
        <v>43552</v>
      </c>
      <c r="N46" s="120"/>
      <c r="O46" s="11"/>
      <c r="P46" s="11"/>
    </row>
    <row r="47" spans="2:16">
      <c r="B47" s="73"/>
      <c r="C47" s="11" t="s">
        <v>374</v>
      </c>
      <c r="D47" s="11"/>
      <c r="E47" s="143">
        <f t="shared" ref="E47:K47" si="13">G7</f>
        <v>30.01</v>
      </c>
      <c r="F47" s="143">
        <f t="shared" si="13"/>
        <v>37.020000000000003</v>
      </c>
      <c r="G47" s="143">
        <f t="shared" si="13"/>
        <v>31.35</v>
      </c>
      <c r="H47" s="143">
        <f t="shared" si="13"/>
        <v>20.09</v>
      </c>
      <c r="I47" s="143">
        <f t="shared" si="13"/>
        <v>18.579999999999998</v>
      </c>
      <c r="J47" s="143">
        <f t="shared" si="13"/>
        <v>14.14</v>
      </c>
      <c r="K47" s="143">
        <f t="shared" si="13"/>
        <v>14.23</v>
      </c>
      <c r="N47" s="144"/>
      <c r="O47" s="11"/>
      <c r="P47" s="11"/>
    </row>
    <row r="48" spans="2:16">
      <c r="B48" s="73"/>
      <c r="C48" s="11" t="s">
        <v>214</v>
      </c>
      <c r="D48" s="128"/>
      <c r="E48" s="128">
        <f t="shared" ref="E48:K48" si="14">G19*15</f>
        <v>31.510234144780785</v>
      </c>
      <c r="F48" s="128">
        <f t="shared" si="14"/>
        <v>31.731323737171088</v>
      </c>
      <c r="G48" s="128">
        <f t="shared" si="14"/>
        <v>15.782239705302917</v>
      </c>
      <c r="H48" s="128">
        <f t="shared" si="14"/>
        <v>-1.137631041356459</v>
      </c>
      <c r="I48" s="128">
        <f t="shared" si="14"/>
        <v>-14.507186547058273</v>
      </c>
      <c r="J48" s="128">
        <f t="shared" si="14"/>
        <v>4.956198604034018</v>
      </c>
      <c r="K48" s="128">
        <f t="shared" si="14"/>
        <v>2.4651081376823214</v>
      </c>
      <c r="N48" s="11"/>
      <c r="O48" s="11"/>
      <c r="P48" s="11"/>
    </row>
    <row r="49" spans="2:16">
      <c r="B49" s="73"/>
      <c r="C49" s="11" t="s">
        <v>375</v>
      </c>
      <c r="D49" s="128"/>
      <c r="E49" s="128" t="str">
        <f t="shared" ref="E49:K49" si="15">IF(E47&lt;E48,"Yes","No")</f>
        <v>Yes</v>
      </c>
      <c r="F49" s="128" t="str">
        <f t="shared" si="15"/>
        <v>No</v>
      </c>
      <c r="G49" s="128" t="str">
        <f t="shared" si="15"/>
        <v>No</v>
      </c>
      <c r="H49" s="128" t="str">
        <f t="shared" si="15"/>
        <v>No</v>
      </c>
      <c r="I49" s="128" t="str">
        <f t="shared" si="15"/>
        <v>No</v>
      </c>
      <c r="J49" s="128" t="str">
        <f t="shared" si="15"/>
        <v>No</v>
      </c>
      <c r="K49" s="128" t="str">
        <f t="shared" si="15"/>
        <v>No</v>
      </c>
      <c r="N49" s="11"/>
      <c r="O49" s="11"/>
      <c r="P49" s="11"/>
    </row>
    <row r="50" spans="2:16">
      <c r="B50" s="73"/>
      <c r="C50" s="11"/>
      <c r="D50" s="128"/>
      <c r="E50" s="128"/>
      <c r="F50" s="128"/>
      <c r="G50" s="128"/>
      <c r="H50" s="128"/>
      <c r="I50" s="128"/>
      <c r="J50" s="128"/>
      <c r="K50" s="128"/>
      <c r="L50" s="128"/>
      <c r="M50" s="128"/>
      <c r="N50" s="11"/>
      <c r="O50" s="11"/>
      <c r="P50" s="11"/>
    </row>
    <row r="51" spans="2:16">
      <c r="B51" s="73"/>
      <c r="C51" s="74" t="s">
        <v>215</v>
      </c>
      <c r="D51" s="128"/>
      <c r="E51" s="128">
        <f t="shared" ref="E51:K51" si="16">G22</f>
        <v>14.285834815815257</v>
      </c>
      <c r="F51" s="128">
        <f t="shared" si="16"/>
        <v>17.500057816671035</v>
      </c>
      <c r="G51" s="128">
        <f t="shared" si="16"/>
        <v>29.796151166174056</v>
      </c>
      <c r="H51" s="128">
        <f t="shared" si="16"/>
        <v>-264.89256098416945</v>
      </c>
      <c r="I51" s="128">
        <f t="shared" si="16"/>
        <v>-19.211168140421684</v>
      </c>
      <c r="J51" s="128">
        <f t="shared" si="16"/>
        <v>42.794895230260671</v>
      </c>
      <c r="K51" s="128">
        <f t="shared" si="16"/>
        <v>86.588493517645148</v>
      </c>
      <c r="L51" s="128"/>
      <c r="M51" s="128"/>
      <c r="N51" s="11"/>
      <c r="O51" s="11"/>
      <c r="P51" s="11"/>
    </row>
    <row r="52" spans="2:16">
      <c r="B52" s="73"/>
      <c r="C52" s="74" t="s">
        <v>216</v>
      </c>
      <c r="D52" s="128"/>
      <c r="E52" s="94" t="s">
        <v>55</v>
      </c>
      <c r="F52" s="112">
        <f>DCF!F6/DCF!E6-1</f>
        <v>-1.1044497613712512E-3</v>
      </c>
      <c r="G52" s="112">
        <f>DCF!G6/DCF!F6-1</f>
        <v>0.15842245652342402</v>
      </c>
      <c r="H52" s="112">
        <f>DCF!H6/DCF!G6-1</f>
        <v>-5.1323943115661907E-2</v>
      </c>
      <c r="I52" s="112">
        <f>DCF!I6/DCF!H6-1</f>
        <v>-0.16239960580572033</v>
      </c>
      <c r="J52" s="112">
        <f>DCF!J6/DCF!I6-1</f>
        <v>0.11979377589518103</v>
      </c>
      <c r="K52" s="112">
        <f>DCF!K6/DCF!J6-1</f>
        <v>-1.025544640211562E-2</v>
      </c>
      <c r="L52" s="128"/>
      <c r="M52" s="128"/>
      <c r="N52" s="11"/>
      <c r="O52" s="11"/>
      <c r="P52" s="11"/>
    </row>
    <row r="53" spans="2:16">
      <c r="B53" s="73"/>
      <c r="C53" s="74" t="s">
        <v>217</v>
      </c>
      <c r="D53" s="128"/>
      <c r="E53" s="94" t="s">
        <v>55</v>
      </c>
      <c r="F53" s="112">
        <f>IFERROR(('Annual Fins'!H12/'Annual Fins'!D12)^(1/5)-1,"-")</f>
        <v>0.17879258075212889</v>
      </c>
      <c r="G53" s="112">
        <f>IFERROR(('Annual Fins'!I12/'Annual Fins'!E12)^(1/5)-1,"-")</f>
        <v>0.15664101422910726</v>
      </c>
      <c r="H53" s="112">
        <f>IFERROR(('Annual Fins'!J12/'Annual Fins'!F12)^(1/5)-1,"-")</f>
        <v>0.10607729995593074</v>
      </c>
      <c r="I53" s="112">
        <f>IFERROR(('Annual Fins'!K12/'Annual Fins'!G12)^(1/5)-1,"-")</f>
        <v>0.13882362835496265</v>
      </c>
      <c r="J53" s="112">
        <f>IFERROR(('Annual Fins'!L12/'Annual Fins'!H12)^(1/5)-1,"-")</f>
        <v>0.19899887677291672</v>
      </c>
      <c r="K53" s="112">
        <f>IFERROR(('Annual Fins'!M12/'Annual Fins'!I12)^(1/5)-1,"-")</f>
        <v>0.33350142292058349</v>
      </c>
      <c r="L53" s="128"/>
      <c r="M53" s="128"/>
      <c r="N53" s="11"/>
      <c r="O53" s="11"/>
      <c r="P53" s="11"/>
    </row>
    <row r="54" spans="2:16">
      <c r="B54" s="73"/>
      <c r="C54" s="74" t="s">
        <v>218</v>
      </c>
      <c r="D54" s="128"/>
      <c r="E54" s="94" t="s">
        <v>55</v>
      </c>
      <c r="F54" s="112">
        <f>F53+'Quarterly Fins'!H60</f>
        <v>1.7615240908564203</v>
      </c>
      <c r="G54" s="112">
        <f>G53+'Quarterly Fins'!I60</f>
        <v>7.7910860066915433</v>
      </c>
      <c r="H54" s="112">
        <f>H53+'Quarterly Fins'!J60</f>
        <v>0.16525773808041874</v>
      </c>
      <c r="I54" s="112" t="e">
        <f>I53+'Quarterly Fins'!K60</f>
        <v>#VALUE!</v>
      </c>
      <c r="J54" s="112">
        <f>J53+'Quarterly Fins'!L60</f>
        <v>1.7477793878869798</v>
      </c>
      <c r="K54" s="112" t="e">
        <f>K53+'Quarterly Fins'!M60</f>
        <v>#VALUE!</v>
      </c>
      <c r="L54" s="128"/>
      <c r="M54" s="128"/>
      <c r="N54" s="11"/>
      <c r="O54" s="11"/>
      <c r="P54" s="11"/>
    </row>
    <row r="55" spans="2:16">
      <c r="B55" s="73"/>
      <c r="C55" s="74" t="s">
        <v>219</v>
      </c>
      <c r="D55" s="11"/>
      <c r="E55" s="11"/>
      <c r="F55" s="144">
        <f t="shared" ref="F55:K55" si="17">F51/F52/100</f>
        <v>-158.45046491696911</v>
      </c>
      <c r="G55" s="144">
        <f t="shared" si="17"/>
        <v>1.8808035060211592</v>
      </c>
      <c r="H55" s="144">
        <f t="shared" si="17"/>
        <v>51.611888117640632</v>
      </c>
      <c r="I55" s="144">
        <f t="shared" si="17"/>
        <v>1.1829565746239634</v>
      </c>
      <c r="J55" s="144">
        <f t="shared" si="17"/>
        <v>3.5723805273243907</v>
      </c>
      <c r="K55" s="144">
        <f t="shared" si="17"/>
        <v>-84.431715717204284</v>
      </c>
      <c r="L55" s="11"/>
      <c r="M55" s="11"/>
      <c r="N55" s="11"/>
      <c r="O55" s="11"/>
      <c r="P55" s="11"/>
    </row>
    <row r="56" spans="2:16">
      <c r="B56" s="73"/>
      <c r="C56" s="74" t="s">
        <v>220</v>
      </c>
      <c r="D56" s="11"/>
      <c r="E56" s="11"/>
      <c r="F56" s="144">
        <f t="shared" ref="F56:K56" si="18">F51/(F52+F54)/100</f>
        <v>9.9408444487618444E-2</v>
      </c>
      <c r="G56" s="144">
        <f t="shared" si="18"/>
        <v>3.7481752870697355E-2</v>
      </c>
      <c r="H56" s="144">
        <f t="shared" si="18"/>
        <v>-23.249691723698724</v>
      </c>
      <c r="I56" s="144" t="e">
        <f t="shared" si="18"/>
        <v>#VALUE!</v>
      </c>
      <c r="J56" s="144">
        <f t="shared" si="18"/>
        <v>0.22914708810440154</v>
      </c>
      <c r="K56" s="144" t="e">
        <f t="shared" si="18"/>
        <v>#VALUE!</v>
      </c>
      <c r="L56" s="11"/>
      <c r="M56" s="11"/>
      <c r="N56" s="11"/>
      <c r="O56" s="11"/>
      <c r="P56" s="11"/>
    </row>
    <row r="57" spans="2:16">
      <c r="B57" s="73"/>
      <c r="C57" s="11"/>
      <c r="D57" s="11"/>
      <c r="E57" s="11"/>
      <c r="F57" s="11"/>
      <c r="G57" s="11"/>
      <c r="H57" s="11"/>
      <c r="I57" s="16"/>
      <c r="J57" s="16"/>
      <c r="K57" s="11"/>
      <c r="L57" s="11"/>
      <c r="M57" s="11"/>
      <c r="N57" s="11"/>
      <c r="O57" s="11"/>
      <c r="P57" s="11"/>
    </row>
    <row r="69" spans="3:14">
      <c r="C69" s="11"/>
      <c r="D69" s="43"/>
      <c r="E69" s="43"/>
      <c r="F69" s="43"/>
      <c r="G69" s="43"/>
      <c r="H69" s="43"/>
      <c r="I69" s="43"/>
      <c r="J69" s="43"/>
      <c r="K69" s="43"/>
      <c r="L69" s="43"/>
      <c r="M69" s="43"/>
      <c r="N69" s="43"/>
    </row>
    <row r="70" spans="3:14">
      <c r="C70" s="11"/>
      <c r="D70" s="43"/>
      <c r="E70" s="43"/>
      <c r="F70" s="43"/>
      <c r="G70" s="43"/>
      <c r="H70" s="43"/>
      <c r="I70" s="43"/>
      <c r="J70" s="43"/>
      <c r="K70" s="43"/>
      <c r="L70" s="43"/>
      <c r="M70" s="43"/>
      <c r="N70" s="43"/>
    </row>
    <row r="71" spans="3:14">
      <c r="C71" s="11"/>
      <c r="D71" s="164"/>
      <c r="E71" s="164"/>
      <c r="F71" s="164"/>
      <c r="G71" s="164"/>
      <c r="H71" s="164"/>
      <c r="I71" s="164"/>
      <c r="J71" s="164"/>
      <c r="K71" s="164"/>
      <c r="L71" s="164"/>
      <c r="M71" s="164"/>
      <c r="N71" s="164"/>
    </row>
  </sheetData>
  <mergeCells count="12">
    <mergeCell ref="E37:F37"/>
    <mergeCell ref="E36:F36"/>
    <mergeCell ref="E32:F32"/>
    <mergeCell ref="E33:F33"/>
    <mergeCell ref="E31:F31"/>
    <mergeCell ref="E34:F34"/>
    <mergeCell ref="E35:F35"/>
    <mergeCell ref="E38:F38"/>
    <mergeCell ref="E39:F39"/>
    <mergeCell ref="E40:F40"/>
    <mergeCell ref="E41:F41"/>
    <mergeCell ref="E42:F42"/>
  </mergeCells>
  <pageMargins left="0.7" right="0.7" top="0.75" bottom="0.75" header="0.3" footer="0.3"/>
  <pageSetup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4BF9-1E82-4562-A923-E0F5849AAD44}">
  <sheetPr>
    <pageSetUpPr fitToPage="1"/>
  </sheetPr>
  <dimension ref="A2:P70"/>
  <sheetViews>
    <sheetView showGridLines="0" view="pageBreakPreview" topLeftCell="A52" zoomScale="125" zoomScaleNormal="100" zoomScaleSheetLayoutView="115" workbookViewId="0">
      <selection activeCell="E53" sqref="E53:K54"/>
    </sheetView>
  </sheetViews>
  <sheetFormatPr baseColWidth="10" defaultColWidth="8.6640625" defaultRowHeight="13"/>
  <cols>
    <col min="1" max="1" width="2.5" style="74" customWidth="1"/>
    <col min="2" max="2" width="1.83203125" style="74" customWidth="1"/>
    <col min="3" max="3" width="44.1640625" style="74" bestFit="1" customWidth="1"/>
    <col min="4" max="4" width="8.6640625" style="74"/>
    <col min="5" max="11" width="13.5" style="74" customWidth="1"/>
    <col min="12" max="12" width="8.83203125" style="74" bestFit="1" customWidth="1"/>
    <col min="13" max="13" width="8.5" style="74" customWidth="1"/>
    <col min="14" max="14" width="6.5" style="74" customWidth="1"/>
    <col min="15" max="15" width="1.83203125" style="74" customWidth="1"/>
    <col min="16" max="16384" width="8.6640625" style="74"/>
  </cols>
  <sheetData>
    <row r="2" spans="1:16">
      <c r="A2" s="74" t="s">
        <v>4</v>
      </c>
      <c r="P2" s="74" t="s">
        <v>4</v>
      </c>
    </row>
    <row r="4" spans="1:16">
      <c r="C4" s="84" t="s">
        <v>221</v>
      </c>
      <c r="D4" s="85" t="s">
        <v>213</v>
      </c>
      <c r="E4" s="108">
        <f>Valuation!E46</f>
        <v>43004</v>
      </c>
      <c r="F4" s="108">
        <f>Valuation!F46</f>
        <v>43098</v>
      </c>
      <c r="G4" s="108">
        <f>Valuation!G46</f>
        <v>43188</v>
      </c>
      <c r="H4" s="108">
        <f>Valuation!H46</f>
        <v>43279</v>
      </c>
      <c r="I4" s="108">
        <f>Valuation!I46</f>
        <v>43370</v>
      </c>
      <c r="J4" s="108">
        <f>Valuation!J46</f>
        <v>43461</v>
      </c>
      <c r="K4" s="108">
        <f>Valuation!K46</f>
        <v>43552</v>
      </c>
      <c r="L4" s="146">
        <f>L7</f>
        <v>43685</v>
      </c>
      <c r="M4" s="146"/>
      <c r="N4" s="146"/>
    </row>
    <row r="5" spans="1:16">
      <c r="C5" s="11"/>
      <c r="D5" s="37"/>
      <c r="E5" s="37"/>
      <c r="F5" s="37"/>
      <c r="G5" s="37"/>
      <c r="H5" s="37"/>
      <c r="I5" s="37"/>
      <c r="J5" s="37"/>
      <c r="K5" s="37"/>
      <c r="L5" s="11"/>
      <c r="M5" s="11"/>
      <c r="N5" s="11"/>
    </row>
    <row r="6" spans="1:16">
      <c r="C6" s="11" t="s">
        <v>207</v>
      </c>
      <c r="D6" s="37"/>
      <c r="E6" s="232">
        <f>SUM('Quarterly Fins'!D12:G12)/Valuation!G11</f>
        <v>1072.075335023542</v>
      </c>
      <c r="F6" s="232">
        <f>SUM('Quarterly Fins'!E12:H12)/Valuation!H11</f>
        <v>1070.8912816756033</v>
      </c>
      <c r="G6" s="232">
        <f>SUM('Quarterly Fins'!F12:I12)/Valuation!I11</f>
        <v>1240.5445091881704</v>
      </c>
      <c r="H6" s="232">
        <f>SUM('Quarterly Fins'!G12:J12)/Valuation!J11</f>
        <v>1176.87487336615</v>
      </c>
      <c r="I6" s="232">
        <f>SUM('Quarterly Fins'!H12:K12)/Valuation!K11</f>
        <v>985.75085784883026</v>
      </c>
      <c r="J6" s="232">
        <f>SUM('Quarterly Fins'!I12:L12)/Valuation!L11</f>
        <v>1103.8376752024556</v>
      </c>
      <c r="K6" s="232">
        <f>SUM('Quarterly Fins'!J12:M12)/Valuation!M11</f>
        <v>1092.5173270877808</v>
      </c>
      <c r="L6" s="304" t="s">
        <v>314</v>
      </c>
      <c r="M6" s="305"/>
      <c r="N6" s="305"/>
    </row>
    <row r="7" spans="1:16">
      <c r="C7" s="11" t="s">
        <v>222</v>
      </c>
      <c r="D7" s="147"/>
      <c r="E7" s="232">
        <f>SUM('Quarterly Fins'!D55:G55)/Valuation!G11</f>
        <v>502.613739743959</v>
      </c>
      <c r="F7" s="232">
        <f>SUM('Quarterly Fins'!E55:H55)/Valuation!H11</f>
        <v>410.60693341594958</v>
      </c>
      <c r="G7" s="232">
        <f>SUM('Quarterly Fins'!F55:I55)/Valuation!I11</f>
        <v>375.68790898503698</v>
      </c>
      <c r="H7" s="232">
        <f>SUM('Quarterly Fins'!G55:J55)/Valuation!J11</f>
        <v>157.53615350865044</v>
      </c>
      <c r="I7" s="232">
        <f>SUM('Quarterly Fins'!H55:K55)/Valuation!K11</f>
        <v>124.49950971098687</v>
      </c>
      <c r="J7" s="232">
        <f>SUM('Quarterly Fins'!I55:L55)/Valuation!L11</f>
        <v>-1.4525949667584401</v>
      </c>
      <c r="K7" s="232">
        <f>SUM('Quarterly Fins'!J55:M55)/Valuation!M11</f>
        <v>81.295986002027888</v>
      </c>
      <c r="L7" s="308">
        <v>43685</v>
      </c>
      <c r="M7" s="308"/>
      <c r="N7" s="308"/>
    </row>
    <row r="8" spans="1:16">
      <c r="C8" s="11" t="s">
        <v>223</v>
      </c>
      <c r="D8" s="147"/>
      <c r="E8" s="232">
        <f>SUM('Quarterly Fins'!D50:G50)/Valuation!G11</f>
        <v>1173.4878667149583</v>
      </c>
      <c r="F8" s="232">
        <f>SUM('Quarterly Fins'!E50:H50)/Valuation!H11</f>
        <v>1039.8026246786924</v>
      </c>
      <c r="G8" s="232">
        <f>SUM('Quarterly Fins'!F50:I50)/Valuation!I11</f>
        <v>1139.9705525809184</v>
      </c>
      <c r="H8" s="232">
        <f>SUM('Quarterly Fins'!G50:J50)/Valuation!J11</f>
        <v>911.28998167726627</v>
      </c>
      <c r="I8" s="232">
        <f>SUM('Quarterly Fins'!H50:K50)/Valuation!K11</f>
        <v>781.9764485497866</v>
      </c>
      <c r="J8" s="232">
        <f>SUM('Quarterly Fins'!I50:L50)/Valuation!L11</f>
        <v>1141.2554455498812</v>
      </c>
      <c r="K8" s="232">
        <f>SUM('Quarterly Fins'!J50:M50)/Valuation!M11</f>
        <v>1102.3587848987681</v>
      </c>
      <c r="L8" s="11"/>
      <c r="M8" s="11"/>
      <c r="N8" s="11"/>
    </row>
    <row r="9" spans="1:16">
      <c r="C9" s="11" t="s">
        <v>224</v>
      </c>
      <c r="D9" s="147"/>
      <c r="E9" s="232">
        <f>-SUM('Quarterly Fins'!D56:G56)/Valuation!G11</f>
        <v>1.0266735491819408</v>
      </c>
      <c r="F9" s="232">
        <f>-SUM('Quarterly Fins'!E56:H56)/Valuation!H11</f>
        <v>225.47344313330635</v>
      </c>
      <c r="G9" s="232">
        <f>-SUM('Quarterly Fins'!F56:I56)/Valuation!I11</f>
        <v>1397.0645907195951</v>
      </c>
      <c r="H9" s="232">
        <f>-SUM('Quarterly Fins'!G56:J56)/Valuation!J11</f>
        <v>1030.8542008912107</v>
      </c>
      <c r="I9" s="232">
        <f>-SUM('Quarterly Fins'!H56:K56)/Valuation!K11</f>
        <v>710.31013134221166</v>
      </c>
      <c r="J9" s="232">
        <f>-SUM('Quarterly Fins'!I56:L56)/Valuation!L11</f>
        <v>918.09381880491787</v>
      </c>
      <c r="K9" s="232">
        <f>-SUM('Quarterly Fins'!J56:M56)/Valuation!M11</f>
        <v>235.15539684985561</v>
      </c>
      <c r="L9" s="11"/>
      <c r="M9" s="11"/>
      <c r="N9" s="11"/>
    </row>
    <row r="10" spans="1:16">
      <c r="C10" s="11"/>
      <c r="D10" s="147"/>
      <c r="E10" s="111"/>
      <c r="F10" s="124"/>
      <c r="G10" s="124"/>
      <c r="H10" s="124"/>
      <c r="I10" s="124"/>
      <c r="J10" s="124"/>
      <c r="K10" s="124"/>
      <c r="L10" s="11"/>
      <c r="M10" s="11"/>
      <c r="N10" s="11"/>
    </row>
    <row r="11" spans="1:16">
      <c r="C11" s="11" t="s">
        <v>225</v>
      </c>
      <c r="D11" s="37"/>
      <c r="E11" s="111"/>
      <c r="F11" s="99">
        <f t="shared" ref="F11:K13" si="0">F6/E6-1</f>
        <v>-1.1044497613712512E-3</v>
      </c>
      <c r="G11" s="99">
        <f t="shared" si="0"/>
        <v>0.15842245652342402</v>
      </c>
      <c r="H11" s="99">
        <f t="shared" si="0"/>
        <v>-5.1323943115661907E-2</v>
      </c>
      <c r="I11" s="99">
        <f t="shared" si="0"/>
        <v>-0.16239960580572033</v>
      </c>
      <c r="J11" s="99">
        <f t="shared" si="0"/>
        <v>0.11979377589518103</v>
      </c>
      <c r="K11" s="99">
        <f t="shared" si="0"/>
        <v>-1.025544640211562E-2</v>
      </c>
      <c r="L11" s="11"/>
      <c r="M11" s="11"/>
      <c r="N11" s="11"/>
    </row>
    <row r="12" spans="1:16">
      <c r="C12" s="11" t="s">
        <v>226</v>
      </c>
      <c r="D12" s="11"/>
      <c r="E12" s="148"/>
      <c r="F12" s="99">
        <f t="shared" si="0"/>
        <v>-0.183056687576586</v>
      </c>
      <c r="G12" s="99">
        <f t="shared" si="0"/>
        <v>-8.5042461753901288E-2</v>
      </c>
      <c r="H12" s="99">
        <f t="shared" si="0"/>
        <v>-0.58067281447983765</v>
      </c>
      <c r="I12" s="99">
        <f t="shared" si="0"/>
        <v>-0.20970833082991014</v>
      </c>
      <c r="J12" s="99">
        <f t="shared" si="0"/>
        <v>-1.0116674753991441</v>
      </c>
      <c r="K12" s="99">
        <f t="shared" si="0"/>
        <v>-56.966038615323825</v>
      </c>
      <c r="L12" s="11"/>
      <c r="M12" s="11"/>
      <c r="N12" s="11"/>
    </row>
    <row r="13" spans="1:16">
      <c r="C13" s="11" t="s">
        <v>227</v>
      </c>
      <c r="F13" s="99">
        <f t="shared" si="0"/>
        <v>-0.11392128187102779</v>
      </c>
      <c r="G13" s="99">
        <f t="shared" si="0"/>
        <v>9.6333597862554576E-2</v>
      </c>
      <c r="H13" s="99">
        <f t="shared" si="0"/>
        <v>-0.20060217378941436</v>
      </c>
      <c r="I13" s="99">
        <f t="shared" si="0"/>
        <v>-0.14190162925907823</v>
      </c>
      <c r="J13" s="99">
        <f t="shared" si="0"/>
        <v>0.45944989477163278</v>
      </c>
      <c r="K13" s="99">
        <f t="shared" si="0"/>
        <v>-3.4082343968463436E-2</v>
      </c>
      <c r="L13" s="11"/>
      <c r="M13" s="11"/>
      <c r="N13" s="11"/>
    </row>
    <row r="14" spans="1:16">
      <c r="C14" s="119"/>
      <c r="D14" s="11"/>
      <c r="E14" s="148"/>
      <c r="F14" s="148"/>
      <c r="G14" s="148"/>
      <c r="H14" s="148"/>
      <c r="I14" s="148"/>
      <c r="J14" s="148"/>
      <c r="K14" s="148"/>
      <c r="L14" s="11"/>
      <c r="M14" s="11"/>
      <c r="N14" s="11"/>
    </row>
    <row r="15" spans="1:16">
      <c r="C15" s="119" t="s">
        <v>27</v>
      </c>
      <c r="D15" s="11"/>
      <c r="E15" s="148"/>
      <c r="F15" s="148"/>
      <c r="G15" s="148"/>
      <c r="H15" s="148"/>
      <c r="I15" s="148"/>
      <c r="J15" s="148"/>
      <c r="K15" s="148"/>
      <c r="L15" s="11"/>
      <c r="M15" s="11"/>
      <c r="N15" s="11"/>
    </row>
    <row r="16" spans="1:16">
      <c r="C16" s="11" t="s">
        <v>228</v>
      </c>
      <c r="D16" s="11"/>
      <c r="E16" s="267">
        <v>0.05</v>
      </c>
      <c r="F16" s="267">
        <v>0.05</v>
      </c>
      <c r="G16" s="267">
        <v>0.05</v>
      </c>
      <c r="H16" s="267">
        <v>0.05</v>
      </c>
      <c r="I16" s="267">
        <v>0.05</v>
      </c>
      <c r="J16" s="267">
        <v>0.05</v>
      </c>
      <c r="K16" s="267">
        <v>0.05</v>
      </c>
      <c r="L16" s="11"/>
      <c r="M16" s="11"/>
      <c r="N16" s="11"/>
    </row>
    <row r="17" spans="3:14">
      <c r="C17" s="11" t="s">
        <v>229</v>
      </c>
      <c r="D17" s="11"/>
      <c r="E17" s="267">
        <v>0.05</v>
      </c>
      <c r="F17" s="267">
        <v>0.05</v>
      </c>
      <c r="G17" s="267">
        <v>0.05</v>
      </c>
      <c r="H17" s="267">
        <v>0.05</v>
      </c>
      <c r="I17" s="267">
        <v>0.05</v>
      </c>
      <c r="J17" s="267">
        <v>0.05</v>
      </c>
      <c r="K17" s="267">
        <v>0.05</v>
      </c>
      <c r="L17" s="11"/>
      <c r="M17" s="11"/>
      <c r="N17" s="11"/>
    </row>
    <row r="18" spans="3:14">
      <c r="C18" s="11" t="s">
        <v>230</v>
      </c>
      <c r="D18" s="11"/>
      <c r="E18" s="267">
        <v>0.02</v>
      </c>
      <c r="F18" s="267">
        <v>0.02</v>
      </c>
      <c r="G18" s="267">
        <v>0.02</v>
      </c>
      <c r="H18" s="267">
        <v>0.02</v>
      </c>
      <c r="I18" s="267">
        <v>0.02</v>
      </c>
      <c r="J18" s="267">
        <v>0.02</v>
      </c>
      <c r="K18" s="267">
        <v>0.02</v>
      </c>
      <c r="L18" s="11"/>
      <c r="M18" s="11"/>
      <c r="N18" s="11"/>
    </row>
    <row r="19" spans="3:14">
      <c r="C19" s="11" t="s">
        <v>231</v>
      </c>
      <c r="D19" s="11"/>
      <c r="E19" s="267">
        <v>0.1</v>
      </c>
      <c r="F19" s="267">
        <v>0.1</v>
      </c>
      <c r="G19" s="267">
        <v>0.1</v>
      </c>
      <c r="H19" s="267">
        <v>0.1</v>
      </c>
      <c r="I19" s="267">
        <v>0.1</v>
      </c>
      <c r="J19" s="267">
        <v>0.1</v>
      </c>
      <c r="K19" s="267">
        <v>0.1</v>
      </c>
      <c r="L19" s="11"/>
      <c r="M19" s="11"/>
      <c r="N19" s="11"/>
    </row>
    <row r="20" spans="3:14">
      <c r="C20" s="16"/>
      <c r="D20" s="11"/>
      <c r="E20" s="149"/>
      <c r="F20" s="149"/>
      <c r="G20" s="149"/>
      <c r="H20" s="149"/>
      <c r="I20" s="149"/>
      <c r="J20" s="149"/>
      <c r="K20" s="149"/>
      <c r="L20" s="11"/>
      <c r="M20" s="11"/>
      <c r="N20" s="11"/>
    </row>
    <row r="21" spans="3:14">
      <c r="C21" s="16" t="s">
        <v>232</v>
      </c>
      <c r="D21" s="11"/>
      <c r="E21" s="266">
        <f t="shared" ref="E21:K21" si="1">(E24*E22)+(E28*(1-E29)*E23)</f>
        <v>7.4877373840431624E-2</v>
      </c>
      <c r="F21" s="266">
        <f t="shared" si="1"/>
        <v>7.1980173804949255E-2</v>
      </c>
      <c r="G21" s="266">
        <f t="shared" si="1"/>
        <v>6.3274196828576768E-2</v>
      </c>
      <c r="H21" s="266">
        <f t="shared" si="1"/>
        <v>0.13454218400423834</v>
      </c>
      <c r="I21" s="266">
        <f t="shared" si="1"/>
        <v>0.25370791654567892</v>
      </c>
      <c r="J21" s="266">
        <f t="shared" si="1"/>
        <v>6.2597189723081051E-2</v>
      </c>
      <c r="K21" s="266">
        <f t="shared" si="1"/>
        <v>6.1131818481275413E-2</v>
      </c>
      <c r="L21" s="11"/>
      <c r="M21" s="11"/>
      <c r="N21" s="11"/>
    </row>
    <row r="22" spans="3:14">
      <c r="C22" s="74" t="s">
        <v>233</v>
      </c>
      <c r="D22" s="11"/>
      <c r="E22" s="313">
        <f t="shared" ref="E22:K22" si="2">1-E23</f>
        <v>0.65894169311709205</v>
      </c>
      <c r="F22" s="313">
        <f t="shared" si="2"/>
        <v>0.64110441686948882</v>
      </c>
      <c r="G22" s="313">
        <f t="shared" si="2"/>
        <v>0.60837737156718363</v>
      </c>
      <c r="H22" s="313">
        <f t="shared" si="2"/>
        <v>0.84355912617619544</v>
      </c>
      <c r="I22" s="313">
        <f t="shared" si="2"/>
        <v>0.762499061475444</v>
      </c>
      <c r="J22" s="313">
        <f t="shared" si="2"/>
        <v>0.64679629629629631</v>
      </c>
      <c r="K22" s="313">
        <f t="shared" si="2"/>
        <v>0.76018893506907825</v>
      </c>
      <c r="L22" s="11"/>
      <c r="M22" s="11"/>
      <c r="N22" s="11"/>
    </row>
    <row r="23" spans="3:14">
      <c r="C23" s="74" t="s">
        <v>234</v>
      </c>
      <c r="D23" s="11"/>
      <c r="E23" s="314">
        <f>'Quarterly Fins'!F31/'Quarterly Fins'!F34</f>
        <v>0.34105830688290795</v>
      </c>
      <c r="F23" s="314">
        <f>'Quarterly Fins'!G31/'Quarterly Fins'!G34</f>
        <v>0.35889558313051112</v>
      </c>
      <c r="G23" s="314">
        <f>'Quarterly Fins'!H31/'Quarterly Fins'!H34</f>
        <v>0.39162262843281642</v>
      </c>
      <c r="H23" s="314">
        <f>'Quarterly Fins'!I31/'Quarterly Fins'!I34</f>
        <v>0.15644087382380453</v>
      </c>
      <c r="I23" s="314">
        <f>'Quarterly Fins'!J31/'Quarterly Fins'!J34</f>
        <v>0.23750093852455598</v>
      </c>
      <c r="J23" s="314">
        <f>'Quarterly Fins'!K31/'Quarterly Fins'!K34</f>
        <v>0.35320370370370369</v>
      </c>
      <c r="K23" s="314">
        <f>'Quarterly Fins'!L31/'Quarterly Fins'!L34</f>
        <v>0.23981106493092172</v>
      </c>
      <c r="L23" s="11"/>
      <c r="M23" s="11"/>
      <c r="N23" s="11"/>
    </row>
    <row r="24" spans="3:14">
      <c r="C24" s="72" t="s">
        <v>392</v>
      </c>
      <c r="D24" s="11"/>
      <c r="E24" s="266">
        <f t="shared" ref="E24:K24" si="3">E26+E27*E25</f>
        <v>5.9400000000000001E-2</v>
      </c>
      <c r="F24" s="266">
        <f t="shared" si="3"/>
        <v>5.7700000000000001E-2</v>
      </c>
      <c r="G24" s="266">
        <f t="shared" si="3"/>
        <v>6.6599999999999993E-2</v>
      </c>
      <c r="H24" s="266">
        <f t="shared" si="3"/>
        <v>6.7199999999999996E-2</v>
      </c>
      <c r="I24" s="266">
        <f t="shared" si="3"/>
        <v>6.6799999999999998E-2</v>
      </c>
      <c r="J24" s="266">
        <f t="shared" si="3"/>
        <v>7.3599999999999999E-2</v>
      </c>
      <c r="K24" s="266">
        <f t="shared" si="3"/>
        <v>6.6900000000000001E-2</v>
      </c>
      <c r="L24" s="11"/>
      <c r="M24" s="11"/>
      <c r="N24" s="11"/>
    </row>
    <row r="25" spans="3:14">
      <c r="C25" s="74" t="s">
        <v>235</v>
      </c>
      <c r="D25" s="11"/>
      <c r="E25" s="150">
        <f>Valuation!P39</f>
        <v>1</v>
      </c>
      <c r="F25" s="150">
        <f t="shared" ref="F25:K25" si="4">E25</f>
        <v>1</v>
      </c>
      <c r="G25" s="150">
        <f t="shared" si="4"/>
        <v>1</v>
      </c>
      <c r="H25" s="150">
        <f t="shared" si="4"/>
        <v>1</v>
      </c>
      <c r="I25" s="150">
        <f t="shared" si="4"/>
        <v>1</v>
      </c>
      <c r="J25" s="150">
        <f t="shared" si="4"/>
        <v>1</v>
      </c>
      <c r="K25" s="150">
        <f t="shared" si="4"/>
        <v>1</v>
      </c>
      <c r="L25" s="11"/>
      <c r="M25" s="11"/>
      <c r="N25" s="11"/>
    </row>
    <row r="26" spans="3:14">
      <c r="C26" s="74" t="s">
        <v>237</v>
      </c>
      <c r="D26" s="11"/>
      <c r="E26" s="267">
        <v>2.3300000000000001E-2</v>
      </c>
      <c r="F26" s="267">
        <v>2.4E-2</v>
      </c>
      <c r="G26" s="267">
        <v>2.7400000000000001E-2</v>
      </c>
      <c r="H26" s="267">
        <v>2.8500000000000001E-2</v>
      </c>
      <c r="I26" s="267">
        <v>3.0499999999999999E-2</v>
      </c>
      <c r="J26" s="267">
        <v>2.69E-2</v>
      </c>
      <c r="K26" s="267">
        <v>2.41E-2</v>
      </c>
      <c r="L26" s="11"/>
      <c r="M26" s="11"/>
      <c r="N26" s="11"/>
    </row>
    <row r="27" spans="3:14">
      <c r="C27" s="74" t="s">
        <v>238</v>
      </c>
      <c r="D27" s="11"/>
      <c r="E27" s="267">
        <v>3.61E-2</v>
      </c>
      <c r="F27" s="267">
        <v>3.3700000000000001E-2</v>
      </c>
      <c r="G27" s="267">
        <v>3.9199999999999999E-2</v>
      </c>
      <c r="H27" s="267">
        <v>3.8699999999999998E-2</v>
      </c>
      <c r="I27" s="267">
        <v>3.6299999999999999E-2</v>
      </c>
      <c r="J27" s="267">
        <v>4.6699999999999998E-2</v>
      </c>
      <c r="K27" s="267">
        <v>4.2799999999999998E-2</v>
      </c>
      <c r="L27" s="11"/>
      <c r="M27" s="11"/>
      <c r="N27" s="11"/>
    </row>
    <row r="28" spans="3:14">
      <c r="C28" s="72" t="s">
        <v>393</v>
      </c>
      <c r="D28" s="11"/>
      <c r="E28" s="266">
        <f>SUM('Quarterly Fins'!D9:G9)/'Quarterly Fins'!G31</f>
        <v>0.16120066703724292</v>
      </c>
      <c r="F28" s="266">
        <f>SUM('Quarterly Fins'!E9:H9)/'Quarterly Fins'!H31</f>
        <v>0.14998340891494305</v>
      </c>
      <c r="G28" s="266">
        <f>SUM('Quarterly Fins'!F9:I9)/'Quarterly Fins'!I31</f>
        <v>8.3010903974674644E-2</v>
      </c>
      <c r="H28" s="266">
        <f>SUM('Quarterly Fins'!G9:J9)/'Quarterly Fins'!J31</f>
        <v>0.71094875127331481</v>
      </c>
      <c r="I28" s="266">
        <f>SUM('Quarterly Fins'!H9:K9)/'Quarterly Fins'!K31</f>
        <v>1.2196822733707335</v>
      </c>
      <c r="J28" s="266">
        <f>SUM('Quarterly Fins'!I9:L9)/'Quarterly Fins'!L31</f>
        <v>6.0640774546395181E-2</v>
      </c>
      <c r="K28" s="266">
        <f>SUM('Quarterly Fins'!J9:M9)/'Quarterly Fins'!M31</f>
        <v>6.1209964412811388E-2</v>
      </c>
      <c r="L28" s="11"/>
      <c r="M28" s="11"/>
      <c r="N28" s="11"/>
    </row>
    <row r="29" spans="3:14">
      <c r="C29" s="74" t="s">
        <v>239</v>
      </c>
      <c r="D29" s="11"/>
      <c r="E29" s="267">
        <v>0.35</v>
      </c>
      <c r="F29" s="267">
        <v>0.35</v>
      </c>
      <c r="G29" s="267">
        <v>0.3</v>
      </c>
      <c r="H29" s="267">
        <v>0.3</v>
      </c>
      <c r="I29" s="267">
        <v>0.3</v>
      </c>
      <c r="J29" s="267">
        <v>0.3</v>
      </c>
      <c r="K29" s="267">
        <v>0.3</v>
      </c>
      <c r="L29" s="11"/>
      <c r="M29" s="11"/>
      <c r="N29" s="11"/>
    </row>
    <row r="30" spans="3:14">
      <c r="C30" s="11"/>
      <c r="D30" s="151" t="s">
        <v>240</v>
      </c>
      <c r="E30" s="37"/>
      <c r="F30" s="37"/>
      <c r="G30" s="37"/>
      <c r="H30" s="37"/>
      <c r="I30" s="37"/>
      <c r="J30" s="37"/>
      <c r="K30" s="37"/>
      <c r="L30" s="309" t="s">
        <v>241</v>
      </c>
      <c r="M30" s="309"/>
      <c r="N30" s="309"/>
    </row>
    <row r="31" spans="3:14">
      <c r="C31" s="16" t="s">
        <v>242</v>
      </c>
      <c r="D31" s="152">
        <v>1</v>
      </c>
      <c r="E31" s="111">
        <f t="shared" ref="E31:K31" si="5">IF($L$31=$C$7,E7*(1+E$17),E8*(1+E$17))</f>
        <v>527.74442673115698</v>
      </c>
      <c r="F31" s="111">
        <f t="shared" si="5"/>
        <v>431.13728008674707</v>
      </c>
      <c r="G31" s="111">
        <f t="shared" si="5"/>
        <v>394.47230443428884</v>
      </c>
      <c r="H31" s="111">
        <f t="shared" si="5"/>
        <v>165.41296118408297</v>
      </c>
      <c r="I31" s="111">
        <f t="shared" si="5"/>
        <v>130.72448519653622</v>
      </c>
      <c r="J31" s="111">
        <f t="shared" si="5"/>
        <v>-1.5252247150963623</v>
      </c>
      <c r="K31" s="111">
        <f t="shared" si="5"/>
        <v>85.360785302129287</v>
      </c>
      <c r="L31" s="301" t="s">
        <v>222</v>
      </c>
      <c r="M31" s="301"/>
      <c r="N31" s="301"/>
    </row>
    <row r="32" spans="3:14">
      <c r="C32" s="11"/>
      <c r="D32" s="152">
        <v>2</v>
      </c>
      <c r="E32" s="111">
        <f t="shared" ref="E32:K35" si="6">E31*(1+E$17)</f>
        <v>554.13164806771488</v>
      </c>
      <c r="F32" s="111">
        <f t="shared" si="6"/>
        <v>452.69414409108447</v>
      </c>
      <c r="G32" s="111">
        <f t="shared" si="6"/>
        <v>414.1959196560033</v>
      </c>
      <c r="H32" s="111">
        <f t="shared" si="6"/>
        <v>173.68360924328712</v>
      </c>
      <c r="I32" s="111">
        <f t="shared" si="6"/>
        <v>137.26070945636303</v>
      </c>
      <c r="J32" s="111">
        <f t="shared" si="6"/>
        <v>-1.6014859508511805</v>
      </c>
      <c r="K32" s="111">
        <f t="shared" si="6"/>
        <v>89.628824567235753</v>
      </c>
      <c r="L32" s="11"/>
      <c r="M32" s="11"/>
      <c r="N32" s="11"/>
    </row>
    <row r="33" spans="3:14">
      <c r="C33" s="11"/>
      <c r="D33" s="152">
        <v>3</v>
      </c>
      <c r="E33" s="111">
        <f t="shared" si="6"/>
        <v>581.8382304711007</v>
      </c>
      <c r="F33" s="111">
        <f t="shared" si="6"/>
        <v>475.32885129563869</v>
      </c>
      <c r="G33" s="111">
        <f t="shared" si="6"/>
        <v>434.90571563880349</v>
      </c>
      <c r="H33" s="111">
        <f t="shared" si="6"/>
        <v>182.36778970545149</v>
      </c>
      <c r="I33" s="111">
        <f t="shared" si="6"/>
        <v>144.12374492918119</v>
      </c>
      <c r="J33" s="111">
        <f t="shared" si="6"/>
        <v>-1.6815602483937395</v>
      </c>
      <c r="K33" s="111">
        <f t="shared" si="6"/>
        <v>94.110265795597542</v>
      </c>
      <c r="L33" s="11"/>
      <c r="M33" s="307"/>
      <c r="N33" s="298"/>
    </row>
    <row r="34" spans="3:14">
      <c r="C34" s="11"/>
      <c r="D34" s="152">
        <v>4</v>
      </c>
      <c r="E34" s="111">
        <f t="shared" si="6"/>
        <v>610.93014199465574</v>
      </c>
      <c r="F34" s="111">
        <f t="shared" si="6"/>
        <v>499.09529386042067</v>
      </c>
      <c r="G34" s="111">
        <f t="shared" si="6"/>
        <v>456.65100142074368</v>
      </c>
      <c r="H34" s="111">
        <f t="shared" si="6"/>
        <v>191.48617919072407</v>
      </c>
      <c r="I34" s="111">
        <f t="shared" si="6"/>
        <v>151.32993217564024</v>
      </c>
      <c r="J34" s="111">
        <f t="shared" si="6"/>
        <v>-1.7656382608134267</v>
      </c>
      <c r="K34" s="111">
        <f t="shared" si="6"/>
        <v>98.815779085377429</v>
      </c>
      <c r="L34" s="11"/>
      <c r="M34" s="306"/>
      <c r="N34" s="298"/>
    </row>
    <row r="35" spans="3:14">
      <c r="C35" s="11"/>
      <c r="D35" s="152">
        <v>5</v>
      </c>
      <c r="E35" s="111">
        <f t="shared" si="6"/>
        <v>641.47664909438856</v>
      </c>
      <c r="F35" s="111">
        <f t="shared" si="6"/>
        <v>524.05005855344177</v>
      </c>
      <c r="G35" s="111">
        <f t="shared" si="6"/>
        <v>479.48355149178087</v>
      </c>
      <c r="H35" s="111">
        <f t="shared" si="6"/>
        <v>201.06048815026028</v>
      </c>
      <c r="I35" s="111">
        <f t="shared" si="6"/>
        <v>158.89642878442226</v>
      </c>
      <c r="J35" s="111">
        <f t="shared" si="6"/>
        <v>-1.853920173854098</v>
      </c>
      <c r="K35" s="111">
        <f t="shared" si="6"/>
        <v>103.75656803964631</v>
      </c>
      <c r="L35" s="11"/>
      <c r="M35" s="11"/>
      <c r="N35" s="11"/>
    </row>
    <row r="36" spans="3:14">
      <c r="C36" s="11"/>
      <c r="D36" s="152"/>
      <c r="E36" s="37"/>
      <c r="F36" s="37"/>
      <c r="G36" s="37"/>
      <c r="H36" s="37"/>
      <c r="I36" s="37"/>
      <c r="J36" s="37"/>
      <c r="K36" s="37"/>
      <c r="L36" s="11"/>
      <c r="M36" s="11"/>
      <c r="N36" s="11"/>
    </row>
    <row r="37" spans="3:14">
      <c r="C37" s="16" t="s">
        <v>244</v>
      </c>
      <c r="D37" s="152">
        <v>1</v>
      </c>
      <c r="E37" s="111">
        <f t="shared" ref="E37:J41" si="7">E31/((1+E$19)^$D31)</f>
        <v>479.76766066468815</v>
      </c>
      <c r="F37" s="111">
        <f t="shared" si="7"/>
        <v>391.94298189704278</v>
      </c>
      <c r="G37" s="111">
        <f t="shared" si="7"/>
        <v>358.61118584935349</v>
      </c>
      <c r="H37" s="111">
        <f t="shared" si="7"/>
        <v>150.37541925825724</v>
      </c>
      <c r="I37" s="111">
        <f t="shared" si="7"/>
        <v>118.8404410877602</v>
      </c>
      <c r="J37" s="111">
        <f t="shared" si="7"/>
        <v>-1.3865679228148746</v>
      </c>
      <c r="K37" s="111">
        <f>K31/((1+K$19)^$D31)</f>
        <v>77.600713911026617</v>
      </c>
      <c r="L37" s="11"/>
      <c r="M37" s="11"/>
      <c r="N37" s="11"/>
    </row>
    <row r="38" spans="3:14">
      <c r="C38" s="11"/>
      <c r="D38" s="152">
        <v>2</v>
      </c>
      <c r="E38" s="111">
        <f t="shared" si="7"/>
        <v>457.96003972538415</v>
      </c>
      <c r="F38" s="111">
        <f t="shared" si="7"/>
        <v>374.12739181081355</v>
      </c>
      <c r="G38" s="111">
        <f t="shared" si="7"/>
        <v>342.31067740165554</v>
      </c>
      <c r="H38" s="111">
        <f t="shared" si="7"/>
        <v>143.54017292833643</v>
      </c>
      <c r="I38" s="111">
        <f t="shared" si="7"/>
        <v>113.43860285649835</v>
      </c>
      <c r="J38" s="111">
        <f t="shared" si="7"/>
        <v>-1.3235421081414713</v>
      </c>
      <c r="K38" s="111">
        <f t="shared" ref="K38:K41" si="8">K32/((1+K$19)^$D32)</f>
        <v>74.073408733252677</v>
      </c>
      <c r="L38" s="11"/>
      <c r="M38" s="11"/>
      <c r="N38" s="11"/>
    </row>
    <row r="39" spans="3:14">
      <c r="C39" s="11"/>
      <c r="D39" s="152">
        <v>3</v>
      </c>
      <c r="E39" s="111">
        <f t="shared" si="7"/>
        <v>437.14367428332122</v>
      </c>
      <c r="F39" s="111">
        <f t="shared" si="7"/>
        <v>357.12160127395833</v>
      </c>
      <c r="G39" s="111">
        <f t="shared" si="7"/>
        <v>326.75110115612574</v>
      </c>
      <c r="H39" s="111">
        <f t="shared" si="7"/>
        <v>137.01561961341204</v>
      </c>
      <c r="I39" s="111">
        <f t="shared" si="7"/>
        <v>108.28230272665751</v>
      </c>
      <c r="J39" s="111">
        <f t="shared" si="7"/>
        <v>-1.2633811032259497</v>
      </c>
      <c r="K39" s="111">
        <f t="shared" si="8"/>
        <v>70.706435609013909</v>
      </c>
      <c r="L39" s="11"/>
      <c r="M39" s="11"/>
      <c r="N39" s="11"/>
    </row>
    <row r="40" spans="3:14">
      <c r="C40" s="11"/>
      <c r="D40" s="152">
        <v>4</v>
      </c>
      <c r="E40" s="111">
        <f t="shared" si="7"/>
        <v>417.27350727044296</v>
      </c>
      <c r="F40" s="111">
        <f t="shared" si="7"/>
        <v>340.88880121605121</v>
      </c>
      <c r="G40" s="111">
        <f t="shared" si="7"/>
        <v>311.89877837630189</v>
      </c>
      <c r="H40" s="111">
        <f t="shared" si="7"/>
        <v>130.7876369037115</v>
      </c>
      <c r="I40" s="111">
        <f t="shared" si="7"/>
        <v>103.3603798754458</v>
      </c>
      <c r="J40" s="111">
        <f t="shared" si="7"/>
        <v>-1.205954689442952</v>
      </c>
      <c r="K40" s="111">
        <f t="shared" si="8"/>
        <v>67.492506717695107</v>
      </c>
      <c r="L40" s="11"/>
      <c r="M40" s="11"/>
      <c r="N40" s="11"/>
    </row>
    <row r="41" spans="3:14">
      <c r="C41" s="11"/>
      <c r="D41" s="152">
        <v>5</v>
      </c>
      <c r="E41" s="111">
        <f t="shared" si="7"/>
        <v>398.30652966724102</v>
      </c>
      <c r="F41" s="111">
        <f t="shared" si="7"/>
        <v>325.39385570623068</v>
      </c>
      <c r="G41" s="111">
        <f t="shared" si="7"/>
        <v>297.72156117737904</v>
      </c>
      <c r="H41" s="111">
        <f t="shared" si="7"/>
        <v>124.84274431717917</v>
      </c>
      <c r="I41" s="111">
        <f t="shared" si="7"/>
        <v>98.662180790198263</v>
      </c>
      <c r="J41" s="111">
        <f t="shared" si="7"/>
        <v>-1.1511385671955452</v>
      </c>
      <c r="K41" s="111">
        <f t="shared" si="8"/>
        <v>64.424665503254417</v>
      </c>
      <c r="L41" s="11"/>
      <c r="M41" s="11"/>
      <c r="N41" s="11"/>
    </row>
    <row r="42" spans="3:14">
      <c r="C42" s="11"/>
      <c r="D42" s="11"/>
      <c r="E42" s="37"/>
      <c r="F42" s="37"/>
      <c r="G42" s="37"/>
      <c r="H42" s="37"/>
      <c r="I42" s="37"/>
      <c r="J42" s="37"/>
      <c r="K42" s="37"/>
      <c r="L42" s="11"/>
      <c r="M42" s="11"/>
      <c r="N42" s="11"/>
    </row>
    <row r="43" spans="3:14">
      <c r="C43" s="11" t="s">
        <v>245</v>
      </c>
      <c r="D43" s="11"/>
      <c r="E43" s="111">
        <f t="shared" ref="E43:J43" si="9">E35*(1+E18)/(E19-E18)</f>
        <v>8178.8272759534548</v>
      </c>
      <c r="F43" s="111">
        <f t="shared" si="9"/>
        <v>6681.6382465563829</v>
      </c>
      <c r="G43" s="111">
        <f t="shared" si="9"/>
        <v>6113.415281520206</v>
      </c>
      <c r="H43" s="111">
        <f t="shared" si="9"/>
        <v>2563.5212239158186</v>
      </c>
      <c r="I43" s="111">
        <f t="shared" si="9"/>
        <v>2025.9294670013837</v>
      </c>
      <c r="J43" s="111">
        <f t="shared" si="9"/>
        <v>-23.63748221663975</v>
      </c>
      <c r="K43" s="111">
        <f>K35*(1+K18)/(K19-K18)</f>
        <v>1322.8962425054904</v>
      </c>
      <c r="L43" s="11"/>
      <c r="M43" s="11"/>
      <c r="N43" s="11"/>
    </row>
    <row r="44" spans="3:14">
      <c r="C44" s="11" t="s">
        <v>246</v>
      </c>
      <c r="D44" s="11"/>
      <c r="E44" s="111">
        <f t="shared" ref="E44:K44" si="10">E43+SUM(E37:E41)</f>
        <v>10369.278687564532</v>
      </c>
      <c r="F44" s="111">
        <f t="shared" si="10"/>
        <v>8471.1128784604789</v>
      </c>
      <c r="G44" s="111">
        <f t="shared" si="10"/>
        <v>7750.7085854810211</v>
      </c>
      <c r="H44" s="111">
        <f t="shared" si="10"/>
        <v>3250.0828169367151</v>
      </c>
      <c r="I44" s="111">
        <f t="shared" si="10"/>
        <v>2568.5133743379438</v>
      </c>
      <c r="J44" s="111">
        <f t="shared" si="10"/>
        <v>-29.968066607460543</v>
      </c>
      <c r="K44" s="111">
        <f t="shared" si="10"/>
        <v>1677.1939729797332</v>
      </c>
      <c r="L44" s="11"/>
      <c r="M44" s="11"/>
      <c r="N44" s="11"/>
    </row>
    <row r="45" spans="3:14">
      <c r="C45" s="11" t="s">
        <v>247</v>
      </c>
      <c r="D45" s="16"/>
      <c r="E45" s="232">
        <f>'Quarterly Fins'!G31-'Quarterly Fins'!G22</f>
        <v>857</v>
      </c>
      <c r="F45" s="232">
        <f>'Quarterly Fins'!H31-'Quarterly Fins'!H22</f>
        <v>2784</v>
      </c>
      <c r="G45" s="232">
        <f>'Quarterly Fins'!I31-'Quarterly Fins'!I22</f>
        <v>8990</v>
      </c>
      <c r="H45" s="232">
        <f>'Quarterly Fins'!J31-'Quarterly Fins'!J22</f>
        <v>17206</v>
      </c>
      <c r="I45" s="232">
        <f>'Quarterly Fins'!K31-'Quarterly Fins'!K22</f>
        <v>21795</v>
      </c>
      <c r="J45" s="232">
        <f>'Quarterly Fins'!L31-'Quarterly Fins'!L22</f>
        <v>45860</v>
      </c>
      <c r="K45" s="232">
        <f>'Quarterly Fins'!M31-'Quarterly Fins'!M22</f>
        <v>56279</v>
      </c>
      <c r="L45" s="11"/>
      <c r="M45" s="11"/>
      <c r="N45" s="11"/>
    </row>
    <row r="46" spans="3:14">
      <c r="C46" s="16" t="s">
        <v>248</v>
      </c>
      <c r="D46" s="16"/>
      <c r="E46" s="109">
        <f t="shared" ref="E46:K46" si="11">E44-E45</f>
        <v>9512.2786875645324</v>
      </c>
      <c r="F46" s="109">
        <f t="shared" si="11"/>
        <v>5687.1128784604789</v>
      </c>
      <c r="G46" s="109">
        <f t="shared" si="11"/>
        <v>-1239.2914145189789</v>
      </c>
      <c r="H46" s="109">
        <f t="shared" si="11"/>
        <v>-13955.917183063284</v>
      </c>
      <c r="I46" s="109">
        <f t="shared" si="11"/>
        <v>-19226.486625662055</v>
      </c>
      <c r="J46" s="109">
        <f t="shared" si="11"/>
        <v>-45889.968066607464</v>
      </c>
      <c r="K46" s="109">
        <f t="shared" si="11"/>
        <v>-54601.80602702027</v>
      </c>
      <c r="L46" s="11"/>
      <c r="M46" s="11"/>
      <c r="N46" s="11"/>
    </row>
    <row r="47" spans="3:14">
      <c r="C47" s="11"/>
      <c r="D47" s="11"/>
      <c r="E47" s="111"/>
      <c r="F47" s="111"/>
      <c r="G47" s="111"/>
      <c r="H47" s="111"/>
      <c r="I47" s="111"/>
      <c r="J47" s="111"/>
      <c r="K47" s="111"/>
      <c r="L47" s="11"/>
      <c r="M47" s="11"/>
      <c r="N47" s="11"/>
    </row>
    <row r="48" spans="3:14">
      <c r="C48" s="11" t="s">
        <v>249</v>
      </c>
      <c r="D48" s="11"/>
      <c r="E48" s="111">
        <f t="shared" ref="E48:K48" si="12">E6*(1+E16)^5</f>
        <v>1368.2699837015573</v>
      </c>
      <c r="F48" s="111">
        <f t="shared" si="12"/>
        <v>1366.7587982445668</v>
      </c>
      <c r="G48" s="111">
        <f t="shared" si="12"/>
        <v>1583.284084537474</v>
      </c>
      <c r="H48" s="111">
        <f t="shared" si="12"/>
        <v>1502.0237022467397</v>
      </c>
      <c r="I48" s="111">
        <f t="shared" si="12"/>
        <v>1258.0956450910205</v>
      </c>
      <c r="J48" s="111">
        <f t="shared" si="12"/>
        <v>1408.8076728537576</v>
      </c>
      <c r="K48" s="111">
        <f t="shared" si="12"/>
        <v>1394.3597212739166</v>
      </c>
      <c r="L48" s="11"/>
      <c r="M48" s="11"/>
      <c r="N48" s="11"/>
    </row>
    <row r="49" spans="3:14">
      <c r="C49" s="11" t="s">
        <v>250</v>
      </c>
      <c r="D49" s="11"/>
      <c r="E49" s="264">
        <f>Valuation!G20</f>
        <v>5.4761273547031299</v>
      </c>
      <c r="F49" s="264">
        <f>Valuation!H20</f>
        <v>6.8462803184932204</v>
      </c>
      <c r="G49" s="264">
        <f>Valuation!I20</f>
        <v>11.251614281832735</v>
      </c>
      <c r="H49" s="264">
        <f>Valuation!J20</f>
        <v>7.890219142368788</v>
      </c>
      <c r="I49" s="264">
        <f>Valuation!K20</f>
        <v>8.6789380255502344</v>
      </c>
      <c r="J49" s="264">
        <f>Valuation!L20</f>
        <v>6.6386298367003773</v>
      </c>
      <c r="K49" s="264">
        <f>Valuation!M20</f>
        <v>6.8038172405975779</v>
      </c>
      <c r="L49" s="11"/>
      <c r="M49" s="11"/>
      <c r="N49" s="11"/>
    </row>
    <row r="50" spans="3:14">
      <c r="C50" s="11" t="s">
        <v>389</v>
      </c>
      <c r="D50" s="11"/>
      <c r="E50" s="111">
        <f t="shared" ref="E50:K50" si="13">E48*E49</f>
        <v>7492.820686367304</v>
      </c>
      <c r="F50" s="111">
        <f t="shared" si="13"/>
        <v>9357.2138605492237</v>
      </c>
      <c r="G50" s="111">
        <f t="shared" si="13"/>
        <v>17814.50181778031</v>
      </c>
      <c r="H50" s="111">
        <f t="shared" si="13"/>
        <v>11851.296167758863</v>
      </c>
      <c r="I50" s="111">
        <f t="shared" si="13"/>
        <v>10918.93413395961</v>
      </c>
      <c r="J50" s="111">
        <f t="shared" si="13"/>
        <v>9352.5526511793796</v>
      </c>
      <c r="K50" s="111">
        <f t="shared" si="13"/>
        <v>9486.9687111983076</v>
      </c>
      <c r="L50" s="11"/>
      <c r="M50" s="11"/>
      <c r="N50" s="11"/>
    </row>
    <row r="51" spans="3:14">
      <c r="C51" s="16" t="s">
        <v>390</v>
      </c>
      <c r="E51" s="109">
        <f t="shared" ref="E51:K51" si="14">E50-E45</f>
        <v>6635.820686367304</v>
      </c>
      <c r="F51" s="109">
        <f t="shared" si="14"/>
        <v>6573.2138605492237</v>
      </c>
      <c r="G51" s="109">
        <f t="shared" si="14"/>
        <v>8824.5018177803104</v>
      </c>
      <c r="H51" s="109">
        <f t="shared" si="14"/>
        <v>-5354.7038322411372</v>
      </c>
      <c r="I51" s="109">
        <f t="shared" si="14"/>
        <v>-10876.06586604039</v>
      </c>
      <c r="J51" s="109">
        <f t="shared" si="14"/>
        <v>-36507.44734882062</v>
      </c>
      <c r="K51" s="109">
        <f t="shared" si="14"/>
        <v>-46792.031288801692</v>
      </c>
      <c r="L51" s="11"/>
      <c r="M51" s="11"/>
      <c r="N51" s="11"/>
    </row>
    <row r="52" spans="3:14">
      <c r="C52" s="11"/>
      <c r="E52" s="37"/>
      <c r="F52" s="37"/>
      <c r="G52" s="37"/>
      <c r="H52" s="37"/>
      <c r="I52" s="37"/>
      <c r="J52" s="37"/>
      <c r="K52" s="37"/>
      <c r="L52" s="11"/>
      <c r="M52" s="11"/>
      <c r="N52" s="11"/>
    </row>
    <row r="53" spans="3:14">
      <c r="C53" s="11" t="s">
        <v>251</v>
      </c>
      <c r="E53" s="315">
        <f>Valuation!G10</f>
        <v>5870.8210684249407</v>
      </c>
      <c r="F53" s="315">
        <f>Valuation!H10</f>
        <v>7331.6219049816627</v>
      </c>
      <c r="G53" s="315">
        <f>Valuation!I10</f>
        <v>13958.128316830798</v>
      </c>
      <c r="H53" s="315">
        <f>Valuation!J10</f>
        <v>9285.8006540064398</v>
      </c>
      <c r="I53" s="315">
        <f>Valuation!K10</f>
        <v>8555.2706039029763</v>
      </c>
      <c r="J53" s="315">
        <f>Valuation!L10</f>
        <v>7327.9697254730017</v>
      </c>
      <c r="K53" s="315">
        <f>Valuation!M10</f>
        <v>7433.2882256914263</v>
      </c>
      <c r="L53" s="11"/>
      <c r="M53" s="11"/>
      <c r="N53" s="11"/>
    </row>
    <row r="54" spans="3:14">
      <c r="C54" s="16" t="s">
        <v>391</v>
      </c>
      <c r="E54" s="316">
        <f>Valuation!G8</f>
        <v>5821.9400000000005</v>
      </c>
      <c r="F54" s="316">
        <f>Valuation!H8</f>
        <v>7181.880000000001</v>
      </c>
      <c r="G54" s="316">
        <f>Valuation!I8</f>
        <v>13511.85</v>
      </c>
      <c r="H54" s="316">
        <f>Valuation!J8</f>
        <v>8658.7899999999991</v>
      </c>
      <c r="I54" s="316">
        <f>Valuation!K8</f>
        <v>8007.98</v>
      </c>
      <c r="J54" s="316">
        <f>Valuation!L8</f>
        <v>6094.34</v>
      </c>
      <c r="K54" s="316">
        <f>Valuation!M8</f>
        <v>6133.13</v>
      </c>
      <c r="L54" s="11"/>
      <c r="M54" s="11"/>
      <c r="N54" s="11"/>
    </row>
    <row r="55" spans="3:14">
      <c r="C55" s="11"/>
      <c r="D55" s="11"/>
      <c r="E55" s="11"/>
      <c r="F55" s="11"/>
      <c r="G55" s="16"/>
      <c r="H55" s="16"/>
      <c r="I55" s="11"/>
      <c r="J55" s="11"/>
      <c r="K55" s="11"/>
      <c r="L55" s="11"/>
      <c r="M55" s="11"/>
      <c r="N55" s="11"/>
    </row>
    <row r="56" spans="3:14">
      <c r="C56" s="11" t="s">
        <v>252</v>
      </c>
      <c r="D56" s="11"/>
      <c r="E56" s="155">
        <f>E46/Valuation!G6</f>
        <v>49.03236436888934</v>
      </c>
      <c r="F56" s="155">
        <f>F46/Valuation!H6</f>
        <v>29.315014837425149</v>
      </c>
      <c r="G56" s="155">
        <f>G46/Valuation!I6</f>
        <v>-2.8753861125730369</v>
      </c>
      <c r="H56" s="155">
        <f>H46/Valuation!J6</f>
        <v>-32.380318290170031</v>
      </c>
      <c r="I56" s="155">
        <f>I46/Valuation!K6</f>
        <v>-44.609017692951404</v>
      </c>
      <c r="J56" s="155">
        <f>J46/Valuation!L6</f>
        <v>-106.47324377403123</v>
      </c>
      <c r="K56" s="155">
        <f>K46/Valuation!M6</f>
        <v>-126.68632488867812</v>
      </c>
      <c r="L56" s="11"/>
      <c r="M56" s="11"/>
      <c r="N56" s="11"/>
    </row>
    <row r="57" spans="3:14">
      <c r="C57" s="11" t="s">
        <v>253</v>
      </c>
      <c r="D57" s="11"/>
      <c r="E57" s="155">
        <f>E51/Valuation!G6</f>
        <v>34.20526126993456</v>
      </c>
      <c r="F57" s="155">
        <f>F51/Valuation!H6</f>
        <v>33.882545672934143</v>
      </c>
      <c r="G57" s="155">
        <f>G51/Valuation!I6</f>
        <v>20.474482175824384</v>
      </c>
      <c r="H57" s="155">
        <f>H51/Valuation!J6</f>
        <v>-12.423906803343705</v>
      </c>
      <c r="I57" s="155">
        <f>I51/Valuation!K6</f>
        <v>-25.234491568539188</v>
      </c>
      <c r="J57" s="155">
        <f>J51/Valuation!L6</f>
        <v>-84.704054173597726</v>
      </c>
      <c r="K57" s="155">
        <f>K51/Valuation!M6</f>
        <v>-108.5661978858508</v>
      </c>
      <c r="L57" s="11"/>
      <c r="M57" s="11"/>
      <c r="N57" s="11"/>
    </row>
    <row r="58" spans="3:14">
      <c r="C58" s="11" t="s">
        <v>254</v>
      </c>
      <c r="D58" s="11"/>
      <c r="E58" s="265">
        <f>AVERAGE(E46,E51)/Valuation!G6</f>
        <v>41.61881281941195</v>
      </c>
      <c r="F58" s="265">
        <f>AVERAGE(F46,F51)/Valuation!H6</f>
        <v>31.598780255179644</v>
      </c>
      <c r="G58" s="265">
        <f>AVERAGE(G46,G51)/Valuation!I6</f>
        <v>8.7995480316256742</v>
      </c>
      <c r="H58" s="265">
        <f>AVERAGE(H46,H51)/Valuation!J6</f>
        <v>-22.402112546756872</v>
      </c>
      <c r="I58" s="265">
        <f>AVERAGE(I46,I51)/Valuation!K6</f>
        <v>-34.921754630745298</v>
      </c>
      <c r="J58" s="265">
        <f>AVERAGE(J46,J51)/Valuation!L6</f>
        <v>-95.588648973814486</v>
      </c>
      <c r="K58" s="265">
        <f>AVERAGE(K46,K51)/Valuation!M6</f>
        <v>-117.62626138726446</v>
      </c>
      <c r="L58" s="11"/>
      <c r="M58" s="11"/>
      <c r="N58" s="11"/>
    </row>
    <row r="59" spans="3:14">
      <c r="C59" s="16" t="s">
        <v>255</v>
      </c>
      <c r="D59" s="16"/>
      <c r="E59" s="248">
        <f>Valuation!G7</f>
        <v>30.01</v>
      </c>
      <c r="F59" s="248">
        <f>Valuation!H7</f>
        <v>37.020000000000003</v>
      </c>
      <c r="G59" s="248">
        <f>Valuation!I7</f>
        <v>31.35</v>
      </c>
      <c r="H59" s="248">
        <f>Valuation!J7</f>
        <v>20.09</v>
      </c>
      <c r="I59" s="248">
        <f>Valuation!K7</f>
        <v>18.579999999999998</v>
      </c>
      <c r="J59" s="248">
        <f>Valuation!L7</f>
        <v>14.14</v>
      </c>
      <c r="K59" s="248">
        <f>Valuation!M7</f>
        <v>14.23</v>
      </c>
      <c r="M59" s="11"/>
      <c r="N59" s="11"/>
    </row>
    <row r="60" spans="3:14">
      <c r="C60" s="11"/>
      <c r="D60" s="11"/>
      <c r="E60" s="156"/>
      <c r="F60" s="156"/>
      <c r="G60" s="156"/>
      <c r="H60" s="156"/>
      <c r="I60" s="156"/>
      <c r="J60" s="156"/>
      <c r="K60" s="156"/>
      <c r="L60" s="157"/>
      <c r="M60" s="11"/>
      <c r="N60" s="11"/>
    </row>
    <row r="61" spans="3:14">
      <c r="C61" s="156" t="s">
        <v>256</v>
      </c>
      <c r="D61" s="156"/>
      <c r="E61" s="43">
        <f>'Stock Info'!D7</f>
        <v>15.34</v>
      </c>
      <c r="H61" s="11" t="s">
        <v>257</v>
      </c>
      <c r="L61" s="122">
        <v>14.65</v>
      </c>
      <c r="N61" s="11"/>
    </row>
    <row r="62" spans="3:14">
      <c r="C62" s="11" t="s">
        <v>258</v>
      </c>
      <c r="D62" s="11"/>
      <c r="E62" s="122">
        <v>17.350000000000001</v>
      </c>
      <c r="H62" s="11" t="s">
        <v>259</v>
      </c>
      <c r="I62" s="156"/>
      <c r="J62" s="156"/>
      <c r="L62" s="122">
        <v>15.34</v>
      </c>
      <c r="N62" s="11"/>
    </row>
    <row r="63" spans="3:14">
      <c r="C63" s="158" t="s">
        <v>260</v>
      </c>
      <c r="D63" s="11"/>
      <c r="E63" s="122">
        <v>13.32</v>
      </c>
      <c r="H63" s="11" t="s">
        <v>261</v>
      </c>
      <c r="I63" s="144"/>
      <c r="J63" s="144"/>
      <c r="L63" s="122">
        <v>14.93</v>
      </c>
      <c r="M63" s="159" t="s">
        <v>564</v>
      </c>
      <c r="N63" s="11"/>
    </row>
    <row r="64" spans="3:14">
      <c r="C64" s="158" t="s">
        <v>262</v>
      </c>
      <c r="D64" s="11"/>
      <c r="E64" s="122">
        <v>22.62</v>
      </c>
      <c r="H64" s="11" t="s">
        <v>263</v>
      </c>
      <c r="I64" s="11"/>
      <c r="J64" s="11"/>
      <c r="L64" s="122">
        <v>16.53</v>
      </c>
      <c r="M64" s="159" t="s">
        <v>565</v>
      </c>
      <c r="N64" s="11"/>
    </row>
    <row r="65" spans="1:16">
      <c r="C65" s="11" t="s">
        <v>264</v>
      </c>
      <c r="D65" s="11"/>
      <c r="E65" s="160">
        <v>3.1</v>
      </c>
      <c r="G65" s="11"/>
      <c r="H65" s="11" t="s">
        <v>265</v>
      </c>
      <c r="L65" s="122">
        <v>18.079999999999998</v>
      </c>
      <c r="M65" s="157"/>
      <c r="N65" s="11"/>
    </row>
    <row r="66" spans="1:16" ht="14">
      <c r="C66" s="11" t="s">
        <v>381</v>
      </c>
      <c r="D66" s="11"/>
      <c r="E66" s="295" t="s">
        <v>563</v>
      </c>
      <c r="F66" s="11"/>
      <c r="G66" s="11"/>
      <c r="H66" s="11" t="s">
        <v>377</v>
      </c>
      <c r="I66" s="11"/>
      <c r="J66" s="11"/>
      <c r="K66" s="11"/>
      <c r="L66" s="112">
        <f>'Annual Fins'!P5</f>
        <v>0.38155301485096449</v>
      </c>
      <c r="M66" s="11"/>
      <c r="N66" s="11"/>
    </row>
    <row r="67" spans="1:16">
      <c r="A67" s="74" t="s">
        <v>4</v>
      </c>
      <c r="P67" s="74" t="s">
        <v>4</v>
      </c>
    </row>
    <row r="69" spans="1:16">
      <c r="F69" s="11"/>
      <c r="G69" s="12"/>
    </row>
    <row r="70" spans="1:16">
      <c r="F70" s="11"/>
      <c r="G70" s="12"/>
    </row>
  </sheetData>
  <mergeCells count="6">
    <mergeCell ref="L6:N6"/>
    <mergeCell ref="M34:N34"/>
    <mergeCell ref="M33:N33"/>
    <mergeCell ref="L7:N7"/>
    <mergeCell ref="L31:N31"/>
    <mergeCell ref="L30:N30"/>
  </mergeCells>
  <dataValidations disablePrompts="1" count="1">
    <dataValidation type="list" allowBlank="1" sqref="L31" xr:uid="{9C6CBA86-9D8F-4E1A-BC1B-18AFEC9B25BD}">
      <formula1>$C$7:$C$8</formula1>
    </dataValidation>
  </dataValidations>
  <pageMargins left="0.7" right="0.7" top="0.75" bottom="0.75" header="0.3" footer="0.3"/>
  <pageSetup scale="5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1A2F1-68A6-4726-B507-F257D4470842}">
  <sheetPr>
    <pageSetUpPr fitToPage="1"/>
  </sheetPr>
  <dimension ref="A2:N37"/>
  <sheetViews>
    <sheetView showGridLines="0" view="pageBreakPreview" zoomScaleNormal="100" zoomScaleSheetLayoutView="100" workbookViewId="0">
      <selection activeCell="O36" sqref="O36"/>
    </sheetView>
  </sheetViews>
  <sheetFormatPr baseColWidth="10" defaultColWidth="8.6640625" defaultRowHeight="13"/>
  <cols>
    <col min="1" max="1" width="2.6640625" style="63" customWidth="1"/>
    <col min="2" max="2" width="1.6640625" style="63" customWidth="1"/>
    <col min="3" max="3" width="33.6640625" style="63" bestFit="1" customWidth="1"/>
    <col min="4" max="4" width="12.1640625" style="63" customWidth="1"/>
    <col min="5" max="5" width="2.83203125" style="63" customWidth="1"/>
    <col min="6" max="6" width="13.5" style="63" bestFit="1" customWidth="1"/>
    <col min="7" max="7" width="13.33203125" style="63" bestFit="1" customWidth="1"/>
    <col min="8" max="8" width="13.5" style="63" bestFit="1" customWidth="1"/>
    <col min="9" max="9" width="2.5" style="63" customWidth="1"/>
    <col min="10" max="10" width="11.6640625" style="63" bestFit="1" customWidth="1"/>
    <col min="11" max="11" width="2.5" style="63" customWidth="1"/>
    <col min="12" max="12" width="15.5" style="63" customWidth="1"/>
    <col min="13" max="13" width="13.6640625" style="63" bestFit="1" customWidth="1"/>
    <col min="14" max="14" width="2.83203125" style="63" customWidth="1"/>
    <col min="15" max="16384" width="8.6640625" style="63"/>
  </cols>
  <sheetData>
    <row r="2" spans="1:14">
      <c r="A2" s="63" t="s">
        <v>4</v>
      </c>
      <c r="N2" s="63" t="s">
        <v>4</v>
      </c>
    </row>
    <row r="3" spans="1:14" ht="14" customHeight="1">
      <c r="B3" s="75"/>
      <c r="C3" s="58" t="s">
        <v>322</v>
      </c>
      <c r="D3" s="60" t="s">
        <v>304</v>
      </c>
      <c r="E3" s="217"/>
      <c r="F3" s="215" t="s">
        <v>266</v>
      </c>
      <c r="G3" s="60"/>
      <c r="H3" s="60"/>
      <c r="I3" s="60"/>
      <c r="J3" s="60"/>
      <c r="K3" s="218"/>
      <c r="L3" s="215" t="s">
        <v>347</v>
      </c>
      <c r="M3" s="60"/>
    </row>
    <row r="4" spans="1:14" ht="14" customHeight="1">
      <c r="B4" s="75"/>
      <c r="C4" s="216" t="s">
        <v>311</v>
      </c>
      <c r="D4" s="217">
        <v>431</v>
      </c>
      <c r="E4" s="217"/>
      <c r="F4" s="216" t="s">
        <v>274</v>
      </c>
      <c r="G4" s="75"/>
      <c r="H4" s="75"/>
      <c r="J4" s="218">
        <v>0.29210000000000003</v>
      </c>
      <c r="K4" s="218"/>
      <c r="L4" s="153" t="s">
        <v>349</v>
      </c>
      <c r="M4" s="47" t="s">
        <v>566</v>
      </c>
    </row>
    <row r="5" spans="1:14" ht="14" customHeight="1">
      <c r="B5" s="75"/>
      <c r="C5" s="216" t="s">
        <v>313</v>
      </c>
      <c r="D5" s="217">
        <v>431</v>
      </c>
      <c r="E5" s="217"/>
      <c r="F5" s="216" t="s">
        <v>276</v>
      </c>
      <c r="G5" s="75"/>
      <c r="H5" s="75"/>
      <c r="J5" s="218">
        <v>0.1077</v>
      </c>
      <c r="K5" s="218"/>
      <c r="L5" s="153" t="s">
        <v>350</v>
      </c>
      <c r="M5" s="278">
        <v>-0.33360000000000001</v>
      </c>
    </row>
    <row r="6" spans="1:14" ht="14" customHeight="1">
      <c r="B6" s="75"/>
      <c r="C6" s="216" t="s">
        <v>312</v>
      </c>
      <c r="D6" s="217">
        <v>0</v>
      </c>
      <c r="E6" s="217"/>
      <c r="F6" s="216" t="s">
        <v>278</v>
      </c>
      <c r="G6" s="75"/>
      <c r="H6" s="75"/>
      <c r="J6" s="218">
        <v>0.1522</v>
      </c>
      <c r="K6" s="218"/>
      <c r="L6" s="153" t="s">
        <v>150</v>
      </c>
      <c r="M6" s="296">
        <v>0.73</v>
      </c>
    </row>
    <row r="7" spans="1:14" ht="14" customHeight="1">
      <c r="B7" s="75"/>
      <c r="C7" s="45" t="s">
        <v>320</v>
      </c>
      <c r="D7" s="219">
        <f>VLOOKUP(MAX('Stock Price Data'!A:A),'Stock Price Data'!A:S,6)</f>
        <v>15.34</v>
      </c>
      <c r="E7" s="219"/>
      <c r="F7" s="216" t="s">
        <v>280</v>
      </c>
      <c r="G7" s="75"/>
      <c r="H7" s="75"/>
      <c r="J7" s="220">
        <v>93</v>
      </c>
      <c r="K7" s="220"/>
      <c r="L7" s="153" t="s">
        <v>348</v>
      </c>
      <c r="M7" s="49">
        <v>0</v>
      </c>
    </row>
    <row r="8" spans="1:14" ht="14" customHeight="1">
      <c r="B8" s="75"/>
      <c r="C8" s="75"/>
      <c r="D8" s="75"/>
      <c r="E8" s="75"/>
      <c r="F8" s="75"/>
      <c r="G8" s="75"/>
      <c r="H8" s="75"/>
      <c r="I8" s="75"/>
      <c r="J8" s="75"/>
      <c r="K8" s="75"/>
      <c r="L8" s="75"/>
    </row>
    <row r="9" spans="1:14" ht="14" customHeight="1">
      <c r="B9" s="75"/>
      <c r="C9" s="58" t="s">
        <v>267</v>
      </c>
      <c r="D9" s="60" t="s">
        <v>268</v>
      </c>
      <c r="E9" s="60"/>
      <c r="F9" s="60" t="s">
        <v>269</v>
      </c>
      <c r="G9" s="60" t="s">
        <v>272</v>
      </c>
      <c r="H9" s="60" t="s">
        <v>321</v>
      </c>
      <c r="I9" s="75"/>
      <c r="J9" s="58" t="s">
        <v>346</v>
      </c>
      <c r="K9" s="58"/>
      <c r="L9" s="58"/>
      <c r="M9" s="58"/>
    </row>
    <row r="10" spans="1:14" ht="14" customHeight="1">
      <c r="B10" s="75"/>
      <c r="C10" s="216" t="s">
        <v>275</v>
      </c>
      <c r="D10" s="217">
        <v>0</v>
      </c>
      <c r="E10" s="217"/>
      <c r="F10" s="220">
        <v>0</v>
      </c>
      <c r="G10" s="221">
        <f>D10/($D$4*1000000)</f>
        <v>0</v>
      </c>
      <c r="H10" s="222">
        <f>D10*$D$7/1000000</f>
        <v>0</v>
      </c>
      <c r="I10" s="75"/>
      <c r="J10" s="153" t="s">
        <v>333</v>
      </c>
      <c r="K10" s="153"/>
      <c r="L10" s="75"/>
      <c r="M10" s="227">
        <f>AVERAGE('Stock Price Data'!G2460:G2519)/1000000</f>
        <v>0.54280333333333342</v>
      </c>
    </row>
    <row r="11" spans="1:14" ht="14" customHeight="1">
      <c r="B11" s="75"/>
      <c r="C11" s="216" t="s">
        <v>277</v>
      </c>
      <c r="D11" s="217">
        <v>0</v>
      </c>
      <c r="E11" s="217"/>
      <c r="F11" s="220">
        <v>0</v>
      </c>
      <c r="G11" s="221">
        <f>D11/($D$4*1000000)</f>
        <v>0</v>
      </c>
      <c r="H11" s="222">
        <f>D11*$D$7/1000000</f>
        <v>0</v>
      </c>
      <c r="I11" s="75"/>
      <c r="J11" s="153" t="s">
        <v>334</v>
      </c>
      <c r="K11" s="153"/>
      <c r="L11" s="75"/>
      <c r="M11" s="52">
        <f>M10*D7</f>
        <v>8.3266031333333341</v>
      </c>
    </row>
    <row r="12" spans="1:14" ht="14" customHeight="1">
      <c r="B12" s="75"/>
      <c r="C12" s="216" t="s">
        <v>279</v>
      </c>
      <c r="D12" s="217">
        <v>0</v>
      </c>
      <c r="E12" s="217"/>
      <c r="F12" s="220">
        <v>0</v>
      </c>
      <c r="G12" s="221">
        <f>D12/($D$4*1000000)</f>
        <v>0</v>
      </c>
      <c r="H12" s="222">
        <f>D12*$D$7/1000000</f>
        <v>0</v>
      </c>
      <c r="I12" s="75"/>
      <c r="J12" s="153" t="s">
        <v>335</v>
      </c>
      <c r="K12" s="153"/>
      <c r="L12" s="75"/>
      <c r="M12" s="56">
        <f>M11/(D4*D7)</f>
        <v>1.2594044856921889E-3</v>
      </c>
    </row>
    <row r="13" spans="1:14" ht="14" customHeight="1">
      <c r="B13" s="75"/>
      <c r="C13" s="216" t="s">
        <v>281</v>
      </c>
      <c r="D13" s="217">
        <v>0</v>
      </c>
      <c r="E13" s="217"/>
      <c r="F13" s="220">
        <v>0</v>
      </c>
      <c r="G13" s="221">
        <f>D13/($D$4*1000000)</f>
        <v>0</v>
      </c>
      <c r="H13" s="222">
        <f>D13*$D$7/1000000</f>
        <v>0</v>
      </c>
      <c r="I13" s="75"/>
      <c r="J13" s="153" t="s">
        <v>156</v>
      </c>
      <c r="K13" s="153"/>
      <c r="M13" s="57" t="s">
        <v>563</v>
      </c>
    </row>
    <row r="14" spans="1:14" ht="14" customHeight="1">
      <c r="B14" s="75"/>
      <c r="C14" s="45" t="s">
        <v>378</v>
      </c>
      <c r="D14" s="223">
        <v>629160000</v>
      </c>
      <c r="E14" s="223"/>
      <c r="F14" s="228" t="s">
        <v>55</v>
      </c>
      <c r="G14" s="221">
        <f>D14/($D$4*1000000)</f>
        <v>1.4597679814385152</v>
      </c>
      <c r="H14" s="222">
        <f>D14*$D$7/1000000</f>
        <v>9651.3143999999993</v>
      </c>
      <c r="I14" s="75"/>
    </row>
    <row r="15" spans="1:14" ht="14" customHeight="1">
      <c r="B15" s="75"/>
      <c r="C15" s="75"/>
      <c r="D15" s="75"/>
      <c r="E15" s="75"/>
      <c r="F15" s="75"/>
      <c r="G15" s="75"/>
      <c r="H15" s="75"/>
      <c r="I15" s="75"/>
    </row>
    <row r="16" spans="1:14" ht="14" customHeight="1">
      <c r="B16" s="75"/>
      <c r="C16" s="58" t="s">
        <v>282</v>
      </c>
      <c r="D16" s="60" t="s">
        <v>268</v>
      </c>
      <c r="E16" s="60"/>
      <c r="F16" s="60" t="s">
        <v>271</v>
      </c>
      <c r="G16" s="60" t="s">
        <v>272</v>
      </c>
      <c r="H16" s="60" t="s">
        <v>273</v>
      </c>
      <c r="I16" s="75"/>
      <c r="J16" s="58" t="s">
        <v>387</v>
      </c>
      <c r="K16" s="58"/>
      <c r="L16" s="58"/>
      <c r="M16" s="58"/>
    </row>
    <row r="17" spans="2:13" ht="14" customHeight="1">
      <c r="B17" s="75"/>
      <c r="C17" s="216" t="s">
        <v>567</v>
      </c>
      <c r="D17" s="217">
        <v>580178</v>
      </c>
      <c r="E17" s="217"/>
      <c r="F17" s="224">
        <v>43372</v>
      </c>
      <c r="G17" s="218">
        <v>8.8000000000000005E-3</v>
      </c>
      <c r="H17" s="274">
        <v>10106700</v>
      </c>
      <c r="I17" s="75"/>
      <c r="J17" s="260" t="s">
        <v>388</v>
      </c>
    </row>
    <row r="18" spans="2:13" ht="14" customHeight="1">
      <c r="B18" s="75"/>
      <c r="C18" s="216" t="s">
        <v>568</v>
      </c>
      <c r="D18" s="217">
        <v>406859</v>
      </c>
      <c r="E18" s="217"/>
      <c r="F18" s="224">
        <v>43584</v>
      </c>
      <c r="G18" s="218">
        <v>6.1999999999999998E-3</v>
      </c>
      <c r="H18" s="274">
        <v>5350195</v>
      </c>
      <c r="I18" s="75"/>
      <c r="J18" s="75" t="s">
        <v>388</v>
      </c>
      <c r="K18" s="75"/>
      <c r="L18" s="75"/>
    </row>
    <row r="19" spans="2:13" ht="14" customHeight="1">
      <c r="B19" s="75"/>
      <c r="C19" s="216" t="s">
        <v>569</v>
      </c>
      <c r="D19" s="217">
        <v>309187</v>
      </c>
      <c r="E19" s="217"/>
      <c r="F19" s="224">
        <v>43403</v>
      </c>
      <c r="G19" s="218">
        <v>4.7000000000000002E-3</v>
      </c>
      <c r="H19" s="274">
        <v>5599376</v>
      </c>
      <c r="I19" s="75"/>
      <c r="J19" s="260" t="s">
        <v>388</v>
      </c>
      <c r="K19" s="153"/>
      <c r="L19" s="75"/>
    </row>
    <row r="20" spans="2:13" ht="14" customHeight="1">
      <c r="B20" s="75"/>
      <c r="C20" s="216" t="s">
        <v>570</v>
      </c>
      <c r="D20" s="217">
        <v>250426</v>
      </c>
      <c r="E20" s="217"/>
      <c r="F20" s="224">
        <v>40297</v>
      </c>
      <c r="G20" s="218">
        <v>3.8E-3</v>
      </c>
      <c r="H20" s="274">
        <v>3293101</v>
      </c>
      <c r="I20" s="75"/>
      <c r="K20" s="153"/>
      <c r="L20" s="145"/>
    </row>
    <row r="21" spans="2:13" ht="14" customHeight="1">
      <c r="B21" s="75"/>
      <c r="C21" s="216" t="s">
        <v>571</v>
      </c>
      <c r="D21" s="217">
        <v>70288</v>
      </c>
      <c r="E21" s="217"/>
      <c r="F21" s="224">
        <v>43403</v>
      </c>
      <c r="G21" s="218">
        <v>1.1000000000000001E-3</v>
      </c>
      <c r="H21" s="274">
        <v>1272915</v>
      </c>
      <c r="I21" s="75"/>
      <c r="K21" s="153"/>
      <c r="L21" s="75"/>
    </row>
    <row r="22" spans="2:13" ht="14" customHeight="1">
      <c r="B22" s="75"/>
      <c r="C22" s="216"/>
      <c r="D22" s="75"/>
      <c r="E22" s="75"/>
      <c r="F22" s="225"/>
      <c r="G22" s="221"/>
      <c r="H22" s="211"/>
      <c r="I22" s="75"/>
      <c r="J22" s="153"/>
      <c r="K22" s="153"/>
      <c r="L22" s="75"/>
      <c r="M22" s="48"/>
    </row>
    <row r="23" spans="2:13" ht="14" customHeight="1">
      <c r="B23" s="75"/>
      <c r="C23" s="58" t="s">
        <v>283</v>
      </c>
      <c r="D23" s="60" t="s">
        <v>268</v>
      </c>
      <c r="E23" s="60"/>
      <c r="F23" s="60" t="s">
        <v>271</v>
      </c>
      <c r="G23" s="60" t="s">
        <v>272</v>
      </c>
      <c r="H23" s="60" t="s">
        <v>273</v>
      </c>
      <c r="I23" s="75"/>
      <c r="K23" s="153"/>
      <c r="L23" s="75"/>
    </row>
    <row r="24" spans="2:13" ht="14" customHeight="1">
      <c r="B24" s="75"/>
      <c r="C24" s="216" t="s">
        <v>572</v>
      </c>
      <c r="D24" s="217">
        <v>2222772</v>
      </c>
      <c r="E24" s="217"/>
      <c r="F24" s="224">
        <v>43554</v>
      </c>
      <c r="G24" s="218">
        <v>3.3700000000000001E-2</v>
      </c>
      <c r="H24" s="274">
        <v>32452471</v>
      </c>
      <c r="I24" s="75"/>
    </row>
    <row r="25" spans="2:13" ht="14" customHeight="1">
      <c r="B25" s="75"/>
      <c r="C25" s="216" t="s">
        <v>573</v>
      </c>
      <c r="D25" s="217">
        <v>1281992</v>
      </c>
      <c r="E25" s="217"/>
      <c r="F25" s="224">
        <v>43554</v>
      </c>
      <c r="G25" s="218">
        <v>1.95E-2</v>
      </c>
      <c r="H25" s="274">
        <v>18717083</v>
      </c>
      <c r="I25" s="75"/>
    </row>
    <row r="26" spans="2:13" ht="14" customHeight="1">
      <c r="B26" s="75"/>
      <c r="C26" s="216" t="s">
        <v>574</v>
      </c>
      <c r="D26" s="217">
        <v>1044000</v>
      </c>
      <c r="E26" s="217"/>
      <c r="F26" s="224">
        <v>43554</v>
      </c>
      <c r="G26" s="218">
        <v>1.5800000000000002E-2</v>
      </c>
      <c r="H26" s="274">
        <v>15242400</v>
      </c>
      <c r="I26" s="75"/>
    </row>
    <row r="27" spans="2:13" ht="14" customHeight="1">
      <c r="B27" s="75"/>
      <c r="C27" s="216" t="s">
        <v>575</v>
      </c>
      <c r="D27" s="217">
        <v>970799</v>
      </c>
      <c r="E27" s="217"/>
      <c r="F27" s="224">
        <v>43554</v>
      </c>
      <c r="G27" s="218">
        <v>1.47E-2</v>
      </c>
      <c r="H27" s="274">
        <v>14173665</v>
      </c>
      <c r="I27" s="75"/>
    </row>
    <row r="28" spans="2:13" ht="14" customHeight="1">
      <c r="B28" s="75"/>
      <c r="C28" s="216" t="s">
        <v>576</v>
      </c>
      <c r="D28" s="217">
        <v>915195</v>
      </c>
      <c r="E28" s="217"/>
      <c r="F28" s="224">
        <v>43554</v>
      </c>
      <c r="G28" s="218">
        <v>1.3899999999999999E-2</v>
      </c>
      <c r="H28" s="274">
        <v>13361847</v>
      </c>
      <c r="I28" s="75"/>
      <c r="L28" s="75"/>
    </row>
    <row r="29" spans="2:13" ht="14" customHeight="1">
      <c r="B29" s="75"/>
      <c r="C29" s="216"/>
      <c r="D29" s="75"/>
      <c r="E29" s="75"/>
      <c r="F29" s="225"/>
      <c r="G29" s="221"/>
      <c r="H29" s="211"/>
      <c r="I29" s="75"/>
      <c r="J29" s="75"/>
      <c r="K29" s="75"/>
      <c r="L29" s="75"/>
    </row>
    <row r="30" spans="2:13" ht="14" customHeight="1">
      <c r="B30" s="75"/>
      <c r="C30" s="58" t="s">
        <v>270</v>
      </c>
      <c r="D30" s="60" t="s">
        <v>268</v>
      </c>
      <c r="E30" s="60"/>
      <c r="F30" s="60" t="s">
        <v>271</v>
      </c>
      <c r="G30" s="60" t="s">
        <v>272</v>
      </c>
      <c r="H30" s="60" t="s">
        <v>321</v>
      </c>
      <c r="I30" s="75"/>
      <c r="J30" s="75"/>
      <c r="K30" s="75"/>
      <c r="L30" s="75"/>
    </row>
    <row r="31" spans="2:13" ht="14" customHeight="1">
      <c r="B31" s="75"/>
      <c r="C31" s="216" t="s">
        <v>563</v>
      </c>
      <c r="D31" s="217"/>
      <c r="E31" s="217"/>
      <c r="F31" s="224"/>
      <c r="G31" s="226"/>
      <c r="H31" s="222"/>
      <c r="I31" s="75"/>
      <c r="J31" s="75"/>
      <c r="K31" s="75"/>
      <c r="L31" s="75"/>
    </row>
    <row r="32" spans="2:13" ht="14" customHeight="1">
      <c r="B32" s="75"/>
      <c r="C32" s="216"/>
      <c r="D32" s="217"/>
      <c r="E32" s="217"/>
      <c r="F32" s="224"/>
      <c r="G32" s="226"/>
      <c r="H32" s="222"/>
      <c r="I32" s="75"/>
      <c r="J32" s="75"/>
      <c r="K32" s="75"/>
      <c r="L32" s="75"/>
    </row>
    <row r="33" spans="1:14" ht="14" customHeight="1">
      <c r="B33" s="75"/>
      <c r="C33" s="216"/>
      <c r="D33" s="217"/>
      <c r="E33" s="217"/>
      <c r="F33" s="224"/>
      <c r="G33" s="226"/>
      <c r="H33" s="222"/>
      <c r="I33" s="75"/>
      <c r="J33" s="75"/>
      <c r="K33" s="75"/>
      <c r="L33" s="75"/>
    </row>
    <row r="34" spans="1:14" ht="14" customHeight="1">
      <c r="B34" s="75"/>
      <c r="C34" s="216"/>
      <c r="D34" s="217"/>
      <c r="E34" s="217"/>
      <c r="F34" s="224"/>
      <c r="G34" s="226"/>
      <c r="H34" s="222"/>
      <c r="I34" s="75"/>
      <c r="J34" s="75"/>
      <c r="K34" s="75"/>
      <c r="L34" s="75"/>
    </row>
    <row r="35" spans="1:14" ht="14" customHeight="1">
      <c r="B35" s="75"/>
      <c r="C35" s="216"/>
      <c r="D35" s="217"/>
      <c r="E35" s="217"/>
      <c r="F35" s="224"/>
      <c r="G35" s="226"/>
      <c r="H35" s="222"/>
      <c r="I35" s="75"/>
      <c r="J35" s="75"/>
      <c r="K35" s="75"/>
      <c r="L35" s="75"/>
    </row>
    <row r="36" spans="1:14" ht="14" customHeight="1">
      <c r="B36" s="75"/>
      <c r="C36" s="216"/>
      <c r="D36" s="75"/>
      <c r="E36" s="75"/>
      <c r="F36" s="225"/>
      <c r="G36" s="75"/>
      <c r="H36" s="75"/>
      <c r="I36" s="75"/>
      <c r="J36" s="75"/>
      <c r="K36" s="75"/>
      <c r="L36" s="75"/>
    </row>
    <row r="37" spans="1:14">
      <c r="A37" s="63" t="s">
        <v>4</v>
      </c>
      <c r="N37" s="63" t="s">
        <v>4</v>
      </c>
    </row>
  </sheetData>
  <pageMargins left="0.7" right="0.7" top="0.75" bottom="0.75" header="0.3" footer="0.3"/>
  <pageSetup scale="8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97240-0402-4670-9E82-363D6EA8A401}">
  <sheetPr>
    <pageSetUpPr fitToPage="1"/>
  </sheetPr>
  <dimension ref="A2:P12"/>
  <sheetViews>
    <sheetView showGridLines="0" view="pageBreakPreview" zoomScale="130" zoomScaleNormal="100" zoomScaleSheetLayoutView="130" workbookViewId="0">
      <selection activeCell="E20" sqref="E20"/>
    </sheetView>
  </sheetViews>
  <sheetFormatPr baseColWidth="10" defaultColWidth="8.6640625" defaultRowHeight="13"/>
  <cols>
    <col min="1" max="1" width="2.1640625" style="63" customWidth="1"/>
    <col min="2" max="2" width="2.1640625" style="63" bestFit="1" customWidth="1"/>
    <col min="3" max="3" width="22.33203125" style="63" customWidth="1"/>
    <col min="4" max="4" width="15.1640625" style="63" customWidth="1"/>
    <col min="5" max="5" width="20.6640625" style="63" customWidth="1"/>
    <col min="6" max="12" width="8.6640625" style="63"/>
    <col min="13" max="13" width="1.1640625" style="63" customWidth="1"/>
    <col min="14" max="14" width="8.6640625" style="63"/>
    <col min="15" max="15" width="1.5" style="63" customWidth="1"/>
    <col min="16" max="16" width="3.1640625" style="63" customWidth="1"/>
    <col min="17" max="16384" width="8.6640625" style="63"/>
  </cols>
  <sheetData>
    <row r="2" spans="1:16">
      <c r="A2" s="63" t="s">
        <v>4</v>
      </c>
      <c r="P2" s="63" t="s">
        <v>4</v>
      </c>
    </row>
    <row r="3" spans="1:16">
      <c r="E3" s="310"/>
      <c r="F3" s="310"/>
      <c r="G3" s="310"/>
      <c r="H3" s="310"/>
      <c r="I3" s="310"/>
      <c r="J3" s="310"/>
      <c r="K3" s="310"/>
      <c r="L3" s="310"/>
    </row>
    <row r="4" spans="1:16">
      <c r="B4" s="105"/>
      <c r="C4" s="106" t="s">
        <v>36</v>
      </c>
      <c r="D4" s="106"/>
      <c r="E4" s="106"/>
      <c r="F4" s="106"/>
      <c r="G4" s="106"/>
      <c r="H4" s="106"/>
      <c r="I4" s="106"/>
      <c r="J4" s="106"/>
      <c r="K4" s="106"/>
      <c r="L4" s="106"/>
      <c r="M4" s="106"/>
      <c r="N4" s="106"/>
    </row>
    <row r="5" spans="1:16">
      <c r="B5" s="105"/>
      <c r="C5" s="173"/>
      <c r="D5" s="173"/>
      <c r="E5" s="310"/>
      <c r="F5" s="310"/>
      <c r="G5" s="310"/>
      <c r="H5" s="310"/>
      <c r="I5" s="310"/>
      <c r="J5" s="310"/>
      <c r="K5" s="310"/>
      <c r="L5" s="310"/>
      <c r="M5" s="174"/>
    </row>
    <row r="6" spans="1:16">
      <c r="B6" s="105"/>
      <c r="C6" s="161" t="s">
        <v>558</v>
      </c>
      <c r="D6" s="177">
        <v>43578</v>
      </c>
      <c r="E6" s="311" t="s">
        <v>557</v>
      </c>
      <c r="F6" s="311"/>
      <c r="G6" s="311"/>
      <c r="H6" s="311"/>
      <c r="I6" s="311"/>
      <c r="J6" s="311"/>
      <c r="K6" s="311"/>
      <c r="L6" s="311"/>
      <c r="N6" s="279" t="str">
        <f>HYPERLINK("https://finance.yahoo.com/news/dollar-cost-average-telecom-argentina-221032778.html","Link")</f>
        <v>Link</v>
      </c>
    </row>
    <row r="7" spans="1:16">
      <c r="B7" s="105"/>
      <c r="D7" s="176"/>
      <c r="E7" s="310"/>
      <c r="F7" s="310"/>
      <c r="G7" s="310"/>
      <c r="H7" s="310"/>
      <c r="I7" s="310"/>
      <c r="J7" s="310"/>
      <c r="K7" s="310"/>
      <c r="L7" s="310"/>
      <c r="M7" s="174"/>
      <c r="N7" s="175"/>
    </row>
    <row r="8" spans="1:16" ht="13" customHeight="1">
      <c r="B8" s="105"/>
      <c r="C8" s="280" t="s">
        <v>429</v>
      </c>
      <c r="D8" s="281">
        <v>43575</v>
      </c>
      <c r="E8" s="311" t="s">
        <v>559</v>
      </c>
      <c r="F8" s="311"/>
      <c r="G8" s="311"/>
      <c r="H8" s="311"/>
      <c r="I8" s="311"/>
      <c r="J8" s="311"/>
      <c r="K8" s="311"/>
      <c r="L8" s="311"/>
      <c r="M8" s="282"/>
      <c r="N8" s="283" t="str">
        <f>HYPERLINK("https://finance.yahoo.com/news/hedge-funds-still-bearish-telecom-231051495.html","Link")</f>
        <v>Link</v>
      </c>
    </row>
    <row r="9" spans="1:16">
      <c r="B9" s="105"/>
      <c r="C9" s="282"/>
      <c r="D9" s="284"/>
      <c r="E9" s="310"/>
      <c r="F9" s="310"/>
      <c r="G9" s="310"/>
      <c r="H9" s="310"/>
      <c r="I9" s="310"/>
      <c r="J9" s="310"/>
      <c r="K9" s="310"/>
      <c r="L9" s="310"/>
      <c r="M9" s="285"/>
      <c r="N9" s="286"/>
    </row>
    <row r="10" spans="1:16" ht="13" customHeight="1">
      <c r="B10" s="105"/>
      <c r="C10" s="280" t="s">
        <v>561</v>
      </c>
      <c r="D10" s="281">
        <v>43378</v>
      </c>
      <c r="E10" s="310" t="s">
        <v>560</v>
      </c>
      <c r="F10" s="310"/>
      <c r="G10" s="310"/>
      <c r="H10" s="310"/>
      <c r="I10" s="310"/>
      <c r="J10" s="310"/>
      <c r="K10" s="310"/>
      <c r="L10" s="310"/>
      <c r="M10" s="282"/>
      <c r="N10" s="283" t="str">
        <f>HYPERLINK("https://finance.yahoo.com/news/telecom-argentina-says-weak-peso-160236482.html","Link")</f>
        <v>Link</v>
      </c>
    </row>
    <row r="11" spans="1:16">
      <c r="B11" s="105"/>
      <c r="C11" s="282"/>
      <c r="D11" s="284"/>
      <c r="E11" s="310"/>
      <c r="F11" s="310"/>
      <c r="G11" s="310"/>
      <c r="H11" s="310"/>
      <c r="I11" s="310"/>
      <c r="J11" s="310"/>
      <c r="K11" s="310"/>
      <c r="L11" s="310"/>
      <c r="M11" s="285"/>
      <c r="N11" s="286"/>
    </row>
    <row r="12" spans="1:16">
      <c r="A12" s="63" t="s">
        <v>4</v>
      </c>
      <c r="P12" s="63" t="s">
        <v>4</v>
      </c>
    </row>
  </sheetData>
  <mergeCells count="8">
    <mergeCell ref="E11:L11"/>
    <mergeCell ref="E5:L5"/>
    <mergeCell ref="E3:L3"/>
    <mergeCell ref="E10:L10"/>
    <mergeCell ref="E9:L9"/>
    <mergeCell ref="E6:L6"/>
    <mergeCell ref="E7:L7"/>
    <mergeCell ref="E8:L8"/>
  </mergeCells>
  <hyperlinks>
    <hyperlink ref="N8" r:id="rId1" display="https://tyndallbusinesstimes.com/whats-in-store-for-danaher-corporation-nysedhr-according-to-analysts/12259/" xr:uid="{4FCE043B-5FB4-DA47-838C-05C66653FCE9}"/>
    <hyperlink ref="N10" r:id="rId2" display="https://finance.yahoo.com/news/danaher-corporation-nyse-dhr-strong-135400696.html" xr:uid="{294D823D-4B01-784B-8234-450E524B4885}"/>
  </hyperlinks>
  <pageMargins left="0.7" right="0.7" top="0.75" bottom="0.75" header="0.3" footer="0.3"/>
  <pageSetup scale="87"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25BEA-0CC3-487E-82FF-6741EA1FCB85}">
  <sheetPr>
    <pageSetUpPr fitToPage="1"/>
  </sheetPr>
  <dimension ref="A3:S57"/>
  <sheetViews>
    <sheetView showGridLines="0" view="pageBreakPreview" zoomScale="130" zoomScaleNormal="100" zoomScaleSheetLayoutView="130" workbookViewId="0">
      <selection activeCell="F55" sqref="F55"/>
    </sheetView>
  </sheetViews>
  <sheetFormatPr baseColWidth="10" defaultColWidth="8.6640625" defaultRowHeight="13"/>
  <cols>
    <col min="1" max="1" width="1.83203125" style="74" customWidth="1"/>
    <col min="2" max="2" width="2.33203125" style="74" customWidth="1"/>
    <col min="3" max="3" width="6.33203125" style="74" customWidth="1"/>
    <col min="4" max="4" width="87.1640625" style="74" customWidth="1"/>
    <col min="5" max="5" width="2.1640625" style="74" customWidth="1"/>
    <col min="6" max="6" width="11.6640625" style="74" customWidth="1"/>
    <col min="7" max="7" width="1.33203125" style="74" customWidth="1"/>
    <col min="8" max="16384" width="8.6640625" style="74"/>
  </cols>
  <sheetData>
    <row r="3" spans="2:19">
      <c r="B3" s="80"/>
      <c r="C3" s="78" t="s">
        <v>40</v>
      </c>
      <c r="D3" s="78"/>
      <c r="E3" s="78"/>
      <c r="F3" s="79" t="s">
        <v>284</v>
      </c>
    </row>
    <row r="4" spans="2:19">
      <c r="B4" s="80"/>
      <c r="C4" s="81"/>
      <c r="D4" s="81"/>
      <c r="E4" s="81"/>
      <c r="F4" s="81"/>
      <c r="I4" s="312"/>
      <c r="J4" s="312"/>
      <c r="K4" s="185"/>
      <c r="L4" s="185"/>
      <c r="M4" s="185"/>
      <c r="N4" s="185"/>
      <c r="O4" s="185"/>
      <c r="P4" s="185"/>
      <c r="Q4" s="185"/>
      <c r="R4" s="185"/>
      <c r="S4" s="185"/>
    </row>
    <row r="5" spans="2:19" s="22" customFormat="1" ht="39">
      <c r="B5" s="186"/>
      <c r="C5" s="187">
        <v>1</v>
      </c>
      <c r="D5" s="184" t="s">
        <v>506</v>
      </c>
      <c r="E5" s="188"/>
      <c r="F5" s="186" t="s">
        <v>416</v>
      </c>
    </row>
    <row r="6" spans="2:19" s="22" customFormat="1" ht="26">
      <c r="B6" s="186"/>
      <c r="C6" s="187">
        <v>2</v>
      </c>
      <c r="D6" s="184" t="s">
        <v>507</v>
      </c>
      <c r="E6" s="188"/>
      <c r="F6" s="186" t="s">
        <v>416</v>
      </c>
    </row>
    <row r="7" spans="2:19" s="22" customFormat="1" ht="39">
      <c r="B7" s="186"/>
      <c r="C7" s="187">
        <v>3</v>
      </c>
      <c r="D7" s="184" t="s">
        <v>508</v>
      </c>
      <c r="E7" s="188"/>
      <c r="F7" s="186" t="s">
        <v>416</v>
      </c>
    </row>
    <row r="8" spans="2:19" s="22" customFormat="1" ht="26">
      <c r="B8" s="186"/>
      <c r="C8" s="187">
        <v>4</v>
      </c>
      <c r="D8" s="184" t="s">
        <v>509</v>
      </c>
      <c r="E8" s="188"/>
      <c r="F8" s="186" t="s">
        <v>416</v>
      </c>
    </row>
    <row r="9" spans="2:19" s="22" customFormat="1">
      <c r="B9" s="186"/>
      <c r="C9" s="187">
        <v>5</v>
      </c>
      <c r="D9" s="184" t="s">
        <v>510</v>
      </c>
      <c r="E9" s="188"/>
      <c r="F9" s="186" t="s">
        <v>416</v>
      </c>
    </row>
    <row r="10" spans="2:19" s="22" customFormat="1" ht="26">
      <c r="B10" s="186"/>
      <c r="C10" s="187">
        <v>6</v>
      </c>
      <c r="D10" s="184" t="s">
        <v>511</v>
      </c>
      <c r="E10" s="188"/>
      <c r="F10" s="186" t="s">
        <v>416</v>
      </c>
    </row>
    <row r="11" spans="2:19" s="22" customFormat="1" ht="26">
      <c r="B11" s="186"/>
      <c r="C11" s="187">
        <v>7</v>
      </c>
      <c r="D11" s="184" t="s">
        <v>512</v>
      </c>
      <c r="E11" s="188"/>
      <c r="F11" s="186" t="s">
        <v>416</v>
      </c>
    </row>
    <row r="12" spans="2:19" s="22" customFormat="1" ht="26">
      <c r="B12" s="186"/>
      <c r="C12" s="187">
        <v>8</v>
      </c>
      <c r="D12" s="184" t="s">
        <v>513</v>
      </c>
      <c r="E12" s="188"/>
      <c r="F12" s="186" t="s">
        <v>416</v>
      </c>
    </row>
    <row r="13" spans="2:19" s="22" customFormat="1">
      <c r="B13" s="186"/>
      <c r="C13" s="187">
        <v>9</v>
      </c>
      <c r="D13" s="184" t="s">
        <v>514</v>
      </c>
      <c r="E13" s="188"/>
      <c r="F13" s="186" t="s">
        <v>416</v>
      </c>
    </row>
    <row r="14" spans="2:19" s="22" customFormat="1" ht="26">
      <c r="B14" s="186"/>
      <c r="C14" s="187">
        <v>10</v>
      </c>
      <c r="D14" s="184" t="s">
        <v>515</v>
      </c>
      <c r="E14" s="188"/>
      <c r="F14" s="186" t="s">
        <v>416</v>
      </c>
    </row>
    <row r="15" spans="2:19" s="22" customFormat="1" ht="39">
      <c r="B15" s="186"/>
      <c r="C15" s="187">
        <v>11</v>
      </c>
      <c r="D15" s="184" t="s">
        <v>516</v>
      </c>
      <c r="E15" s="188"/>
      <c r="F15" s="186" t="s">
        <v>416</v>
      </c>
    </row>
    <row r="16" spans="2:19" s="22" customFormat="1" ht="26">
      <c r="B16" s="186"/>
      <c r="C16" s="187">
        <v>12</v>
      </c>
      <c r="D16" s="184" t="s">
        <v>517</v>
      </c>
      <c r="E16" s="82"/>
      <c r="F16" s="186" t="s">
        <v>236</v>
      </c>
    </row>
    <row r="17" spans="2:6" s="22" customFormat="1">
      <c r="B17" s="186"/>
      <c r="C17" s="187">
        <v>13</v>
      </c>
      <c r="D17" s="184" t="s">
        <v>518</v>
      </c>
      <c r="E17" s="82"/>
      <c r="F17" s="186" t="s">
        <v>236</v>
      </c>
    </row>
    <row r="18" spans="2:6" s="22" customFormat="1" ht="26">
      <c r="B18" s="186"/>
      <c r="C18" s="187">
        <v>14</v>
      </c>
      <c r="D18" s="184" t="s">
        <v>519</v>
      </c>
      <c r="E18" s="82"/>
      <c r="F18" s="186" t="s">
        <v>236</v>
      </c>
    </row>
    <row r="19" spans="2:6" s="22" customFormat="1" ht="26">
      <c r="B19" s="186"/>
      <c r="C19" s="187">
        <v>15</v>
      </c>
      <c r="D19" s="184" t="s">
        <v>520</v>
      </c>
      <c r="E19" s="82"/>
      <c r="F19" s="186" t="s">
        <v>236</v>
      </c>
    </row>
    <row r="20" spans="2:6" s="270" customFormat="1" ht="26">
      <c r="B20" s="186"/>
      <c r="C20" s="187">
        <v>16</v>
      </c>
      <c r="D20" s="184" t="s">
        <v>521</v>
      </c>
      <c r="E20" s="82"/>
      <c r="F20" s="186" t="s">
        <v>2</v>
      </c>
    </row>
    <row r="21" spans="2:6" s="270" customFormat="1">
      <c r="B21" s="186"/>
      <c r="C21" s="187">
        <v>17</v>
      </c>
      <c r="D21" s="184" t="s">
        <v>522</v>
      </c>
      <c r="E21" s="82"/>
      <c r="F21" s="186" t="s">
        <v>236</v>
      </c>
    </row>
    <row r="22" spans="2:6" s="270" customFormat="1" ht="26">
      <c r="B22" s="186"/>
      <c r="C22" s="187">
        <v>18</v>
      </c>
      <c r="D22" s="184" t="s">
        <v>523</v>
      </c>
      <c r="E22" s="82"/>
      <c r="F22" s="186" t="s">
        <v>236</v>
      </c>
    </row>
    <row r="23" spans="2:6" s="270" customFormat="1" ht="26">
      <c r="B23" s="186"/>
      <c r="C23" s="187">
        <v>19</v>
      </c>
      <c r="D23" s="184" t="s">
        <v>524</v>
      </c>
      <c r="E23" s="82"/>
      <c r="F23" s="186" t="s">
        <v>236</v>
      </c>
    </row>
    <row r="24" spans="2:6" s="270" customFormat="1" ht="26">
      <c r="B24" s="186"/>
      <c r="C24" s="187">
        <v>20</v>
      </c>
      <c r="D24" s="184" t="s">
        <v>525</v>
      </c>
      <c r="E24" s="82"/>
      <c r="F24" s="186" t="s">
        <v>236</v>
      </c>
    </row>
    <row r="25" spans="2:6" s="270" customFormat="1" ht="26">
      <c r="B25" s="186"/>
      <c r="C25" s="187">
        <v>21</v>
      </c>
      <c r="D25" s="184" t="s">
        <v>526</v>
      </c>
      <c r="E25" s="82"/>
      <c r="F25" s="186" t="s">
        <v>236</v>
      </c>
    </row>
    <row r="26" spans="2:6" s="270" customFormat="1" ht="26">
      <c r="B26" s="186"/>
      <c r="C26" s="187">
        <v>22</v>
      </c>
      <c r="D26" s="184" t="s">
        <v>527</v>
      </c>
      <c r="E26" s="82"/>
      <c r="F26" s="186" t="s">
        <v>2</v>
      </c>
    </row>
    <row r="27" spans="2:6" s="270" customFormat="1">
      <c r="B27" s="186"/>
      <c r="C27" s="187">
        <v>23</v>
      </c>
      <c r="D27" s="184" t="s">
        <v>528</v>
      </c>
      <c r="E27" s="82"/>
      <c r="F27" s="186" t="s">
        <v>236</v>
      </c>
    </row>
    <row r="28" spans="2:6" s="270" customFormat="1" ht="26">
      <c r="B28" s="186"/>
      <c r="C28" s="187">
        <v>24</v>
      </c>
      <c r="D28" s="184" t="s">
        <v>529</v>
      </c>
      <c r="E28" s="82"/>
      <c r="F28" s="186" t="s">
        <v>236</v>
      </c>
    </row>
    <row r="29" spans="2:6" s="270" customFormat="1" ht="26">
      <c r="B29" s="186"/>
      <c r="C29" s="187">
        <v>25</v>
      </c>
      <c r="D29" s="184" t="s">
        <v>530</v>
      </c>
      <c r="E29" s="82"/>
      <c r="F29" s="186" t="s">
        <v>236</v>
      </c>
    </row>
    <row r="30" spans="2:6" s="270" customFormat="1">
      <c r="B30" s="186"/>
      <c r="C30" s="187">
        <v>26</v>
      </c>
      <c r="D30" s="184" t="s">
        <v>531</v>
      </c>
      <c r="E30" s="82"/>
      <c r="F30" s="186" t="s">
        <v>2</v>
      </c>
    </row>
    <row r="31" spans="2:6" s="270" customFormat="1">
      <c r="B31" s="186"/>
      <c r="C31" s="187">
        <v>27</v>
      </c>
      <c r="D31" s="184" t="s">
        <v>532</v>
      </c>
      <c r="E31" s="82"/>
      <c r="F31" s="186" t="s">
        <v>236</v>
      </c>
    </row>
    <row r="32" spans="2:6" s="270" customFormat="1" ht="39">
      <c r="B32" s="186"/>
      <c r="C32" s="187">
        <v>28</v>
      </c>
      <c r="D32" s="184" t="s">
        <v>533</v>
      </c>
      <c r="E32" s="82"/>
      <c r="F32" s="186" t="s">
        <v>236</v>
      </c>
    </row>
    <row r="33" spans="2:6" s="270" customFormat="1" ht="26">
      <c r="B33" s="186"/>
      <c r="C33" s="187">
        <v>29</v>
      </c>
      <c r="D33" s="184" t="s">
        <v>534</v>
      </c>
      <c r="E33" s="82"/>
      <c r="F33" s="186" t="s">
        <v>236</v>
      </c>
    </row>
    <row r="34" spans="2:6" s="270" customFormat="1">
      <c r="B34" s="186"/>
      <c r="C34" s="187">
        <v>30</v>
      </c>
      <c r="D34" s="184" t="s">
        <v>535</v>
      </c>
      <c r="E34" s="82"/>
      <c r="F34" s="186" t="s">
        <v>236</v>
      </c>
    </row>
    <row r="35" spans="2:6" s="270" customFormat="1" ht="26">
      <c r="B35" s="186"/>
      <c r="C35" s="187">
        <v>31</v>
      </c>
      <c r="D35" s="184" t="s">
        <v>536</v>
      </c>
      <c r="E35" s="82"/>
      <c r="F35" s="186" t="s">
        <v>236</v>
      </c>
    </row>
    <row r="36" spans="2:6" s="289" customFormat="1">
      <c r="B36" s="186"/>
      <c r="C36" s="187">
        <v>32</v>
      </c>
      <c r="D36" s="184" t="s">
        <v>537</v>
      </c>
      <c r="E36" s="82"/>
      <c r="F36" s="186" t="s">
        <v>416</v>
      </c>
    </row>
    <row r="37" spans="2:6" s="289" customFormat="1" ht="26">
      <c r="B37" s="186"/>
      <c r="C37" s="187">
        <v>33</v>
      </c>
      <c r="D37" s="184" t="s">
        <v>538</v>
      </c>
      <c r="E37" s="82"/>
      <c r="F37" s="186" t="s">
        <v>236</v>
      </c>
    </row>
    <row r="38" spans="2:6" s="289" customFormat="1" ht="26">
      <c r="B38" s="186"/>
      <c r="C38" s="187">
        <v>34</v>
      </c>
      <c r="D38" s="184" t="s">
        <v>539</v>
      </c>
      <c r="E38" s="82"/>
      <c r="F38" s="186" t="s">
        <v>236</v>
      </c>
    </row>
    <row r="39" spans="2:6" s="289" customFormat="1">
      <c r="B39" s="186"/>
      <c r="C39" s="187">
        <v>35</v>
      </c>
      <c r="D39" s="184" t="s">
        <v>540</v>
      </c>
      <c r="E39" s="82"/>
      <c r="F39" s="186" t="s">
        <v>236</v>
      </c>
    </row>
    <row r="40" spans="2:6" s="289" customFormat="1" ht="26">
      <c r="B40" s="186"/>
      <c r="C40" s="187">
        <v>36</v>
      </c>
      <c r="D40" s="184" t="s">
        <v>541</v>
      </c>
      <c r="E40" s="82"/>
      <c r="F40" s="186" t="s">
        <v>236</v>
      </c>
    </row>
    <row r="41" spans="2:6" s="289" customFormat="1" ht="39">
      <c r="B41" s="186"/>
      <c r="C41" s="187">
        <v>37</v>
      </c>
      <c r="D41" s="184" t="s">
        <v>542</v>
      </c>
      <c r="E41" s="82"/>
      <c r="F41" s="186" t="s">
        <v>236</v>
      </c>
    </row>
    <row r="42" spans="2:6" s="289" customFormat="1">
      <c r="B42" s="186"/>
      <c r="C42" s="187">
        <v>38</v>
      </c>
      <c r="D42" s="184" t="s">
        <v>543</v>
      </c>
      <c r="E42" s="82"/>
      <c r="F42" s="186" t="s">
        <v>416</v>
      </c>
    </row>
    <row r="43" spans="2:6" s="289" customFormat="1">
      <c r="B43" s="186"/>
      <c r="C43" s="187">
        <v>39</v>
      </c>
      <c r="D43" s="184" t="s">
        <v>544</v>
      </c>
      <c r="E43" s="82"/>
      <c r="F43" s="186" t="s">
        <v>416</v>
      </c>
    </row>
    <row r="44" spans="2:6" s="289" customFormat="1">
      <c r="B44" s="186"/>
      <c r="C44" s="187">
        <v>40</v>
      </c>
      <c r="D44" s="184" t="s">
        <v>545</v>
      </c>
      <c r="E44" s="82"/>
      <c r="F44" s="186" t="s">
        <v>416</v>
      </c>
    </row>
    <row r="45" spans="2:6" s="289" customFormat="1">
      <c r="B45" s="186"/>
      <c r="C45" s="187">
        <v>41</v>
      </c>
      <c r="D45" s="184" t="s">
        <v>546</v>
      </c>
      <c r="E45" s="82"/>
      <c r="F45" s="186" t="s">
        <v>236</v>
      </c>
    </row>
    <row r="46" spans="2:6" s="289" customFormat="1" ht="26">
      <c r="B46" s="186"/>
      <c r="C46" s="187">
        <v>42</v>
      </c>
      <c r="D46" s="184" t="s">
        <v>547</v>
      </c>
      <c r="E46" s="82"/>
      <c r="F46" s="186" t="s">
        <v>416</v>
      </c>
    </row>
    <row r="47" spans="2:6" s="289" customFormat="1" ht="26">
      <c r="B47" s="186"/>
      <c r="C47" s="187">
        <v>43</v>
      </c>
      <c r="D47" s="184" t="s">
        <v>548</v>
      </c>
      <c r="E47" s="82"/>
      <c r="F47" s="186" t="s">
        <v>416</v>
      </c>
    </row>
    <row r="48" spans="2:6" s="289" customFormat="1">
      <c r="B48" s="186"/>
      <c r="C48" s="187">
        <v>44</v>
      </c>
      <c r="D48" s="184" t="s">
        <v>549</v>
      </c>
      <c r="E48" s="82"/>
      <c r="F48" s="186" t="s">
        <v>236</v>
      </c>
    </row>
    <row r="49" spans="1:8" s="289" customFormat="1" ht="26">
      <c r="B49" s="186"/>
      <c r="C49" s="187">
        <v>45</v>
      </c>
      <c r="D49" s="184" t="s">
        <v>550</v>
      </c>
      <c r="E49" s="82"/>
      <c r="F49" s="186" t="s">
        <v>236</v>
      </c>
    </row>
    <row r="50" spans="1:8" s="289" customFormat="1" ht="26">
      <c r="B50" s="186"/>
      <c r="C50" s="187">
        <v>46</v>
      </c>
      <c r="D50" s="184" t="s">
        <v>551</v>
      </c>
      <c r="E50" s="82"/>
      <c r="F50" s="186" t="s">
        <v>236</v>
      </c>
    </row>
    <row r="51" spans="1:8" s="289" customFormat="1" ht="26">
      <c r="B51" s="186"/>
      <c r="C51" s="187">
        <v>47</v>
      </c>
      <c r="D51" s="184" t="s">
        <v>552</v>
      </c>
      <c r="E51" s="82"/>
      <c r="F51" s="186" t="s">
        <v>236</v>
      </c>
    </row>
    <row r="52" spans="1:8" s="289" customFormat="1" ht="39">
      <c r="B52" s="186"/>
      <c r="C52" s="187">
        <v>48</v>
      </c>
      <c r="D52" s="184" t="s">
        <v>553</v>
      </c>
      <c r="E52" s="82"/>
      <c r="F52" s="186" t="s">
        <v>236</v>
      </c>
    </row>
    <row r="53" spans="1:8" s="289" customFormat="1" ht="26">
      <c r="B53" s="186"/>
      <c r="C53" s="187">
        <v>49</v>
      </c>
      <c r="D53" s="184" t="s">
        <v>554</v>
      </c>
      <c r="E53" s="82"/>
      <c r="F53" s="186" t="s">
        <v>236</v>
      </c>
    </row>
    <row r="54" spans="1:8" s="289" customFormat="1" ht="26">
      <c r="B54" s="186"/>
      <c r="C54" s="187">
        <v>50</v>
      </c>
      <c r="D54" s="184" t="s">
        <v>555</v>
      </c>
      <c r="E54" s="82"/>
      <c r="F54" s="186" t="s">
        <v>416</v>
      </c>
    </row>
    <row r="55" spans="1:8" s="289" customFormat="1" ht="26">
      <c r="B55" s="186"/>
      <c r="C55" s="187">
        <v>51</v>
      </c>
      <c r="D55" s="184" t="s">
        <v>556</v>
      </c>
      <c r="E55" s="82"/>
      <c r="F55" s="186" t="s">
        <v>236</v>
      </c>
    </row>
    <row r="56" spans="1:8" s="270" customFormat="1">
      <c r="B56" s="186"/>
      <c r="C56" s="74"/>
      <c r="D56" s="74"/>
      <c r="E56" s="74"/>
      <c r="F56" s="74"/>
    </row>
    <row r="57" spans="1:8">
      <c r="A57" s="74" t="s">
        <v>4</v>
      </c>
      <c r="H57" s="74" t="s">
        <v>4</v>
      </c>
    </row>
  </sheetData>
  <mergeCells count="1">
    <mergeCell ref="I4:J4"/>
  </mergeCells>
  <dataValidations count="1">
    <dataValidation type="list" allowBlank="1" sqref="F5:F55" xr:uid="{00000000-0002-0000-0000-000004000000}">
      <formula1>"Generic,Company,Sector,Key Person,Country"</formula1>
    </dataValidation>
  </dataValidations>
  <pageMargins left="0.7" right="0.7" top="0.75" bottom="0.75" header="0.3" footer="0.3"/>
  <pageSetup scale="3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3E0E6F82F8A746977A1175257115CE" ma:contentTypeVersion="10" ma:contentTypeDescription="Create a new document." ma:contentTypeScope="" ma:versionID="19bf675e3cce274223f35cad5c8e5f27">
  <xsd:schema xmlns:xsd="http://www.w3.org/2001/XMLSchema" xmlns:xs="http://www.w3.org/2001/XMLSchema" xmlns:p="http://schemas.microsoft.com/office/2006/metadata/properties" xmlns:ns2="ea9639f0-9e42-4190-9224-a3c31ca715a0" xmlns:ns3="bd7bb922-9f0c-4480-856b-16c9da959b1a" targetNamespace="http://schemas.microsoft.com/office/2006/metadata/properties" ma:root="true" ma:fieldsID="63080c94c64a2ac9ee9aa5af86814c55" ns2:_="" ns3:_="">
    <xsd:import namespace="ea9639f0-9e42-4190-9224-a3c31ca715a0"/>
    <xsd:import namespace="bd7bb922-9f0c-4480-856b-16c9da959b1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9639f0-9e42-4190-9224-a3c31ca715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7bb922-9f0c-4480-856b-16c9da959b1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0D6DD3-646F-4676-80C1-9DF42850E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9639f0-9e42-4190-9224-a3c31ca715a0"/>
    <ds:schemaRef ds:uri="bd7bb922-9f0c-4480-856b-16c9da959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8AD41A-A7C7-4C5A-9CD0-7D4346AA7058}">
  <ds:schemaRefs>
    <ds:schemaRef ds:uri="http://schemas.microsoft.com/office/infopath/2007/PartnerControls"/>
    <ds:schemaRef ds:uri="http://purl.org/dc/elements/1.1/"/>
    <ds:schemaRef ds:uri="http://schemas.microsoft.com/office/2006/metadata/properties"/>
    <ds:schemaRef ds:uri="ea9639f0-9e42-4190-9224-a3c31ca715a0"/>
    <ds:schemaRef ds:uri="http://purl.org/dc/terms/"/>
    <ds:schemaRef ds:uri="http://schemas.openxmlformats.org/package/2006/metadata/core-properties"/>
    <ds:schemaRef ds:uri="http://schemas.microsoft.com/office/2006/documentManagement/types"/>
    <ds:schemaRef ds:uri="http://purl.org/dc/dcmitype/"/>
    <ds:schemaRef ds:uri="bd7bb922-9f0c-4480-856b-16c9da959b1a"/>
    <ds:schemaRef ds:uri="http://www.w3.org/XML/1998/namespace"/>
  </ds:schemaRefs>
</ds:datastoreItem>
</file>

<file path=customXml/itemProps3.xml><?xml version="1.0" encoding="utf-8"?>
<ds:datastoreItem xmlns:ds="http://schemas.openxmlformats.org/officeDocument/2006/customXml" ds:itemID="{C9BBCF99-87AF-4FAA-A8C1-D9B8D16EA9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Summary</vt:lpstr>
      <vt:lpstr>Annual Fins</vt:lpstr>
      <vt:lpstr>Quarterly Fins</vt:lpstr>
      <vt:lpstr>Trading Model</vt:lpstr>
      <vt:lpstr>Valuation</vt:lpstr>
      <vt:lpstr>DCF</vt:lpstr>
      <vt:lpstr>Stock Info</vt:lpstr>
      <vt:lpstr>News</vt:lpstr>
      <vt:lpstr>Risks</vt:lpstr>
      <vt:lpstr>Team</vt:lpstr>
      <vt:lpstr>Stock Price Data</vt:lpstr>
      <vt:lpstr>Annual Fins Data</vt:lpstr>
      <vt:lpstr>Quarterly Fins Data</vt:lpstr>
      <vt:lpstr>Dividends Data</vt:lpstr>
      <vt:lpstr>Dividends</vt:lpstr>
      <vt:lpstr>'Annual Fins'!Print_Area</vt:lpstr>
      <vt:lpstr>DCF!Print_Area</vt:lpstr>
      <vt:lpstr>News!Print_Area</vt:lpstr>
      <vt:lpstr>'Quarterly Fins'!Print_Area</vt:lpstr>
      <vt:lpstr>Risks!Print_Area</vt:lpstr>
      <vt:lpstr>'Stock Info'!Print_Area</vt:lpstr>
      <vt:lpstr>Summary!Print_Area</vt:lpstr>
      <vt:lpstr>Team!Print_Area</vt:lpstr>
      <vt:lpstr>'Trading Model'!Print_Area</vt:lpstr>
      <vt:lpstr>Valuation!Print_Area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2019-02-11T22:41:18Z</cp:lastPrinted>
  <dcterms:created xsi:type="dcterms:W3CDTF">2019-06-04T17:51:17Z</dcterms:created>
  <dcterms:modified xsi:type="dcterms:W3CDTF">2019-06-12T14:44:15Z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0x010100893E0E6F82F8A746977A1175257115CE</vt:lpwstr>
  </property>
</Properties>
</file>