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PC\Desktop\cutstruct work\"/>
    </mc:Choice>
  </mc:AlternateContent>
  <xr:revisionPtr revIDLastSave="0" documentId="13_ncr:1_{D96D6CE5-4FFC-4BA0-8D05-1EECAFD995A8}" xr6:coauthVersionLast="47" xr6:coauthVersionMax="47" xr10:uidLastSave="{00000000-0000-0000-0000-000000000000}"/>
  <bookViews>
    <workbookView xWindow="-120" yWindow="-120" windowWidth="24240" windowHeight="13140" xr2:uid="{B7C6B4D8-4ADB-4851-BABC-AA643A926735}"/>
  </bookViews>
  <sheets>
    <sheet name="FINANCE" sheetId="2" r:id="rId1"/>
    <sheet name="SALES TEAM (TIER 3)" sheetId="3" r:id="rId2"/>
    <sheet name="SALES TEAM (TIER 2)" sheetId="4" r:id="rId3"/>
    <sheet name="SOURCING TEAM" sheetId="5" r:id="rId4"/>
    <sheet name="PRODUCT MARKETING" sheetId="7" r:id="rId5"/>
    <sheet name="SALES MARKETING" sheetId="8" r:id="rId6"/>
    <sheet name="CLIENT SUCCESS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G38" i="2" l="1"/>
  <c r="S50" i="2"/>
  <c r="S51" i="2" s="1"/>
  <c r="BE37" i="2"/>
  <c r="BD38" i="2"/>
  <c r="V35" i="5"/>
  <c r="U3" i="3"/>
  <c r="U4" i="3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A62" i="5"/>
  <c r="X62" i="5"/>
  <c r="W62" i="5"/>
  <c r="I62" i="5"/>
  <c r="AA61" i="5"/>
  <c r="X61" i="5"/>
  <c r="W61" i="5"/>
  <c r="U61" i="5"/>
  <c r="R61" i="5"/>
  <c r="I61" i="5"/>
  <c r="Z60" i="5"/>
  <c r="V60" i="5"/>
  <c r="Q60" i="5"/>
  <c r="V55" i="5"/>
  <c r="V51" i="5"/>
  <c r="V50" i="5"/>
  <c r="V49" i="5"/>
  <c r="B49" i="5"/>
  <c r="V48" i="5"/>
  <c r="B48" i="5"/>
  <c r="V47" i="5"/>
  <c r="B47" i="5"/>
  <c r="V46" i="5"/>
  <c r="B46" i="5"/>
  <c r="V45" i="5"/>
  <c r="B45" i="5"/>
  <c r="V44" i="5"/>
  <c r="V43" i="5"/>
  <c r="B43" i="5"/>
  <c r="V42" i="5"/>
  <c r="B42" i="5"/>
  <c r="V41" i="5"/>
  <c r="B41" i="5"/>
  <c r="V40" i="5"/>
  <c r="B40" i="5"/>
  <c r="V39" i="5"/>
  <c r="B39" i="5"/>
  <c r="V38" i="5"/>
  <c r="B38" i="5"/>
  <c r="V37" i="5"/>
  <c r="O37" i="5"/>
  <c r="B37" i="5"/>
  <c r="V36" i="5"/>
  <c r="B36" i="5"/>
  <c r="N35" i="5"/>
  <c r="L35" i="5"/>
  <c r="B35" i="5"/>
  <c r="V34" i="5"/>
  <c r="O34" i="5"/>
  <c r="B34" i="5"/>
  <c r="V33" i="5"/>
  <c r="B33" i="5"/>
  <c r="V32" i="5"/>
  <c r="B32" i="5"/>
  <c r="V31" i="5"/>
  <c r="B31" i="5"/>
  <c r="V30" i="5"/>
  <c r="V29" i="5"/>
  <c r="U29" i="5"/>
  <c r="V28" i="5"/>
  <c r="V26" i="5"/>
  <c r="T26" i="5"/>
  <c r="V25" i="5"/>
  <c r="V24" i="5"/>
  <c r="V23" i="5"/>
  <c r="V22" i="5"/>
  <c r="V7" i="5"/>
  <c r="V6" i="5"/>
  <c r="V5" i="5"/>
  <c r="V4" i="5"/>
  <c r="V3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U60" i="3"/>
  <c r="U59" i="3"/>
  <c r="U51" i="3"/>
  <c r="U50" i="3"/>
  <c r="U47" i="3"/>
  <c r="U46" i="3"/>
  <c r="U44" i="3"/>
  <c r="U43" i="3"/>
  <c r="U42" i="3"/>
  <c r="U41" i="3"/>
  <c r="U39" i="3"/>
  <c r="U38" i="3"/>
  <c r="U37" i="3"/>
  <c r="U36" i="3"/>
  <c r="U35" i="3"/>
  <c r="U34" i="3"/>
  <c r="N34" i="3"/>
  <c r="W33" i="3"/>
  <c r="U33" i="3"/>
  <c r="U32" i="3"/>
  <c r="U31" i="3"/>
  <c r="U30" i="3"/>
  <c r="U29" i="3"/>
  <c r="U28" i="3"/>
  <c r="U27" i="3"/>
  <c r="U26" i="3"/>
  <c r="W25" i="3"/>
  <c r="U25" i="3"/>
  <c r="W24" i="3"/>
  <c r="U24" i="3"/>
  <c r="W23" i="3"/>
  <c r="U23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Y62" i="2"/>
  <c r="AR62" i="2"/>
  <c r="AE62" i="2"/>
  <c r="AC62" i="2"/>
  <c r="AA62" i="2"/>
  <c r="Y62" i="2"/>
  <c r="W62" i="2"/>
  <c r="U62" i="2"/>
  <c r="AR61" i="2"/>
  <c r="AZ60" i="2"/>
  <c r="AJ60" i="2"/>
  <c r="AJ61" i="2" s="1"/>
  <c r="C60" i="2"/>
  <c r="AG60" i="2" s="1"/>
  <c r="AG61" i="2" s="1"/>
  <c r="AG62" i="2" s="1"/>
  <c r="AK59" i="2"/>
  <c r="AK60" i="2" s="1"/>
  <c r="AK61" i="2" s="1"/>
  <c r="AK62" i="2" s="1"/>
  <c r="C59" i="2"/>
  <c r="AH57" i="2"/>
  <c r="AJ47" i="2"/>
  <c r="AJ48" i="2" s="1"/>
  <c r="AJ49" i="2" s="1"/>
  <c r="AJ50" i="2" s="1"/>
  <c r="AJ51" i="2" s="1"/>
  <c r="Q46" i="2"/>
  <c r="AY44" i="2"/>
  <c r="AY45" i="2" s="1"/>
  <c r="AY46" i="2" s="1"/>
  <c r="AY47" i="2" s="1"/>
  <c r="AY48" i="2" s="1"/>
  <c r="AY49" i="2" s="1"/>
  <c r="AY50" i="2" s="1"/>
  <c r="AY51" i="2" s="1"/>
  <c r="AK44" i="2"/>
  <c r="AJ44" i="2"/>
  <c r="AG44" i="2"/>
  <c r="S44" i="2"/>
  <c r="BH40" i="2"/>
  <c r="BF40" i="2"/>
  <c r="BE40" i="2"/>
  <c r="BD40" i="2"/>
  <c r="AR40" i="2"/>
  <c r="AM40" i="2"/>
  <c r="AL40" i="2"/>
  <c r="BF39" i="2"/>
  <c r="BE39" i="2"/>
  <c r="BD39" i="2"/>
  <c r="AY39" i="2"/>
  <c r="AY40" i="2" s="1"/>
  <c r="AY41" i="2" s="1"/>
  <c r="AR39" i="2"/>
  <c r="AM39" i="2"/>
  <c r="AL39" i="2"/>
  <c r="BH38" i="2"/>
  <c r="BF38" i="2"/>
  <c r="BE38" i="2"/>
  <c r="AR38" i="2"/>
  <c r="AM38" i="2"/>
  <c r="AL38" i="2"/>
  <c r="BH37" i="2"/>
  <c r="BF37" i="2"/>
  <c r="BD37" i="2"/>
  <c r="BC37" i="2"/>
  <c r="AZ37" i="2"/>
  <c r="AM37" i="2"/>
  <c r="AL37" i="2"/>
  <c r="C37" i="2"/>
  <c r="AR37" i="2" s="1"/>
  <c r="BH36" i="2"/>
  <c r="BG36" i="2"/>
  <c r="BG37" i="2" s="1"/>
  <c r="AR36" i="2"/>
  <c r="AM36" i="2"/>
  <c r="AL36" i="2"/>
  <c r="BH35" i="2"/>
  <c r="AK35" i="2"/>
  <c r="AJ35" i="2"/>
  <c r="AI35" i="2"/>
  <c r="AG35" i="2"/>
  <c r="S35" i="2"/>
  <c r="C35" i="2"/>
  <c r="BH34" i="2"/>
  <c r="AR34" i="2"/>
  <c r="AM34" i="2"/>
  <c r="AL34" i="2"/>
  <c r="BH33" i="2"/>
  <c r="AR33" i="2"/>
  <c r="AM33" i="2"/>
  <c r="AL33" i="2"/>
  <c r="AM32" i="2"/>
  <c r="AL32" i="2"/>
  <c r="AI32" i="2"/>
  <c r="C32" i="2"/>
  <c r="AR31" i="2"/>
  <c r="AM31" i="2"/>
  <c r="AL31" i="2"/>
  <c r="AM30" i="2"/>
  <c r="AL30" i="2"/>
  <c r="AI30" i="2"/>
  <c r="AR30" i="2" s="1"/>
  <c r="AR29" i="2"/>
  <c r="AM29" i="2"/>
  <c r="AL29" i="2"/>
  <c r="AR28" i="2"/>
  <c r="AM28" i="2"/>
  <c r="AL28" i="2"/>
  <c r="AR27" i="2"/>
  <c r="AM27" i="2"/>
  <c r="AL27" i="2"/>
  <c r="AR26" i="2"/>
  <c r="AM26" i="2"/>
  <c r="AL26" i="2"/>
  <c r="AR25" i="2"/>
  <c r="AM25" i="2"/>
  <c r="AL25" i="2"/>
  <c r="BC21" i="2"/>
  <c r="AS21" i="2"/>
  <c r="AR21" i="2"/>
  <c r="AM21" i="2"/>
  <c r="BC19" i="2"/>
  <c r="AS19" i="2"/>
  <c r="AR19" i="2"/>
  <c r="AM19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BG39" i="2" l="1"/>
  <c r="BG40" i="2" s="1"/>
  <c r="S45" i="2"/>
  <c r="S46" i="2" s="1"/>
  <c r="S47" i="2" s="1"/>
  <c r="S48" i="2" s="1"/>
  <c r="S49" i="2" s="1"/>
  <c r="AM35" i="2"/>
  <c r="AG45" i="2"/>
  <c r="AG46" i="2" s="1"/>
  <c r="AG47" i="2" s="1"/>
  <c r="AG48" i="2" s="1"/>
  <c r="AG49" i="2" s="1"/>
  <c r="AG50" i="2" s="1"/>
  <c r="AG51" i="2" s="1"/>
  <c r="AR32" i="2"/>
  <c r="AJ45" i="2"/>
  <c r="AR35" i="2"/>
  <c r="AK45" i="2"/>
  <c r="AK46" i="2" s="1"/>
  <c r="AK47" i="2" s="1"/>
  <c r="AK48" i="2" s="1"/>
  <c r="AK49" i="2" s="1"/>
  <c r="AK50" i="2" s="1"/>
  <c r="AK51" i="2" s="1"/>
  <c r="AR60" i="2"/>
  <c r="AL35" i="2"/>
  <c r="AJ62" i="2"/>
  <c r="S60" i="2"/>
  <c r="S61" i="2" l="1"/>
  <c r="AM60" i="2"/>
  <c r="S62" i="2" l="1"/>
  <c r="AM61" i="2"/>
</calcChain>
</file>

<file path=xl/sharedStrings.xml><?xml version="1.0" encoding="utf-8"?>
<sst xmlns="http://schemas.openxmlformats.org/spreadsheetml/2006/main" count="363" uniqueCount="236">
  <si>
    <t>GMV YTD target</t>
  </si>
  <si>
    <t>GMV Weekly actual</t>
  </si>
  <si>
    <t>Net revenue YTD target</t>
  </si>
  <si>
    <t>Tier 3 Lagos</t>
  </si>
  <si>
    <t>Tier 2 Lagos</t>
  </si>
  <si>
    <t>Tier 3 Abuja</t>
  </si>
  <si>
    <t xml:space="preserve"> Weekly contribution of product(Sand)  Value</t>
  </si>
  <si>
    <t xml:space="preserve">% Weekly contribution of product(Sand) </t>
  </si>
  <si>
    <t>Weekly contribution of product(Granite) Value</t>
  </si>
  <si>
    <t xml:space="preserve">% Weekly contribution of product(Granite) </t>
  </si>
  <si>
    <t>Weekly contribution of product(Steel &amp; Reinforcement) Value</t>
  </si>
  <si>
    <t xml:space="preserve">% Weekly contribution of product(Steel &amp; Reinforcement) </t>
  </si>
  <si>
    <t>Weekly contribution of product(Cement)  Value</t>
  </si>
  <si>
    <t xml:space="preserve">% Weekly contribution of product(Cement) </t>
  </si>
  <si>
    <t>Weekly contribution of product(wood and board) Value</t>
  </si>
  <si>
    <t>GMV Monthly target</t>
  </si>
  <si>
    <t>% Weekly contribution of product(wood and board)</t>
  </si>
  <si>
    <t>GMV Monthly actual</t>
  </si>
  <si>
    <t>GMV Weekly target</t>
  </si>
  <si>
    <t>Monthly contribution of product(Steel &amp; Reinforcement) Value</t>
  </si>
  <si>
    <t xml:space="preserve">% Monthly contribution of product(Steel &amp; Reinforcement) </t>
  </si>
  <si>
    <t>Monthly contribution of product(Cement) Value</t>
  </si>
  <si>
    <t xml:space="preserve">% Monthly contribution of product(Cement) </t>
  </si>
  <si>
    <t>Monthly contribution of product(Sand) Value</t>
  </si>
  <si>
    <t>% Monthly contribution of product(Sand)</t>
  </si>
  <si>
    <t>Monthly contribution of product(Granite) Value</t>
  </si>
  <si>
    <t>% Monthly contribution of product(Granite)</t>
  </si>
  <si>
    <t>Monthly contribution of product(Bricks &amp; Block) Value</t>
  </si>
  <si>
    <t>% Monthly contribution of product(Bricks &amp; Block)</t>
  </si>
  <si>
    <t>Monthly contribution of product(wood) Value</t>
  </si>
  <si>
    <t>% Monthly contribution of product(wood)</t>
  </si>
  <si>
    <t>GMV YTD actual</t>
  </si>
  <si>
    <t xml:space="preserve">Cash in vault </t>
  </si>
  <si>
    <t>Revenue Weekly actual</t>
  </si>
  <si>
    <t>Revenue Monthly actual</t>
  </si>
  <si>
    <t>Revenue YTD actual</t>
  </si>
  <si>
    <t>Take rate % YTD</t>
  </si>
  <si>
    <t>Take rate % Monthly</t>
  </si>
  <si>
    <t>Dollar Exchange rate</t>
  </si>
  <si>
    <t>Net cash collection YTD</t>
  </si>
  <si>
    <t>Weekly credit repayment</t>
  </si>
  <si>
    <t>Default Rate</t>
  </si>
  <si>
    <t>Take rate % Weekly</t>
  </si>
  <si>
    <t>Commission Earned (YTD)</t>
  </si>
  <si>
    <t>Take rate % (Accessories nail)</t>
  </si>
  <si>
    <t>Take rate % (sand)</t>
  </si>
  <si>
    <t>Take rate % (Granite)</t>
  </si>
  <si>
    <t>Take rate % (Steel &amp; Reinforcement)</t>
  </si>
  <si>
    <t>Take rate % (Cement)</t>
  </si>
  <si>
    <t>Commission Earned (Monthly)</t>
  </si>
  <si>
    <t>Commission Earned (Weekly)</t>
  </si>
  <si>
    <t>Open Invoices (YTD)</t>
  </si>
  <si>
    <t>Open Invoices (Monthly)</t>
  </si>
  <si>
    <t>Open Invoices (Weekly)</t>
  </si>
  <si>
    <t>No. Client Payment Received before delivery %</t>
  </si>
  <si>
    <t>No of Client Payment Received Upon delivery % (same day)</t>
  </si>
  <si>
    <t xml:space="preserve">No of Credit transactions </t>
  </si>
  <si>
    <t>Continental Civil Receivable [Supplier fully paid, Client is yet to be Invoiced]</t>
  </si>
  <si>
    <t>Receivable [Due Credit Transactions]</t>
  </si>
  <si>
    <t>Receivable [ Client has paid,Supplier has been paid, delivery is yet to be made by Us]</t>
  </si>
  <si>
    <t>Material Generating the Most GMV</t>
  </si>
  <si>
    <t>Cement</t>
  </si>
  <si>
    <t>Steel &amp; Reinforcement</t>
  </si>
  <si>
    <t>Electricals</t>
  </si>
  <si>
    <t>Wood &amp; Boards</t>
  </si>
  <si>
    <t>Steel and Reinforcement</t>
  </si>
  <si>
    <t>Steel and reinforcement</t>
  </si>
  <si>
    <t>Aggregate/Steel &amp; reinforcement</t>
  </si>
  <si>
    <t>Ymm PSL Rebar</t>
  </si>
  <si>
    <t xml:space="preserve">Aggregate </t>
  </si>
  <si>
    <t>Material that Generated the Highest Take rate for the Week</t>
  </si>
  <si>
    <t>Bricks &amp; Block</t>
  </si>
  <si>
    <t>Sand &amp; Granite</t>
  </si>
  <si>
    <t>Sand and Granite</t>
  </si>
  <si>
    <t>PPE</t>
  </si>
  <si>
    <t>Plumbing and Sanitary wears</t>
  </si>
  <si>
    <t>Sharp sand</t>
  </si>
  <si>
    <t>Stone dust</t>
  </si>
  <si>
    <t>Plumbing and sanitary wears</t>
  </si>
  <si>
    <t>Plastersand</t>
  </si>
  <si>
    <t>Sharp sand &amp; Granite</t>
  </si>
  <si>
    <t>Sand</t>
  </si>
  <si>
    <t>sand</t>
  </si>
  <si>
    <t>Take rate % for material generating the most revenue</t>
  </si>
  <si>
    <r>
      <rPr>
        <sz val="10"/>
        <color rgb="FF000000"/>
        <rFont val="Georgia"/>
        <family val="1"/>
      </rPr>
      <t xml:space="preserve">Total GMV generated </t>
    </r>
    <r>
      <rPr>
        <sz val="8"/>
        <color rgb="FF000000"/>
        <rFont val="Georgia"/>
        <family val="1"/>
      </rPr>
      <t>(per week)</t>
    </r>
  </si>
  <si>
    <t>GMV - Transaction delta (%)</t>
  </si>
  <si>
    <r>
      <rPr>
        <sz val="10"/>
        <color rgb="FF000000"/>
        <rFont val="Georgia"/>
        <family val="1"/>
      </rPr>
      <t xml:space="preserve">Total Revenue generated </t>
    </r>
    <r>
      <rPr>
        <sz val="8"/>
        <color rgb="FF000000"/>
        <rFont val="Georgia"/>
        <family val="1"/>
      </rPr>
      <t>(per week)</t>
    </r>
  </si>
  <si>
    <t>Revenue delta (%)</t>
  </si>
  <si>
    <r>
      <rPr>
        <sz val="10"/>
        <color rgb="FF000000"/>
        <rFont val="Georgia"/>
        <family val="1"/>
      </rPr>
      <t xml:space="preserve">Total outbound calls </t>
    </r>
    <r>
      <rPr>
        <sz val="8"/>
        <color rgb="FF000000"/>
        <rFont val="Georgia"/>
        <family val="1"/>
      </rPr>
      <t>(100 calls per person per week)</t>
    </r>
  </si>
  <si>
    <t>Outbound Calls Outcome (RFQs/MS/BOQs)</t>
  </si>
  <si>
    <t>Call conversion (%)</t>
  </si>
  <si>
    <r>
      <rPr>
        <sz val="10"/>
        <color rgb="FF000000"/>
        <rFont val="Georgia"/>
        <family val="1"/>
      </rPr>
      <t xml:space="preserve">No. Sites Visits done per week  </t>
    </r>
    <r>
      <rPr>
        <sz val="8"/>
        <color rgb="FF000000"/>
        <rFont val="Georgia"/>
        <family val="1"/>
      </rPr>
      <t>(15 visits per person)</t>
    </r>
  </si>
  <si>
    <r>
      <rPr>
        <sz val="10"/>
        <color rgb="FF000000"/>
        <rFont val="Georgia"/>
        <family val="1"/>
      </rPr>
      <t xml:space="preserve">Sites Visits Outcome </t>
    </r>
    <r>
      <rPr>
        <sz val="9"/>
        <color rgb="FF000000"/>
        <rFont val="Georgia"/>
        <family val="1"/>
      </rPr>
      <t>(RFQs/MS/BOQs)</t>
    </r>
  </si>
  <si>
    <t>Site Visits conversion (%)</t>
  </si>
  <si>
    <t>No. of Marketing RFQs received</t>
  </si>
  <si>
    <t>Total No. of RFQs received</t>
  </si>
  <si>
    <t>No of Successful Transactions</t>
  </si>
  <si>
    <t>RFQ conversion (%)</t>
  </si>
  <si>
    <t>Total No of BOQ/Material schedules received</t>
  </si>
  <si>
    <t xml:space="preserve">No. of leads in pipepline </t>
  </si>
  <si>
    <t>No. of qualified leads</t>
  </si>
  <si>
    <t>No. of converted leads</t>
  </si>
  <si>
    <t>Leads conversion rate</t>
  </si>
  <si>
    <t>No. of failed transactions</t>
  </si>
  <si>
    <t>% conversion of failed transactions</t>
  </si>
  <si>
    <t>No of Referrals internally</t>
  </si>
  <si>
    <t>No. of Demos conducted</t>
  </si>
  <si>
    <t>Total no of new customers MTD</t>
  </si>
  <si>
    <t>Total no of new customers WTD</t>
  </si>
  <si>
    <t xml:space="preserve">Total no of Returning  customers </t>
  </si>
  <si>
    <t xml:space="preserve">Total no of Transacting customers </t>
  </si>
  <si>
    <t>No. of Successful Transactions</t>
  </si>
  <si>
    <t>Total No of Material schedules received</t>
  </si>
  <si>
    <t>Total Vendors in Database (Tier 1 - 3)</t>
  </si>
  <si>
    <t>Total Vendors in Database - Tier-1</t>
  </si>
  <si>
    <t xml:space="preserve">Total Vendors in Database - Tier-2 </t>
  </si>
  <si>
    <t>Total Vendors in Database - Tier-3</t>
  </si>
  <si>
    <t>Number of Tier 1 Vendors WTD</t>
  </si>
  <si>
    <t>Number of Tier 2 Vendors WTD</t>
  </si>
  <si>
    <t>Number of Tier 3 Vendors WTD</t>
  </si>
  <si>
    <t>Percentage of Tier 1 Vendors</t>
  </si>
  <si>
    <t>Number of MOU agreements signed with Tier 1 &amp; 2</t>
  </si>
  <si>
    <t>Number of Deals of the week structured</t>
  </si>
  <si>
    <t>Number of Materials Prices Locked</t>
  </si>
  <si>
    <t>Total Material Schedule Created</t>
  </si>
  <si>
    <t>Total Analysed Material Schedule</t>
  </si>
  <si>
    <r>
      <rPr>
        <sz val="10"/>
        <color rgb="FF000000"/>
        <rFont val="Georgia"/>
        <family val="1"/>
      </rPr>
      <t xml:space="preserve">Active vendor per week </t>
    </r>
    <r>
      <rPr>
        <i/>
        <sz val="8"/>
        <color rgb="FF000000"/>
        <rFont val="Georgia"/>
        <family val="1"/>
      </rPr>
      <t>(Supplied)</t>
    </r>
  </si>
  <si>
    <t>No. RFQs received</t>
  </si>
  <si>
    <t xml:space="preserve">No. RFQs responded to </t>
  </si>
  <si>
    <t>Response Rate (%)</t>
  </si>
  <si>
    <t>Total number of Bids delivered (min. 3 bids per RFQ)</t>
  </si>
  <si>
    <t>No. of successful transactions</t>
  </si>
  <si>
    <t>No. of pending orders</t>
  </si>
  <si>
    <t>No. of failed orders</t>
  </si>
  <si>
    <t>Conversion Rate for successful transactions</t>
  </si>
  <si>
    <t>% of Quotes sent out within response time (10mins)</t>
  </si>
  <si>
    <t>Current Streak Count (Number of consecutive successful transaction)</t>
  </si>
  <si>
    <t>Longest Streak count</t>
  </si>
  <si>
    <t>Streak Success rate</t>
  </si>
  <si>
    <t xml:space="preserve">% increase in website traffic per week  </t>
  </si>
  <si>
    <t xml:space="preserve">No. of Content released </t>
  </si>
  <si>
    <t>No. of Inbound WhatsApp Chat</t>
  </si>
  <si>
    <t xml:space="preserve">No. of Inbound RFQs </t>
  </si>
  <si>
    <t>Marketplace RFQs</t>
  </si>
  <si>
    <t>Potential Product Partnerships</t>
  </si>
  <si>
    <t>Successful Product Partnerships</t>
  </si>
  <si>
    <t>Price Tracker</t>
  </si>
  <si>
    <t>Share Price Tracker</t>
  </si>
  <si>
    <t>RFQ Converted from WhatsApp channel</t>
  </si>
  <si>
    <t>Onboarding Started</t>
  </si>
  <si>
    <t>Onboarding Completed</t>
  </si>
  <si>
    <t>Project Created</t>
  </si>
  <si>
    <t>RFQ Created</t>
  </si>
  <si>
    <t>No. of content published</t>
  </si>
  <si>
    <t>No. of media mentions</t>
  </si>
  <si>
    <t>GMV Generated</t>
  </si>
  <si>
    <t>No. of Events</t>
  </si>
  <si>
    <t xml:space="preserve">No. of Leads </t>
  </si>
  <si>
    <t>Deal of the day</t>
  </si>
  <si>
    <t>Marketing Campaigns</t>
  </si>
  <si>
    <t>RFQ Response Time</t>
  </si>
  <si>
    <t>10mins</t>
  </si>
  <si>
    <t>21mins</t>
  </si>
  <si>
    <t>31mins</t>
  </si>
  <si>
    <t>85mins</t>
  </si>
  <si>
    <t>65mins</t>
  </si>
  <si>
    <t>67mins</t>
  </si>
  <si>
    <t>70mins</t>
  </si>
  <si>
    <t>55mins</t>
  </si>
  <si>
    <t>97mins</t>
  </si>
  <si>
    <t>51mins</t>
  </si>
  <si>
    <t>56mins</t>
  </si>
  <si>
    <t>50mins</t>
  </si>
  <si>
    <t>60mins</t>
  </si>
  <si>
    <t>39mins</t>
  </si>
  <si>
    <t>20mins</t>
  </si>
  <si>
    <t>18mins</t>
  </si>
  <si>
    <t>13mins</t>
  </si>
  <si>
    <t>15mins</t>
  </si>
  <si>
    <t>12mins</t>
  </si>
  <si>
    <t>37mins</t>
  </si>
  <si>
    <t>30mins</t>
  </si>
  <si>
    <t>25mins</t>
  </si>
  <si>
    <t>35mins</t>
  </si>
  <si>
    <t>Response Time for Invoice</t>
  </si>
  <si>
    <t>19mins</t>
  </si>
  <si>
    <t>9mins</t>
  </si>
  <si>
    <t>8mins</t>
  </si>
  <si>
    <t>10min</t>
  </si>
  <si>
    <t>7min</t>
  </si>
  <si>
    <t>12min</t>
  </si>
  <si>
    <t>17mins</t>
  </si>
  <si>
    <t>2omins</t>
  </si>
  <si>
    <t>Total Turn around time for delivery</t>
  </si>
  <si>
    <t>39hrs</t>
  </si>
  <si>
    <t>29hrs</t>
  </si>
  <si>
    <t>22hrs</t>
  </si>
  <si>
    <t>17hrs</t>
  </si>
  <si>
    <t>10hrs</t>
  </si>
  <si>
    <t>13hrs</t>
  </si>
  <si>
    <t>36hrs</t>
  </si>
  <si>
    <t>16hrs</t>
  </si>
  <si>
    <t>33hrs</t>
  </si>
  <si>
    <t>25hrs</t>
  </si>
  <si>
    <t>19hrs</t>
  </si>
  <si>
    <t>7hrs</t>
  </si>
  <si>
    <t>5hrs</t>
  </si>
  <si>
    <t>6hrs</t>
  </si>
  <si>
    <t>4hrs</t>
  </si>
  <si>
    <t>8hrs</t>
  </si>
  <si>
    <t>Total number of inquiries received</t>
  </si>
  <si>
    <t>Total number of RFQ received online</t>
  </si>
  <si>
    <t>Total number of Complaints Received</t>
  </si>
  <si>
    <t>Total number of  Opened Disputes</t>
  </si>
  <si>
    <t>Turn around time to respond to inquiry or complaints</t>
  </si>
  <si>
    <t>7mins</t>
  </si>
  <si>
    <t>5mins</t>
  </si>
  <si>
    <t>11mins</t>
  </si>
  <si>
    <t>2mins</t>
  </si>
  <si>
    <t>3mins</t>
  </si>
  <si>
    <t>Turn around Time to resolve complaints/ disputes</t>
  </si>
  <si>
    <t>5hs</t>
  </si>
  <si>
    <t>2hrs</t>
  </si>
  <si>
    <t>35hrs</t>
  </si>
  <si>
    <t xml:space="preserve">Total number of  Successful Transactiion </t>
  </si>
  <si>
    <t>No. of Customers contacted after successful Transaction</t>
  </si>
  <si>
    <t xml:space="preserve">  </t>
  </si>
  <si>
    <t>Number of Buyers contacted</t>
  </si>
  <si>
    <t>Total Number of Vendors Contacted</t>
  </si>
  <si>
    <t>No. of customer Feedback received</t>
  </si>
  <si>
    <t>Customer Satisfaction Score</t>
  </si>
  <si>
    <t>No of Returning Customers</t>
  </si>
  <si>
    <t>Total number of Returning Customers</t>
  </si>
  <si>
    <t>Date</t>
  </si>
  <si>
    <t xml:space="preserve"> </t>
  </si>
  <si>
    <t>80 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</si>
</sst>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* #,##0.00_-;\-* #,##0.00_-;_-* &quot;-&quot;?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rgb="FF000000"/>
      <name val="Georgia"/>
      <family val="1"/>
    </font>
    <font>
      <sz val="8"/>
      <color rgb="FF000000"/>
      <name val="Georgia"/>
      <family val="1"/>
    </font>
    <font>
      <sz val="9"/>
      <color rgb="FF000000"/>
      <name val="Georgia"/>
      <family val="1"/>
    </font>
    <font>
      <i/>
      <sz val="8"/>
      <color rgb="FF000000"/>
      <name val="Georg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164" fontId="0" fillId="0" borderId="0" xfId="1" applyFont="1"/>
    <xf numFmtId="0" fontId="0" fillId="0" borderId="0" xfId="0" applyAlignment="1">
      <alignment horizontal="center" wrapText="1"/>
    </xf>
    <xf numFmtId="164" fontId="0" fillId="0" borderId="0" xfId="1" applyFont="1" applyAlignment="1">
      <alignment horizontal="center" wrapText="1"/>
    </xf>
    <xf numFmtId="2" fontId="0" fillId="0" borderId="0" xfId="0" applyNumberFormat="1" applyAlignment="1">
      <alignment horizontal="center" wrapText="1"/>
    </xf>
    <xf numFmtId="2" fontId="0" fillId="0" borderId="0" xfId="1" applyNumberFormat="1" applyFont="1"/>
    <xf numFmtId="0" fontId="0" fillId="0" borderId="0" xfId="1" applyNumberFormat="1" applyFont="1"/>
    <xf numFmtId="9" fontId="0" fillId="0" borderId="0" xfId="2" applyFont="1" applyAlignment="1">
      <alignment horizontal="center" wrapText="1"/>
    </xf>
    <xf numFmtId="9" fontId="0" fillId="0" borderId="0" xfId="2" applyFont="1"/>
    <xf numFmtId="14" fontId="0" fillId="0" borderId="0" xfId="0" applyNumberFormat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1" defaultTableStyle="TableStyleMedium2" defaultPivotStyle="PivotStyleLight16">
    <tableStyle name="Invisible" pivot="0" table="0" count="0" xr9:uid="{6B13785B-100A-4856-A610-2988B0A67D1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80559-69AB-4340-B6B8-7BCEEE4D07AF}">
  <dimension ref="A1:BL62"/>
  <sheetViews>
    <sheetView tabSelected="1" workbookViewId="0">
      <selection activeCell="F12" sqref="F12"/>
    </sheetView>
  </sheetViews>
  <sheetFormatPr defaultColWidth="18" defaultRowHeight="15" x14ac:dyDescent="0.25"/>
  <cols>
    <col min="1" max="1" width="18" style="1"/>
    <col min="2" max="2" width="19.140625" style="2" customWidth="1"/>
    <col min="3" max="3" width="22.42578125" style="2" customWidth="1"/>
    <col min="4" max="63" width="18" style="2"/>
  </cols>
  <sheetData>
    <row r="1" spans="1:64" s="3" customFormat="1" ht="79.5" customHeight="1" x14ac:dyDescent="0.25">
      <c r="A1" s="10" t="s">
        <v>233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70</v>
      </c>
      <c r="BL1" s="3" t="s">
        <v>83</v>
      </c>
    </row>
    <row r="2" spans="1:64" x14ac:dyDescent="0.25">
      <c r="A2" s="1">
        <v>45292</v>
      </c>
      <c r="BL2" s="2"/>
    </row>
    <row r="3" spans="1:64" x14ac:dyDescent="0.25">
      <c r="A3" s="1">
        <f t="shared" ref="A3:A34" si="0">A2+7</f>
        <v>45299</v>
      </c>
      <c r="BL3" s="2"/>
    </row>
    <row r="4" spans="1:64" x14ac:dyDescent="0.25">
      <c r="A4" s="1">
        <f t="shared" si="0"/>
        <v>45306</v>
      </c>
      <c r="BL4" s="2"/>
    </row>
    <row r="5" spans="1:64" x14ac:dyDescent="0.25">
      <c r="A5" s="1">
        <f t="shared" si="0"/>
        <v>45313</v>
      </c>
      <c r="BL5" s="2"/>
    </row>
    <row r="6" spans="1:64" x14ac:dyDescent="0.25">
      <c r="A6" s="1">
        <f t="shared" si="0"/>
        <v>45320</v>
      </c>
      <c r="BL6" s="2"/>
    </row>
    <row r="7" spans="1:64" x14ac:dyDescent="0.25">
      <c r="A7" s="1">
        <f t="shared" si="0"/>
        <v>45327</v>
      </c>
      <c r="C7" s="2">
        <v>77954489</v>
      </c>
      <c r="H7" s="2">
        <v>2707000</v>
      </c>
      <c r="L7" s="2">
        <v>25331135</v>
      </c>
      <c r="N7" s="2">
        <v>49174869</v>
      </c>
      <c r="S7" s="2">
        <v>106230489</v>
      </c>
      <c r="T7" s="2">
        <v>106230489</v>
      </c>
      <c r="U7" s="2">
        <v>47647135</v>
      </c>
      <c r="W7" s="2">
        <v>52894869</v>
      </c>
      <c r="Y7" s="2">
        <v>4935000</v>
      </c>
      <c r="AC7" s="2">
        <v>259500</v>
      </c>
      <c r="AG7" s="2">
        <v>334800976.19999999</v>
      </c>
      <c r="AH7" s="2">
        <v>14145888</v>
      </c>
      <c r="AI7" s="2">
        <v>1159489</v>
      </c>
      <c r="AJ7" s="2">
        <v>1201489</v>
      </c>
      <c r="AK7" s="2">
        <v>5891516.2000000002</v>
      </c>
      <c r="AM7" s="2">
        <v>1.4E-3</v>
      </c>
      <c r="AR7" s="2">
        <v>1.38E-2</v>
      </c>
      <c r="AS7" s="2">
        <v>1.4800000000000001E-2</v>
      </c>
      <c r="AT7" s="2">
        <v>2.2499999999999999E-2</v>
      </c>
      <c r="AU7" s="2">
        <v>2.1499999999999998E-2</v>
      </c>
      <c r="AW7" s="2">
        <v>1.9599999999999999E-2</v>
      </c>
      <c r="AY7" s="2">
        <v>65948.5</v>
      </c>
      <c r="AZ7" s="2">
        <v>64148.5</v>
      </c>
      <c r="BD7" s="2">
        <v>0.6</v>
      </c>
      <c r="BE7" s="2">
        <v>0.4</v>
      </c>
      <c r="BF7" s="2">
        <v>0.1</v>
      </c>
      <c r="BH7" s="2">
        <v>0</v>
      </c>
      <c r="BJ7" s="2" t="s">
        <v>61</v>
      </c>
      <c r="BK7" s="2" t="s">
        <v>71</v>
      </c>
      <c r="BL7" s="2">
        <v>7.51E-2</v>
      </c>
    </row>
    <row r="8" spans="1:64" x14ac:dyDescent="0.25">
      <c r="A8" s="1">
        <f t="shared" si="0"/>
        <v>45334</v>
      </c>
      <c r="BL8" s="2"/>
    </row>
    <row r="9" spans="1:64" x14ac:dyDescent="0.25">
      <c r="A9" s="1">
        <f t="shared" si="0"/>
        <v>45341</v>
      </c>
      <c r="BL9" s="2"/>
    </row>
    <row r="10" spans="1:64" x14ac:dyDescent="0.25">
      <c r="A10" s="1">
        <f t="shared" si="0"/>
        <v>45348</v>
      </c>
      <c r="BL10" s="2"/>
    </row>
    <row r="11" spans="1:64" x14ac:dyDescent="0.25">
      <c r="A11" s="1">
        <f t="shared" si="0"/>
        <v>45355</v>
      </c>
      <c r="BL11" s="2"/>
    </row>
    <row r="12" spans="1:64" x14ac:dyDescent="0.25">
      <c r="A12" s="1">
        <f t="shared" si="0"/>
        <v>45362</v>
      </c>
      <c r="BL12" s="2"/>
    </row>
    <row r="13" spans="1:64" x14ac:dyDescent="0.25">
      <c r="A13" s="1">
        <f t="shared" si="0"/>
        <v>45369</v>
      </c>
      <c r="BL13" s="2"/>
    </row>
    <row r="14" spans="1:64" x14ac:dyDescent="0.25">
      <c r="A14" s="1">
        <f t="shared" si="0"/>
        <v>45376</v>
      </c>
      <c r="AI14" s="2" t="s">
        <v>234</v>
      </c>
      <c r="BL14" s="2"/>
    </row>
    <row r="15" spans="1:64" x14ac:dyDescent="0.25">
      <c r="A15" s="1">
        <f t="shared" si="0"/>
        <v>45383</v>
      </c>
      <c r="BL15" s="2"/>
    </row>
    <row r="16" spans="1:64" x14ac:dyDescent="0.25">
      <c r="A16" s="1">
        <f t="shared" si="0"/>
        <v>45390</v>
      </c>
      <c r="BL16" s="2"/>
    </row>
    <row r="17" spans="1:64" x14ac:dyDescent="0.25">
      <c r="A17" s="1">
        <f t="shared" si="0"/>
        <v>45397</v>
      </c>
      <c r="BL17" s="2"/>
    </row>
    <row r="18" spans="1:64" x14ac:dyDescent="0.25">
      <c r="A18" s="1">
        <f t="shared" si="0"/>
        <v>45404</v>
      </c>
      <c r="BL18" s="2"/>
    </row>
    <row r="19" spans="1:64" x14ac:dyDescent="0.25">
      <c r="A19" s="1">
        <f t="shared" si="0"/>
        <v>45411</v>
      </c>
      <c r="B19" s="2">
        <v>100000000000</v>
      </c>
      <c r="C19" s="2">
        <v>3316320</v>
      </c>
      <c r="D19" s="2">
        <v>3000000000</v>
      </c>
      <c r="Q19" s="2">
        <v>8800000000</v>
      </c>
      <c r="S19" s="2">
        <v>15534320</v>
      </c>
      <c r="T19" s="2">
        <v>2000000000</v>
      </c>
      <c r="AG19" s="2">
        <v>23904885</v>
      </c>
      <c r="AK19" s="2">
        <v>385160</v>
      </c>
      <c r="AM19" s="2">
        <f>Q19/AG19</f>
        <v>368.12559441302477</v>
      </c>
      <c r="AR19" s="2">
        <f>D19/C19</f>
        <v>904.61716601534226</v>
      </c>
      <c r="AS19" s="2">
        <f>AK19/D19</f>
        <v>1.2838666666666667E-4</v>
      </c>
      <c r="BC19" s="2">
        <f>AJ19/AK19</f>
        <v>0</v>
      </c>
      <c r="BL19" s="2"/>
    </row>
    <row r="20" spans="1:64" x14ac:dyDescent="0.25">
      <c r="A20" s="1">
        <f t="shared" si="0"/>
        <v>45418</v>
      </c>
      <c r="BL20" s="2"/>
    </row>
    <row r="21" spans="1:64" x14ac:dyDescent="0.25">
      <c r="A21" s="1">
        <f t="shared" si="0"/>
        <v>45425</v>
      </c>
      <c r="B21" s="2">
        <v>100000000000</v>
      </c>
      <c r="C21" s="2">
        <v>2798850</v>
      </c>
      <c r="D21" s="2">
        <v>3000000000</v>
      </c>
      <c r="Q21" s="2">
        <v>8800000000</v>
      </c>
      <c r="S21" s="2">
        <v>18383170</v>
      </c>
      <c r="T21" s="2">
        <v>2000000000</v>
      </c>
      <c r="AG21" s="2">
        <v>26703775</v>
      </c>
      <c r="AK21" s="2">
        <v>392160</v>
      </c>
      <c r="AM21" s="2">
        <f>Q21/AG21</f>
        <v>329.54142251423252</v>
      </c>
      <c r="AR21" s="2">
        <f>D21/C21</f>
        <v>1071.8688032584812</v>
      </c>
      <c r="AS21" s="2">
        <f>AK21/D21</f>
        <v>1.3072E-4</v>
      </c>
      <c r="BC21" s="2">
        <f>AJ21/AK21</f>
        <v>0</v>
      </c>
      <c r="BL21" s="2"/>
    </row>
    <row r="22" spans="1:64" x14ac:dyDescent="0.25">
      <c r="A22" s="1">
        <f t="shared" si="0"/>
        <v>45432</v>
      </c>
      <c r="B22" s="2">
        <v>100000000000</v>
      </c>
      <c r="C22" s="2">
        <v>11952000</v>
      </c>
      <c r="D22" s="2">
        <v>3000000000</v>
      </c>
      <c r="Q22" s="2">
        <v>8800000000</v>
      </c>
      <c r="S22" s="2">
        <v>30335170</v>
      </c>
      <c r="T22" s="2">
        <v>2000000000</v>
      </c>
      <c r="AG22" s="2">
        <v>38655735</v>
      </c>
      <c r="AK22" s="2">
        <v>613160</v>
      </c>
      <c r="BL22" s="2"/>
    </row>
    <row r="23" spans="1:64" x14ac:dyDescent="0.25">
      <c r="A23" s="1">
        <f t="shared" si="0"/>
        <v>45439</v>
      </c>
      <c r="B23" s="2">
        <v>100000000000</v>
      </c>
      <c r="C23" s="2">
        <v>32475320</v>
      </c>
      <c r="D23" s="2">
        <v>3000000000</v>
      </c>
      <c r="Q23" s="2">
        <v>8800000000</v>
      </c>
      <c r="S23" s="2">
        <v>62810490</v>
      </c>
      <c r="T23" s="2">
        <v>2000000000</v>
      </c>
      <c r="AG23" s="2">
        <v>71131055</v>
      </c>
      <c r="AK23" s="2">
        <v>757780</v>
      </c>
      <c r="BL23" s="2"/>
    </row>
    <row r="24" spans="1:64" x14ac:dyDescent="0.25">
      <c r="A24" s="1">
        <f t="shared" si="0"/>
        <v>45446</v>
      </c>
      <c r="B24" s="2">
        <v>100000000000</v>
      </c>
      <c r="C24" s="2">
        <v>6934060</v>
      </c>
      <c r="D24" s="2">
        <v>3000000000</v>
      </c>
      <c r="Q24" s="2">
        <v>8800000000</v>
      </c>
      <c r="S24" s="2">
        <v>69744550</v>
      </c>
      <c r="T24" s="2">
        <v>2000000000</v>
      </c>
      <c r="AG24" s="2">
        <v>78105115</v>
      </c>
      <c r="AK24" s="2">
        <v>1034840</v>
      </c>
      <c r="BL24" s="2"/>
    </row>
    <row r="25" spans="1:64" x14ac:dyDescent="0.25">
      <c r="A25" s="1">
        <f t="shared" si="0"/>
        <v>45453</v>
      </c>
      <c r="C25" s="2">
        <v>155276900</v>
      </c>
      <c r="S25" s="2">
        <v>166347900</v>
      </c>
      <c r="AG25" s="2">
        <v>238060015</v>
      </c>
      <c r="AI25" s="2">
        <v>13496400</v>
      </c>
      <c r="AJ25" s="2">
        <v>13967940</v>
      </c>
      <c r="AK25" s="2">
        <v>14738240</v>
      </c>
      <c r="AL25" s="2">
        <f t="shared" ref="AL25:AL40" si="1">AK25/AG25</f>
        <v>6.1909766745162978E-2</v>
      </c>
      <c r="AM25" s="2">
        <f t="shared" ref="AM25:AM40" si="2">AJ25/S25</f>
        <v>8.3968237651331934E-2</v>
      </c>
      <c r="AR25" s="2">
        <f t="shared" ref="AR25:AR40" si="3">AI25/C25</f>
        <v>8.691827309793021E-2</v>
      </c>
      <c r="BL25" s="2"/>
    </row>
    <row r="26" spans="1:64" x14ac:dyDescent="0.25">
      <c r="A26" s="1">
        <f t="shared" si="0"/>
        <v>45460</v>
      </c>
      <c r="C26" s="2">
        <v>1585200</v>
      </c>
      <c r="S26" s="2">
        <v>167932640</v>
      </c>
      <c r="AG26" s="2">
        <v>239645215</v>
      </c>
      <c r="AI26" s="2">
        <v>95200</v>
      </c>
      <c r="AJ26" s="2">
        <v>14063140</v>
      </c>
      <c r="AK26" s="2">
        <v>14833440</v>
      </c>
      <c r="AL26" s="2">
        <f t="shared" si="1"/>
        <v>6.1897501270784812E-2</v>
      </c>
      <c r="AM26" s="2">
        <f t="shared" si="2"/>
        <v>8.3742743519068116E-2</v>
      </c>
      <c r="AR26" s="2">
        <f t="shared" si="3"/>
        <v>6.0055513499873835E-2</v>
      </c>
      <c r="BL26" s="2"/>
    </row>
    <row r="27" spans="1:64" x14ac:dyDescent="0.25">
      <c r="A27" s="1">
        <f t="shared" si="0"/>
        <v>45467</v>
      </c>
      <c r="C27" s="2">
        <v>101610751</v>
      </c>
      <c r="S27" s="2">
        <v>269543391</v>
      </c>
      <c r="AG27" s="2">
        <v>341255966</v>
      </c>
      <c r="AI27" s="2">
        <v>8342451</v>
      </c>
      <c r="AJ27" s="2">
        <v>22405591</v>
      </c>
      <c r="AK27" s="2">
        <v>23215891.050000001</v>
      </c>
      <c r="AL27" s="2">
        <f t="shared" si="1"/>
        <v>6.8030725798358643E-2</v>
      </c>
      <c r="AM27" s="2">
        <f t="shared" si="2"/>
        <v>8.3124245476306258E-2</v>
      </c>
      <c r="AR27" s="2">
        <f t="shared" si="3"/>
        <v>8.210205040212723E-2</v>
      </c>
      <c r="AS27" s="2">
        <v>1519973</v>
      </c>
      <c r="AY27" s="2">
        <v>1519973</v>
      </c>
      <c r="AZ27" s="2">
        <v>1519973</v>
      </c>
      <c r="BL27" s="2"/>
    </row>
    <row r="28" spans="1:64" x14ac:dyDescent="0.25">
      <c r="A28" s="1">
        <f t="shared" si="0"/>
        <v>45474</v>
      </c>
      <c r="C28" s="2">
        <v>2620600</v>
      </c>
      <c r="S28" s="2">
        <v>2620600</v>
      </c>
      <c r="AG28" s="2">
        <v>343876566</v>
      </c>
      <c r="AI28" s="2">
        <v>104160</v>
      </c>
      <c r="AJ28" s="2">
        <v>104160</v>
      </c>
      <c r="AK28" s="2">
        <v>23320051</v>
      </c>
      <c r="AL28" s="2">
        <f t="shared" si="1"/>
        <v>6.7815179357118505E-2</v>
      </c>
      <c r="AM28" s="2">
        <f t="shared" si="2"/>
        <v>3.9746622910783791E-2</v>
      </c>
      <c r="AR28" s="2">
        <f t="shared" si="3"/>
        <v>3.9746622910783791E-2</v>
      </c>
      <c r="AS28" s="2">
        <v>2324665.1</v>
      </c>
      <c r="AY28" s="2">
        <v>10416</v>
      </c>
      <c r="AZ28" s="2">
        <v>10416</v>
      </c>
      <c r="BL28" s="2"/>
    </row>
    <row r="29" spans="1:64" x14ac:dyDescent="0.25">
      <c r="A29" s="1">
        <f t="shared" si="0"/>
        <v>45481</v>
      </c>
      <c r="C29" s="2">
        <v>16624322.48</v>
      </c>
      <c r="S29" s="2">
        <v>19244922.48</v>
      </c>
      <c r="AG29" s="2">
        <v>360500888</v>
      </c>
      <c r="AI29" s="2">
        <v>212492.48</v>
      </c>
      <c r="AJ29" s="2">
        <v>316652.48</v>
      </c>
      <c r="AK29" s="2">
        <v>23532543.48</v>
      </c>
      <c r="AL29" s="2">
        <f t="shared" si="1"/>
        <v>6.5277352326521876E-2</v>
      </c>
      <c r="AM29" s="2">
        <f t="shared" si="2"/>
        <v>1.6453819459604287E-2</v>
      </c>
      <c r="AR29" s="2">
        <f t="shared" si="3"/>
        <v>1.2782023463250336E-2</v>
      </c>
      <c r="AS29" s="2">
        <v>2339914.35</v>
      </c>
      <c r="AY29" s="2">
        <v>25665</v>
      </c>
      <c r="AZ29" s="2">
        <v>15249</v>
      </c>
      <c r="BA29" s="2">
        <v>175080740</v>
      </c>
      <c r="BB29" s="2">
        <v>154322820</v>
      </c>
      <c r="BC29" s="2">
        <v>39746520</v>
      </c>
      <c r="BG29" s="2">
        <v>96900000</v>
      </c>
      <c r="BH29" s="2">
        <v>66000000</v>
      </c>
      <c r="BL29" s="2"/>
    </row>
    <row r="30" spans="1:64" x14ac:dyDescent="0.25">
      <c r="A30" s="1">
        <f t="shared" si="0"/>
        <v>45488</v>
      </c>
      <c r="C30" s="2">
        <v>4426750</v>
      </c>
      <c r="S30" s="2">
        <v>24493672.48</v>
      </c>
      <c r="AG30" s="2">
        <v>365749638.48000002</v>
      </c>
      <c r="AI30" s="2">
        <f>AJ30-AI29</f>
        <v>182810.1</v>
      </c>
      <c r="AJ30" s="2">
        <v>395302.58</v>
      </c>
      <c r="AK30" s="2">
        <v>23611193.399999999</v>
      </c>
      <c r="AL30" s="2">
        <f t="shared" si="1"/>
        <v>6.4555616508944577E-2</v>
      </c>
      <c r="AM30" s="2">
        <f t="shared" si="2"/>
        <v>1.6138967332186685E-2</v>
      </c>
      <c r="AR30" s="2">
        <f t="shared" si="3"/>
        <v>4.1296684926865085E-2</v>
      </c>
      <c r="AS30" s="2">
        <v>2350779.35</v>
      </c>
      <c r="AY30" s="2">
        <v>36530.35</v>
      </c>
      <c r="AZ30" s="2">
        <v>10865.35</v>
      </c>
      <c r="BA30" s="2">
        <v>147572860</v>
      </c>
      <c r="BB30" s="2">
        <v>131256440</v>
      </c>
      <c r="BC30" s="2">
        <v>907120</v>
      </c>
      <c r="BG30" s="2">
        <v>96900000</v>
      </c>
      <c r="BH30" s="2">
        <v>66000000</v>
      </c>
      <c r="BI30" s="2">
        <v>1250000</v>
      </c>
      <c r="BJ30" s="2" t="s">
        <v>62</v>
      </c>
      <c r="BL30" s="2"/>
    </row>
    <row r="31" spans="1:64" x14ac:dyDescent="0.25">
      <c r="A31" s="1">
        <f t="shared" si="0"/>
        <v>45495</v>
      </c>
      <c r="C31" s="2">
        <v>62134012</v>
      </c>
      <c r="S31" s="2">
        <v>86657684.480000004</v>
      </c>
      <c r="AG31" s="2">
        <v>433483650.48000002</v>
      </c>
      <c r="AI31" s="2">
        <v>6922812</v>
      </c>
      <c r="AJ31" s="2">
        <v>7407114.4800000004</v>
      </c>
      <c r="AK31" s="2">
        <v>29193405.48</v>
      </c>
      <c r="AL31" s="2">
        <f t="shared" si="1"/>
        <v>6.734603588318476E-2</v>
      </c>
      <c r="AM31" s="2">
        <f t="shared" si="2"/>
        <v>8.547556427854372E-2</v>
      </c>
      <c r="AR31" s="2">
        <f t="shared" si="3"/>
        <v>0.11141743108428279</v>
      </c>
      <c r="AS31" s="2">
        <v>3048960.55</v>
      </c>
      <c r="AY31" s="2">
        <v>734711.45</v>
      </c>
      <c r="AZ31" s="2">
        <v>698181.2</v>
      </c>
      <c r="BA31" s="2">
        <v>153554290</v>
      </c>
      <c r="BB31" s="2">
        <v>153346490</v>
      </c>
      <c r="BC31" s="2">
        <v>23650050</v>
      </c>
      <c r="BG31" s="2">
        <v>168205500</v>
      </c>
      <c r="BH31" s="2">
        <v>0</v>
      </c>
      <c r="BI31" s="2">
        <v>1250000</v>
      </c>
      <c r="BJ31" s="2" t="s">
        <v>63</v>
      </c>
      <c r="BL31" s="2"/>
    </row>
    <row r="32" spans="1:64" x14ac:dyDescent="0.25">
      <c r="A32" s="1">
        <f t="shared" si="0"/>
        <v>45502</v>
      </c>
      <c r="C32" s="2">
        <f>AG32-AG31</f>
        <v>39558420.449999988</v>
      </c>
      <c r="S32" s="2">
        <v>126216104.93000001</v>
      </c>
      <c r="AG32" s="2">
        <v>473042070.93000001</v>
      </c>
      <c r="AI32" s="2">
        <f>AJ32-AJ31</f>
        <v>298203.44999999925</v>
      </c>
      <c r="AJ32" s="2">
        <v>7705317.9299999997</v>
      </c>
      <c r="AK32" s="2">
        <v>30927180</v>
      </c>
      <c r="AL32" s="2">
        <f t="shared" si="1"/>
        <v>6.5379343404271026E-2</v>
      </c>
      <c r="AM32" s="2">
        <f t="shared" si="2"/>
        <v>6.1048611302602009E-2</v>
      </c>
      <c r="AR32" s="2">
        <f t="shared" si="3"/>
        <v>7.5383052864032981E-3</v>
      </c>
      <c r="AS32" s="2">
        <v>3062715.8930000002</v>
      </c>
      <c r="AY32" s="2">
        <v>748466.79</v>
      </c>
      <c r="AZ32" s="2">
        <v>13755.35</v>
      </c>
      <c r="BA32" s="2">
        <v>137629015</v>
      </c>
      <c r="BB32" s="2">
        <v>137421215</v>
      </c>
      <c r="BC32" s="2">
        <v>4169775</v>
      </c>
      <c r="BG32" s="2">
        <v>136880000</v>
      </c>
      <c r="BH32" s="2">
        <v>31325500</v>
      </c>
      <c r="BI32" s="2">
        <v>182102</v>
      </c>
      <c r="BJ32" s="2" t="s">
        <v>62</v>
      </c>
      <c r="BL32" s="2"/>
    </row>
    <row r="33" spans="1:64" x14ac:dyDescent="0.25">
      <c r="A33" s="1">
        <f t="shared" si="0"/>
        <v>45509</v>
      </c>
      <c r="C33" s="2">
        <v>8485250</v>
      </c>
      <c r="S33" s="2">
        <v>11257058</v>
      </c>
      <c r="AG33" s="2">
        <v>481527320.93000001</v>
      </c>
      <c r="AI33" s="2">
        <v>177022</v>
      </c>
      <c r="AJ33" s="2">
        <v>180928</v>
      </c>
      <c r="AK33" s="2">
        <v>31098230.93</v>
      </c>
      <c r="AL33" s="2">
        <f t="shared" si="1"/>
        <v>6.4582484893979206E-2</v>
      </c>
      <c r="AM33" s="2">
        <f t="shared" si="2"/>
        <v>1.607240541889364E-2</v>
      </c>
      <c r="AR33" s="2">
        <f t="shared" si="3"/>
        <v>2.0862319908075778E-2</v>
      </c>
      <c r="AS33" s="2">
        <v>3083188.09</v>
      </c>
      <c r="AY33" s="2">
        <v>19375</v>
      </c>
      <c r="AZ33" s="2">
        <v>19375</v>
      </c>
      <c r="BA33" s="2">
        <v>138014515</v>
      </c>
      <c r="BB33" s="2">
        <v>680000</v>
      </c>
      <c r="BC33" s="2">
        <v>680000</v>
      </c>
      <c r="BG33" s="2">
        <v>136880000</v>
      </c>
      <c r="BH33" s="2">
        <f>31325500+592200</f>
        <v>31917700</v>
      </c>
      <c r="BI33" s="2">
        <v>1800000</v>
      </c>
      <c r="BJ33" s="2" t="s">
        <v>61</v>
      </c>
      <c r="BL33" s="2"/>
    </row>
    <row r="34" spans="1:64" x14ac:dyDescent="0.25">
      <c r="A34" s="1">
        <f t="shared" si="0"/>
        <v>45516</v>
      </c>
      <c r="C34" s="2">
        <v>53795735</v>
      </c>
      <c r="S34" s="2">
        <v>64401933</v>
      </c>
      <c r="AG34" s="2">
        <v>534672255.93000001</v>
      </c>
      <c r="AI34" s="2">
        <v>2169435</v>
      </c>
      <c r="AJ34" s="2">
        <v>2350763</v>
      </c>
      <c r="AK34" s="2">
        <v>32268065.93</v>
      </c>
      <c r="AL34" s="2">
        <f t="shared" si="1"/>
        <v>6.0351113363594049E-2</v>
      </c>
      <c r="AM34" s="2">
        <f t="shared" si="2"/>
        <v>3.6501435446044762E-2</v>
      </c>
      <c r="AR34" s="2">
        <f t="shared" si="3"/>
        <v>4.0327267579855539E-2</v>
      </c>
      <c r="AS34" s="2">
        <v>3303388</v>
      </c>
      <c r="AY34" s="2">
        <v>241062.8</v>
      </c>
      <c r="AZ34" s="2">
        <v>213750</v>
      </c>
      <c r="BA34" s="2">
        <v>33887895</v>
      </c>
      <c r="BB34" s="2">
        <v>29026000</v>
      </c>
      <c r="BC34" s="2">
        <v>29026000</v>
      </c>
      <c r="BG34" s="2">
        <v>136880000</v>
      </c>
      <c r="BH34" s="2">
        <f>31325500+296000</f>
        <v>31621500</v>
      </c>
      <c r="BI34" s="2">
        <v>0</v>
      </c>
      <c r="BJ34" s="2" t="s">
        <v>62</v>
      </c>
      <c r="BL34" s="2"/>
    </row>
    <row r="35" spans="1:64" x14ac:dyDescent="0.25">
      <c r="A35" s="1">
        <f t="shared" ref="A35:A62" si="4">A34+7</f>
        <v>45523</v>
      </c>
      <c r="C35" s="2">
        <f>38914595-BI35</f>
        <v>11154595</v>
      </c>
      <c r="S35" s="2">
        <f>103316588-BI35</f>
        <v>75556588</v>
      </c>
      <c r="AG35" s="2">
        <f>573586850.93-BI35</f>
        <v>545826850.92999995</v>
      </c>
      <c r="AI35" s="2">
        <f>517595-240000</f>
        <v>277595</v>
      </c>
      <c r="AJ35" s="2">
        <f>2868358-240000</f>
        <v>2628358</v>
      </c>
      <c r="AK35" s="2">
        <f>33785660.93-240000</f>
        <v>33545660.93</v>
      </c>
      <c r="AL35" s="2">
        <f t="shared" si="1"/>
        <v>6.1458429303805164E-2</v>
      </c>
      <c r="AM35" s="2">
        <f t="shared" si="2"/>
        <v>3.4786615827596665E-2</v>
      </c>
      <c r="AR35" s="2">
        <f t="shared" si="3"/>
        <v>2.4886156781129213E-2</v>
      </c>
      <c r="AS35" s="2">
        <v>3322196.09</v>
      </c>
      <c r="AY35" s="2">
        <v>259870.8</v>
      </c>
      <c r="AZ35" s="2">
        <v>18808</v>
      </c>
      <c r="BA35" s="2">
        <v>815134970</v>
      </c>
      <c r="BB35" s="2">
        <v>815134970</v>
      </c>
      <c r="BC35" s="2">
        <v>808584500</v>
      </c>
      <c r="BG35" s="2">
        <v>136880000</v>
      </c>
      <c r="BH35" s="2">
        <f>31325500</f>
        <v>31325500</v>
      </c>
      <c r="BI35" s="2">
        <v>27760000</v>
      </c>
      <c r="BJ35" s="2" t="s">
        <v>64</v>
      </c>
      <c r="BL35" s="2"/>
    </row>
    <row r="36" spans="1:64" x14ac:dyDescent="0.25">
      <c r="A36" s="1">
        <f t="shared" si="4"/>
        <v>45530</v>
      </c>
      <c r="C36" s="2">
        <v>57627268</v>
      </c>
      <c r="S36" s="2">
        <v>131863406</v>
      </c>
      <c r="AG36" s="2">
        <v>602138668</v>
      </c>
      <c r="AH36" s="2">
        <v>8016725</v>
      </c>
      <c r="AI36" s="2">
        <v>723483</v>
      </c>
      <c r="AJ36" s="2">
        <v>3263391</v>
      </c>
      <c r="AK36" s="2">
        <v>34180693.93</v>
      </c>
      <c r="AL36" s="2">
        <f t="shared" si="1"/>
        <v>5.6765485670486789E-2</v>
      </c>
      <c r="AM36" s="2">
        <f t="shared" si="2"/>
        <v>2.4748268674328038E-2</v>
      </c>
      <c r="AR36" s="2">
        <f t="shared" si="3"/>
        <v>1.2554525402800632E-2</v>
      </c>
      <c r="AS36" s="2">
        <v>3354857.8930000002</v>
      </c>
      <c r="AY36" s="2">
        <v>292532.59999999998</v>
      </c>
      <c r="AZ36" s="2">
        <v>20041.8</v>
      </c>
      <c r="BA36" s="2">
        <v>1000239629</v>
      </c>
      <c r="BB36" s="2">
        <v>999332500</v>
      </c>
      <c r="BC36" s="2">
        <v>999332500</v>
      </c>
      <c r="BG36" s="2">
        <f>BG35</f>
        <v>136880000</v>
      </c>
      <c r="BH36" s="2">
        <f>31325500+5846405</f>
        <v>37171905</v>
      </c>
      <c r="BI36" s="2">
        <v>6596775</v>
      </c>
      <c r="BJ36" s="2" t="s">
        <v>61</v>
      </c>
      <c r="BK36" s="2" t="s">
        <v>72</v>
      </c>
      <c r="BL36" s="2">
        <v>5.4399999999999997E-2</v>
      </c>
    </row>
    <row r="37" spans="1:64" x14ac:dyDescent="0.25">
      <c r="A37" s="1">
        <f t="shared" si="4"/>
        <v>45537</v>
      </c>
      <c r="C37" s="2">
        <f>S37</f>
        <v>47476730</v>
      </c>
      <c r="S37" s="2">
        <v>47476730</v>
      </c>
      <c r="AG37" s="2">
        <v>642260448.92999995</v>
      </c>
      <c r="AH37" s="2">
        <v>3892500</v>
      </c>
      <c r="AI37" s="2">
        <v>449445</v>
      </c>
      <c r="AJ37" s="2">
        <v>449445</v>
      </c>
      <c r="AK37" s="2">
        <v>34792413.93</v>
      </c>
      <c r="AL37" s="2">
        <f t="shared" si="1"/>
        <v>5.4171814546519009E-2</v>
      </c>
      <c r="AM37" s="2">
        <f t="shared" si="2"/>
        <v>9.4666376559632472E-3</v>
      </c>
      <c r="AR37" s="2">
        <f t="shared" si="3"/>
        <v>9.4666376559632472E-3</v>
      </c>
      <c r="AS37" s="2">
        <v>3381844</v>
      </c>
      <c r="AY37" s="2">
        <v>24444.5</v>
      </c>
      <c r="AZ37" s="2">
        <f>AY37</f>
        <v>24444.5</v>
      </c>
      <c r="BA37" s="2">
        <v>1039366750</v>
      </c>
      <c r="BB37" s="2">
        <v>39127160</v>
      </c>
      <c r="BC37" s="2">
        <f>BB37</f>
        <v>39127160</v>
      </c>
      <c r="BD37" s="2">
        <f>2/7</f>
        <v>0.2857142857142857</v>
      </c>
      <c r="BE37" s="2">
        <f>2/7</f>
        <v>0.2857142857142857</v>
      </c>
      <c r="BF37" s="2">
        <f>2/7</f>
        <v>0.2857142857142857</v>
      </c>
      <c r="BG37" s="2">
        <f>BG36</f>
        <v>136880000</v>
      </c>
      <c r="BH37" s="2">
        <f>31325500+2374905+594000+2368045</f>
        <v>36662450</v>
      </c>
      <c r="BI37" s="2">
        <v>0</v>
      </c>
      <c r="BJ37" s="2" t="s">
        <v>62</v>
      </c>
      <c r="BK37" s="2" t="s">
        <v>73</v>
      </c>
      <c r="BL37" s="2">
        <v>0.11</v>
      </c>
    </row>
    <row r="38" spans="1:64" x14ac:dyDescent="0.25">
      <c r="A38" s="1">
        <f t="shared" si="4"/>
        <v>45544</v>
      </c>
      <c r="C38" s="2">
        <v>78147657</v>
      </c>
      <c r="S38" s="2">
        <v>131470792</v>
      </c>
      <c r="AG38" s="2">
        <v>727415105</v>
      </c>
      <c r="AI38" s="2">
        <v>667857</v>
      </c>
      <c r="AJ38" s="2">
        <v>1458862</v>
      </c>
      <c r="AK38" s="2">
        <v>35376690.93</v>
      </c>
      <c r="AL38" s="2">
        <f t="shared" si="1"/>
        <v>4.8633429092732411E-2</v>
      </c>
      <c r="AM38" s="2">
        <f t="shared" si="2"/>
        <v>1.1096472287167784E-2</v>
      </c>
      <c r="AR38" s="2">
        <f t="shared" si="3"/>
        <v>8.5460911515235823E-3</v>
      </c>
      <c r="AS38" s="2">
        <v>3453304.3930000002</v>
      </c>
      <c r="AY38" s="2">
        <v>71460</v>
      </c>
      <c r="AZ38" s="2">
        <v>39846</v>
      </c>
      <c r="BA38" s="2">
        <v>1078666860</v>
      </c>
      <c r="BB38" s="2">
        <v>78427240</v>
      </c>
      <c r="BC38" s="2">
        <v>20444940</v>
      </c>
      <c r="BD38" s="2">
        <f>2/7</f>
        <v>0.2857142857142857</v>
      </c>
      <c r="BE38" s="2">
        <f>5/14</f>
        <v>0.35714285714285715</v>
      </c>
      <c r="BF38" s="2">
        <f>7/14</f>
        <v>0.5</v>
      </c>
      <c r="BG38" s="2">
        <f>BG37</f>
        <v>136880000</v>
      </c>
      <c r="BH38" s="2">
        <f>6639000+594000+594000+2348997+2360450</f>
        <v>12536447</v>
      </c>
      <c r="BJ38" s="2" t="s">
        <v>61</v>
      </c>
      <c r="BK38" s="2" t="s">
        <v>72</v>
      </c>
      <c r="BL38" s="2">
        <v>0.03</v>
      </c>
    </row>
    <row r="39" spans="1:64" x14ac:dyDescent="0.25">
      <c r="A39" s="1">
        <f t="shared" si="4"/>
        <v>45551</v>
      </c>
      <c r="C39" s="2">
        <v>14497000</v>
      </c>
      <c r="S39" s="2">
        <v>140121387</v>
      </c>
      <c r="AG39" s="2">
        <v>741912105</v>
      </c>
      <c r="AI39" s="2">
        <v>262600</v>
      </c>
      <c r="AJ39" s="2">
        <v>1466597</v>
      </c>
      <c r="AK39" s="2">
        <v>36835552.93</v>
      </c>
      <c r="AL39" s="2">
        <f t="shared" si="1"/>
        <v>4.9649483654131778E-2</v>
      </c>
      <c r="AM39" s="2">
        <f t="shared" si="2"/>
        <v>1.0466617776200003E-2</v>
      </c>
      <c r="AR39" s="2">
        <f t="shared" si="3"/>
        <v>1.8114092570876733E-2</v>
      </c>
      <c r="AS39" s="2">
        <v>3464464.3930000002</v>
      </c>
      <c r="AY39" s="2">
        <f>AY38+AZ39</f>
        <v>82620</v>
      </c>
      <c r="AZ39" s="2">
        <v>11160</v>
      </c>
      <c r="BA39" s="2">
        <v>1056466860</v>
      </c>
      <c r="BB39" s="2">
        <v>56227240</v>
      </c>
      <c r="BD39" s="2">
        <f>2/7</f>
        <v>0.2857142857142857</v>
      </c>
      <c r="BE39" s="2">
        <f>1/7</f>
        <v>0.14285714285714285</v>
      </c>
      <c r="BF39" s="2">
        <f>4/7</f>
        <v>0.5714285714285714</v>
      </c>
      <c r="BG39" s="2">
        <f>BG38</f>
        <v>136880000</v>
      </c>
      <c r="BH39" s="2">
        <v>16129000</v>
      </c>
      <c r="BI39" s="2">
        <v>48550000</v>
      </c>
      <c r="BJ39" s="2" t="s">
        <v>61</v>
      </c>
      <c r="BK39" s="2" t="s">
        <v>61</v>
      </c>
      <c r="BL39" s="2">
        <v>0.03</v>
      </c>
    </row>
    <row r="40" spans="1:64" x14ac:dyDescent="0.25">
      <c r="A40" s="1">
        <f t="shared" si="4"/>
        <v>45558</v>
      </c>
      <c r="C40" s="2">
        <v>5390540.9000000004</v>
      </c>
      <c r="S40" s="2">
        <v>145511927</v>
      </c>
      <c r="AG40" s="2">
        <v>747302646.63</v>
      </c>
      <c r="AH40" s="2">
        <v>27060000</v>
      </c>
      <c r="AI40" s="2">
        <v>98120</v>
      </c>
      <c r="AJ40" s="2">
        <v>1564717.9</v>
      </c>
      <c r="AK40" s="2">
        <v>35752411.829999998</v>
      </c>
      <c r="AL40" s="2">
        <f t="shared" si="1"/>
        <v>4.7841944614042717E-2</v>
      </c>
      <c r="AM40" s="2">
        <f t="shared" si="2"/>
        <v>1.0753193447847061E-2</v>
      </c>
      <c r="AR40" s="2">
        <f t="shared" si="3"/>
        <v>1.8202254990774672E-2</v>
      </c>
      <c r="AS40" s="2">
        <v>3488376.483</v>
      </c>
      <c r="AY40" s="2">
        <f>AY39+AZ40</f>
        <v>106532.09</v>
      </c>
      <c r="AZ40" s="2">
        <v>23912.09</v>
      </c>
      <c r="BA40" s="2">
        <v>63794360</v>
      </c>
      <c r="BB40" s="2">
        <v>62887240</v>
      </c>
      <c r="BC40" s="2">
        <v>6660000</v>
      </c>
      <c r="BD40" s="2">
        <f>1/5</f>
        <v>0.2</v>
      </c>
      <c r="BE40" s="2">
        <f>1/5</f>
        <v>0.2</v>
      </c>
      <c r="BF40" s="2">
        <f>3/5</f>
        <v>0.6</v>
      </c>
      <c r="BG40" s="2">
        <f>BG39</f>
        <v>136880000</v>
      </c>
      <c r="BH40" s="2">
        <f>8263720-222000</f>
        <v>8041720</v>
      </c>
      <c r="BI40" s="2">
        <v>44110000</v>
      </c>
      <c r="BJ40" s="2" t="s">
        <v>62</v>
      </c>
      <c r="BK40" s="2" t="s">
        <v>72</v>
      </c>
      <c r="BL40" s="2">
        <v>3.6572622779519302E-2</v>
      </c>
    </row>
    <row r="41" spans="1:64" x14ac:dyDescent="0.25">
      <c r="A41" s="1">
        <f t="shared" si="4"/>
        <v>45565</v>
      </c>
      <c r="C41" s="2">
        <v>23704677</v>
      </c>
      <c r="S41" s="2">
        <v>145928647</v>
      </c>
      <c r="AG41" s="2">
        <v>771007323.63</v>
      </c>
      <c r="AI41" s="2">
        <v>550627</v>
      </c>
      <c r="AJ41" s="2">
        <v>1578438</v>
      </c>
      <c r="AK41" s="2">
        <v>36303039</v>
      </c>
      <c r="AM41" s="2">
        <v>1.9847604276480298E-2</v>
      </c>
      <c r="AR41" s="2">
        <v>4.4908945013263299E-2</v>
      </c>
      <c r="AY41" s="2">
        <f>AY40+AZ41</f>
        <v>107904.09</v>
      </c>
      <c r="AZ41" s="2">
        <v>1372</v>
      </c>
      <c r="BD41" s="2">
        <v>0.44850000000000001</v>
      </c>
      <c r="BE41" s="2">
        <v>0.44850000000000001</v>
      </c>
      <c r="BF41" s="2">
        <v>0.14280000000000001</v>
      </c>
      <c r="BJ41" s="2" t="s">
        <v>62</v>
      </c>
      <c r="BK41" s="2" t="s">
        <v>74</v>
      </c>
      <c r="BL41" s="2">
        <v>2.0588235294117647E-2</v>
      </c>
    </row>
    <row r="42" spans="1:64" x14ac:dyDescent="0.25">
      <c r="A42" s="1">
        <f t="shared" si="4"/>
        <v>45572</v>
      </c>
      <c r="C42" s="2">
        <v>48264563</v>
      </c>
      <c r="S42" s="2">
        <v>71552520</v>
      </c>
      <c r="AG42" s="2">
        <v>819271886.63</v>
      </c>
      <c r="AI42" s="2">
        <v>3205113</v>
      </c>
      <c r="AJ42" s="2">
        <v>4797854</v>
      </c>
      <c r="AK42" s="2">
        <v>40563986</v>
      </c>
      <c r="AM42" s="2">
        <v>3.7969717403014497E-2</v>
      </c>
      <c r="AR42" s="2">
        <v>3.3112862816538399E-2</v>
      </c>
      <c r="AZ42" s="2">
        <v>319201.3</v>
      </c>
      <c r="BD42" s="2">
        <v>0.41670000000000001</v>
      </c>
      <c r="BE42" s="2">
        <v>50</v>
      </c>
      <c r="BF42" s="2">
        <v>8.3299999999999999E-2</v>
      </c>
      <c r="BJ42" s="2" t="s">
        <v>61</v>
      </c>
      <c r="BK42" s="2" t="s">
        <v>61</v>
      </c>
      <c r="BL42" s="2">
        <v>0.11066308243727599</v>
      </c>
    </row>
    <row r="43" spans="1:64" x14ac:dyDescent="0.25">
      <c r="A43" s="1">
        <f t="shared" si="4"/>
        <v>45579</v>
      </c>
      <c r="C43" s="2">
        <v>7095959</v>
      </c>
      <c r="S43" s="2">
        <v>78648479</v>
      </c>
      <c r="AG43" s="2">
        <v>826367845.63</v>
      </c>
      <c r="AI43" s="2">
        <v>197502</v>
      </c>
      <c r="AJ43" s="2">
        <v>4995356</v>
      </c>
      <c r="AK43" s="2">
        <v>40761488</v>
      </c>
      <c r="AM43" s="2">
        <v>4.6210278341809102E-2</v>
      </c>
      <c r="AR43" s="2">
        <v>7.0931961158193196E-2</v>
      </c>
      <c r="AY43" s="2">
        <v>27995.7</v>
      </c>
      <c r="AZ43" s="2">
        <v>27995.7</v>
      </c>
      <c r="BD43" s="2">
        <v>0.33329999999999999</v>
      </c>
      <c r="BE43" s="2">
        <v>0.16669999999999999</v>
      </c>
      <c r="BF43" s="2">
        <v>0.5</v>
      </c>
      <c r="BJ43" s="2" t="s">
        <v>65</v>
      </c>
      <c r="BK43" s="2" t="s">
        <v>75</v>
      </c>
      <c r="BL43" s="2">
        <v>6.2174366099340052E-2</v>
      </c>
    </row>
    <row r="44" spans="1:64" x14ac:dyDescent="0.25">
      <c r="A44" s="1">
        <f t="shared" si="4"/>
        <v>45586</v>
      </c>
      <c r="C44" s="2">
        <v>28812950</v>
      </c>
      <c r="S44" s="2">
        <f t="shared" ref="S44:S50" si="5">S43+C44</f>
        <v>107461429</v>
      </c>
      <c r="AG44" s="2">
        <f t="shared" ref="AG44:AG51" si="6">AG43+C44</f>
        <v>855180795.63</v>
      </c>
      <c r="AI44" s="2">
        <v>513350</v>
      </c>
      <c r="AJ44" s="2">
        <f>AJ43+AI44</f>
        <v>5508706</v>
      </c>
      <c r="AK44" s="2">
        <f t="shared" ref="AK44:AK51" si="7">AK43+AI44</f>
        <v>41274838</v>
      </c>
      <c r="AR44" s="2">
        <v>4.19716544515574E-2</v>
      </c>
      <c r="AY44" s="2">
        <f t="shared" ref="AY44:AY51" si="8">AY43+AZ44</f>
        <v>78630.7</v>
      </c>
      <c r="AZ44" s="2">
        <v>50635</v>
      </c>
      <c r="BL44" s="2"/>
    </row>
    <row r="45" spans="1:64" x14ac:dyDescent="0.25">
      <c r="A45" s="1">
        <f t="shared" si="4"/>
        <v>45593</v>
      </c>
      <c r="C45" s="2">
        <v>1586200</v>
      </c>
      <c r="S45" s="2">
        <f t="shared" si="5"/>
        <v>109047629</v>
      </c>
      <c r="AG45" s="2">
        <f t="shared" si="6"/>
        <v>856766995.63</v>
      </c>
      <c r="AI45" s="2">
        <v>0</v>
      </c>
      <c r="AJ45" s="2">
        <f>AJ44+AI45</f>
        <v>5508706</v>
      </c>
      <c r="AK45" s="2">
        <f t="shared" si="7"/>
        <v>41274838</v>
      </c>
      <c r="AR45" s="2">
        <v>3.6900000000000002E-2</v>
      </c>
      <c r="AY45" s="2">
        <f t="shared" si="8"/>
        <v>128751.5</v>
      </c>
      <c r="AZ45" s="2">
        <v>50120.800000000003</v>
      </c>
      <c r="BL45" s="2"/>
    </row>
    <row r="46" spans="1:64" x14ac:dyDescent="0.25">
      <c r="A46" s="1">
        <f t="shared" si="4"/>
        <v>45600</v>
      </c>
      <c r="C46" s="2">
        <v>39370900</v>
      </c>
      <c r="Q46" s="2">
        <f>Q45+D46</f>
        <v>0</v>
      </c>
      <c r="S46" s="2">
        <f t="shared" si="5"/>
        <v>148418529</v>
      </c>
      <c r="AG46" s="2">
        <f t="shared" si="6"/>
        <v>896137895.63</v>
      </c>
      <c r="AI46" s="2">
        <v>734400</v>
      </c>
      <c r="AJ46" s="2">
        <v>807900</v>
      </c>
      <c r="AK46" s="2">
        <f t="shared" si="7"/>
        <v>42009238</v>
      </c>
      <c r="AM46" s="2">
        <v>3.6799999999999999E-2</v>
      </c>
      <c r="AR46" s="2">
        <v>-506600</v>
      </c>
      <c r="AY46" s="2">
        <f t="shared" si="8"/>
        <v>216541.5</v>
      </c>
      <c r="AZ46" s="2">
        <v>87790</v>
      </c>
      <c r="BD46" s="2">
        <v>0.25</v>
      </c>
      <c r="BE46" s="2">
        <v>0.41660000000000003</v>
      </c>
      <c r="BF46" s="2">
        <v>0</v>
      </c>
      <c r="BJ46" s="2" t="s">
        <v>61</v>
      </c>
      <c r="BK46" s="2" t="s">
        <v>76</v>
      </c>
      <c r="BL46" s="2">
        <v>3.2800000000000003E-2</v>
      </c>
    </row>
    <row r="47" spans="1:64" x14ac:dyDescent="0.25">
      <c r="A47" s="1">
        <f t="shared" si="4"/>
        <v>45607</v>
      </c>
      <c r="C47" s="2">
        <v>19494900</v>
      </c>
      <c r="S47" s="2">
        <f t="shared" si="5"/>
        <v>167913429</v>
      </c>
      <c r="AG47" s="2">
        <f t="shared" si="6"/>
        <v>915632795.63</v>
      </c>
      <c r="AH47" s="2">
        <v>340000</v>
      </c>
      <c r="AI47" s="2">
        <v>486300</v>
      </c>
      <c r="AJ47" s="2">
        <f>AJ46+AI47</f>
        <v>1294200</v>
      </c>
      <c r="AK47" s="2">
        <f t="shared" si="7"/>
        <v>42495538</v>
      </c>
      <c r="AM47" s="2">
        <v>5.1400000000000001E-2</v>
      </c>
      <c r="AR47" s="2">
        <v>6.59E-2</v>
      </c>
      <c r="AY47" s="2">
        <f t="shared" si="8"/>
        <v>289446.5</v>
      </c>
      <c r="AZ47" s="2">
        <v>72905</v>
      </c>
      <c r="BD47" s="2">
        <v>0.1429</v>
      </c>
      <c r="BE47" s="2">
        <v>28.57</v>
      </c>
      <c r="BF47" s="2">
        <v>6.67</v>
      </c>
      <c r="BI47" s="2">
        <v>0</v>
      </c>
      <c r="BJ47" s="2" t="s">
        <v>66</v>
      </c>
      <c r="BK47" s="2" t="s">
        <v>77</v>
      </c>
      <c r="BL47" s="2">
        <v>9.2399999999999996E-2</v>
      </c>
    </row>
    <row r="48" spans="1:64" x14ac:dyDescent="0.25">
      <c r="A48" s="1">
        <f t="shared" si="4"/>
        <v>45614</v>
      </c>
      <c r="C48" s="2">
        <v>160419677</v>
      </c>
      <c r="S48" s="2">
        <f t="shared" si="5"/>
        <v>328333106</v>
      </c>
      <c r="AG48" s="2">
        <f t="shared" si="6"/>
        <v>1076052472.6300001</v>
      </c>
      <c r="AI48" s="2">
        <v>2929477</v>
      </c>
      <c r="AJ48" s="2">
        <f>AJ47+AI48</f>
        <v>4223677</v>
      </c>
      <c r="AK48" s="2">
        <f t="shared" si="7"/>
        <v>45425015</v>
      </c>
      <c r="AM48" s="2">
        <v>3.5499999999999997E-2</v>
      </c>
      <c r="AR48" s="2">
        <v>2.3400000000000001E-2</v>
      </c>
      <c r="AY48" s="2">
        <f t="shared" si="8"/>
        <v>442854.5</v>
      </c>
      <c r="AZ48" s="2">
        <v>153408</v>
      </c>
      <c r="BE48" s="2">
        <v>27.27</v>
      </c>
      <c r="BF48" s="2">
        <v>8.33</v>
      </c>
      <c r="BJ48" s="2" t="s">
        <v>66</v>
      </c>
      <c r="BK48" s="2" t="s">
        <v>78</v>
      </c>
      <c r="BL48" s="2">
        <v>1.14E-2</v>
      </c>
    </row>
    <row r="49" spans="1:64" x14ac:dyDescent="0.25">
      <c r="A49" s="1">
        <f t="shared" si="4"/>
        <v>45621</v>
      </c>
      <c r="C49" s="2">
        <v>101650121.8</v>
      </c>
      <c r="S49" s="2">
        <f t="shared" si="5"/>
        <v>429983227.80000001</v>
      </c>
      <c r="AG49" s="2">
        <f t="shared" si="6"/>
        <v>1177702594.4300001</v>
      </c>
      <c r="AI49" s="2">
        <v>872171.8</v>
      </c>
      <c r="AJ49" s="2">
        <f>AJ48+AI49</f>
        <v>5095848.8</v>
      </c>
      <c r="AK49" s="2">
        <f t="shared" si="7"/>
        <v>46297186.799999997</v>
      </c>
      <c r="AM49" s="2">
        <v>4.2500000000000003E-2</v>
      </c>
      <c r="AR49" s="2">
        <v>6.4000000000000001E-2</v>
      </c>
      <c r="AY49" s="2">
        <f t="shared" si="8"/>
        <v>874596.67999999993</v>
      </c>
      <c r="AZ49" s="2">
        <v>431742.18</v>
      </c>
      <c r="BD49" s="2">
        <v>71.430000000000007</v>
      </c>
      <c r="BE49" s="2">
        <v>0.28570000000000001</v>
      </c>
      <c r="BJ49" s="2" t="s">
        <v>67</v>
      </c>
      <c r="BK49" s="2" t="s">
        <v>63</v>
      </c>
      <c r="BL49" s="2">
        <v>5.4999999999999997E-3</v>
      </c>
    </row>
    <row r="50" spans="1:64" x14ac:dyDescent="0.25">
      <c r="A50" s="1">
        <f t="shared" si="4"/>
        <v>45628</v>
      </c>
      <c r="C50" s="2">
        <v>90215522</v>
      </c>
      <c r="S50" s="2">
        <f t="shared" si="5"/>
        <v>520198749.80000001</v>
      </c>
      <c r="AG50" s="2">
        <f t="shared" si="6"/>
        <v>1267918116.4300001</v>
      </c>
      <c r="AI50" s="2">
        <v>431895</v>
      </c>
      <c r="AJ50" s="2">
        <f>AJ49+AI50</f>
        <v>5527743.7999999998</v>
      </c>
      <c r="AK50" s="2">
        <f t="shared" si="7"/>
        <v>46729081.799999997</v>
      </c>
      <c r="AM50" s="2">
        <v>1.46E-2</v>
      </c>
      <c r="AR50" s="2">
        <v>1.46E-2</v>
      </c>
      <c r="AY50" s="2">
        <f t="shared" si="8"/>
        <v>889320.67999999993</v>
      </c>
      <c r="AZ50" s="2">
        <v>14724</v>
      </c>
      <c r="BD50" s="2">
        <v>61.54</v>
      </c>
      <c r="BE50" s="2">
        <v>0.15390000000000001</v>
      </c>
      <c r="BJ50" s="2" t="s">
        <v>68</v>
      </c>
      <c r="BK50" s="2" t="s">
        <v>79</v>
      </c>
      <c r="BL50" s="2">
        <v>4.3E-3</v>
      </c>
    </row>
    <row r="51" spans="1:64" x14ac:dyDescent="0.25">
      <c r="A51" s="1">
        <f t="shared" si="4"/>
        <v>45635</v>
      </c>
      <c r="C51" s="2">
        <v>36226440</v>
      </c>
      <c r="S51" s="2">
        <f>S50+C51</f>
        <v>556425189.79999995</v>
      </c>
      <c r="AG51" s="2">
        <f t="shared" si="6"/>
        <v>1304144556.4300001</v>
      </c>
      <c r="AI51" s="2">
        <v>409440</v>
      </c>
      <c r="AJ51" s="2">
        <f>AJ50+AI51</f>
        <v>5937183.7999999998</v>
      </c>
      <c r="AK51" s="2">
        <f t="shared" si="7"/>
        <v>47138521.799999997</v>
      </c>
      <c r="AM51" s="2">
        <v>1.5100000000000001E-2</v>
      </c>
      <c r="AR51" s="2">
        <v>1.5599999999999999E-2</v>
      </c>
      <c r="AY51" s="2">
        <f t="shared" si="8"/>
        <v>907339.67999999993</v>
      </c>
      <c r="AZ51" s="2">
        <v>18019</v>
      </c>
      <c r="BJ51" s="2" t="s">
        <v>69</v>
      </c>
      <c r="BK51" s="2" t="s">
        <v>69</v>
      </c>
      <c r="BL51" s="2">
        <v>8.0000000000000002E-3</v>
      </c>
    </row>
    <row r="52" spans="1:64" x14ac:dyDescent="0.25">
      <c r="A52" s="1">
        <f t="shared" si="4"/>
        <v>45642</v>
      </c>
      <c r="BL52" s="2"/>
    </row>
    <row r="53" spans="1:64" x14ac:dyDescent="0.25">
      <c r="A53" s="1">
        <f t="shared" si="4"/>
        <v>45649</v>
      </c>
      <c r="C53" s="2">
        <v>11988000</v>
      </c>
      <c r="BL53" s="2"/>
    </row>
    <row r="54" spans="1:64" x14ac:dyDescent="0.25">
      <c r="A54" s="1">
        <f t="shared" si="4"/>
        <v>45656</v>
      </c>
      <c r="BL54" s="2"/>
    </row>
    <row r="55" spans="1:64" x14ac:dyDescent="0.25">
      <c r="A55" s="1">
        <f t="shared" si="4"/>
        <v>45663</v>
      </c>
      <c r="BL55" s="2"/>
    </row>
    <row r="56" spans="1:64" x14ac:dyDescent="0.25">
      <c r="A56" s="1">
        <f t="shared" si="4"/>
        <v>45670</v>
      </c>
      <c r="C56" s="2">
        <v>78483200</v>
      </c>
      <c r="S56" s="2">
        <v>109593200</v>
      </c>
      <c r="AG56" s="2">
        <v>109593200</v>
      </c>
      <c r="AI56" s="2">
        <v>214470</v>
      </c>
      <c r="AJ56" s="2">
        <v>1464870</v>
      </c>
      <c r="AK56" s="2">
        <v>1464870</v>
      </c>
      <c r="AM56" s="2">
        <v>3.85E-2</v>
      </c>
      <c r="AR56" s="2">
        <v>4.0899999999999999E-2</v>
      </c>
      <c r="AY56" s="2">
        <v>907339.67999999993</v>
      </c>
      <c r="AZ56" s="2">
        <v>18019</v>
      </c>
      <c r="BJ56" s="2" t="s">
        <v>69</v>
      </c>
      <c r="BK56" s="2" t="s">
        <v>69</v>
      </c>
      <c r="BL56" s="2">
        <v>8.0000000000000002E-3</v>
      </c>
    </row>
    <row r="57" spans="1:64" x14ac:dyDescent="0.25">
      <c r="A57" s="1">
        <f t="shared" si="4"/>
        <v>45677</v>
      </c>
      <c r="C57" s="2">
        <v>89753399.799999997</v>
      </c>
      <c r="S57" s="2">
        <v>190756599.80000001</v>
      </c>
      <c r="AG57" s="2">
        <v>190756599.80000001</v>
      </c>
      <c r="AH57" s="2">
        <f>15385000+110000</f>
        <v>15495000</v>
      </c>
      <c r="AI57" s="2">
        <v>447637.4</v>
      </c>
      <c r="AJ57" s="2">
        <v>1912507.4</v>
      </c>
      <c r="AK57" s="2">
        <v>1912507.4</v>
      </c>
      <c r="AM57" s="2">
        <v>8.8000000000000005E-3</v>
      </c>
      <c r="AR57" s="2">
        <v>5.5999999999999999E-3</v>
      </c>
      <c r="AY57" s="2">
        <v>150890.74</v>
      </c>
      <c r="AZ57" s="2">
        <v>24268.74</v>
      </c>
      <c r="BD57" s="2">
        <v>0.41</v>
      </c>
      <c r="BE57" s="2">
        <v>0.59</v>
      </c>
      <c r="BF57" s="2">
        <v>9.5200000000000007E-2</v>
      </c>
      <c r="BJ57" s="2" t="s">
        <v>61</v>
      </c>
      <c r="BK57" s="2" t="s">
        <v>80</v>
      </c>
      <c r="BL57" s="2">
        <v>5.0999999999999997E-2</v>
      </c>
    </row>
    <row r="58" spans="1:64" x14ac:dyDescent="0.25">
      <c r="A58" s="1">
        <f t="shared" si="4"/>
        <v>45684</v>
      </c>
      <c r="C58" s="2">
        <v>109127743.8</v>
      </c>
      <c r="S58" s="2">
        <v>272891887.19999999</v>
      </c>
      <c r="AG58" s="2">
        <v>272891887.19999999</v>
      </c>
      <c r="AH58" s="2">
        <v>14349888</v>
      </c>
      <c r="AI58" s="2">
        <v>2014733.8</v>
      </c>
      <c r="AJ58" s="2">
        <v>4690027.2</v>
      </c>
      <c r="AK58" s="2">
        <v>4690027.2</v>
      </c>
      <c r="AM58" s="2">
        <v>1.01E-2</v>
      </c>
      <c r="AR58" s="2">
        <v>1.47E-2</v>
      </c>
      <c r="AY58" s="2">
        <v>332143.59999999998</v>
      </c>
      <c r="AZ58" s="2">
        <v>181253.2</v>
      </c>
      <c r="BD58" s="2">
        <v>0.31</v>
      </c>
      <c r="BE58" s="2">
        <v>0.69</v>
      </c>
      <c r="BF58" s="2">
        <v>0</v>
      </c>
      <c r="BH58" s="2">
        <v>0</v>
      </c>
      <c r="BI58" s="2">
        <v>0</v>
      </c>
      <c r="BJ58" s="2" t="s">
        <v>65</v>
      </c>
      <c r="BK58" s="2" t="s">
        <v>80</v>
      </c>
      <c r="BL58" s="2">
        <v>4.0300000000000002E-2</v>
      </c>
    </row>
    <row r="59" spans="1:64" x14ac:dyDescent="0.25">
      <c r="A59" s="1">
        <f t="shared" si="4"/>
        <v>45691</v>
      </c>
      <c r="C59" s="2">
        <f>77954489+22328000</f>
        <v>100282489</v>
      </c>
      <c r="H59" s="2">
        <v>2707000</v>
      </c>
      <c r="L59" s="2">
        <v>47659135</v>
      </c>
      <c r="N59" s="2">
        <v>49174869</v>
      </c>
      <c r="S59" s="2">
        <v>106230489</v>
      </c>
      <c r="T59" s="2">
        <v>106230489</v>
      </c>
      <c r="U59" s="2">
        <v>47647135</v>
      </c>
      <c r="W59" s="2">
        <v>52894869</v>
      </c>
      <c r="Y59" s="2">
        <v>4935000</v>
      </c>
      <c r="AC59" s="2">
        <v>259500</v>
      </c>
      <c r="AG59" s="2">
        <v>334800976.19999999</v>
      </c>
      <c r="AH59" s="2">
        <v>14145888</v>
      </c>
      <c r="AI59" s="2">
        <v>981489</v>
      </c>
      <c r="AJ59" s="2">
        <v>981489</v>
      </c>
      <c r="AK59" s="2">
        <f>AK58+AI59</f>
        <v>5671516.2000000002</v>
      </c>
      <c r="AM59" s="2">
        <v>1.1299999999999999E-2</v>
      </c>
      <c r="AR59" s="2">
        <v>1.4E-2</v>
      </c>
      <c r="AS59" s="2">
        <v>1.4800000000000001E-2</v>
      </c>
      <c r="AT59" s="2">
        <v>2.2499999999999999E-2</v>
      </c>
      <c r="AU59" s="2">
        <v>2.1499999999999998E-2</v>
      </c>
      <c r="AW59" s="2">
        <v>1.9599999999999999E-2</v>
      </c>
      <c r="AX59" s="2">
        <v>1.1900000000000001E-2</v>
      </c>
      <c r="AY59" s="2">
        <v>30015</v>
      </c>
      <c r="AZ59" s="2">
        <v>64148.5</v>
      </c>
      <c r="BD59" s="2">
        <v>0.6</v>
      </c>
      <c r="BE59" s="2">
        <v>0.4</v>
      </c>
      <c r="BF59" s="2">
        <v>0.1</v>
      </c>
      <c r="BH59" s="2">
        <v>0</v>
      </c>
      <c r="BJ59" s="2" t="s">
        <v>61</v>
      </c>
      <c r="BK59" s="2" t="s">
        <v>71</v>
      </c>
      <c r="BL59" s="2">
        <v>7.51E-2</v>
      </c>
    </row>
    <row r="60" spans="1:64" x14ac:dyDescent="0.25">
      <c r="A60" s="1">
        <f t="shared" si="4"/>
        <v>45698</v>
      </c>
      <c r="C60" s="2">
        <f>111193562.22+709649.9</f>
        <v>111903212.12</v>
      </c>
      <c r="H60" s="2">
        <v>1055000</v>
      </c>
      <c r="L60" s="2">
        <v>78001302.219999999</v>
      </c>
      <c r="N60" s="2">
        <v>11245500</v>
      </c>
      <c r="P60" s="2">
        <v>18955000</v>
      </c>
      <c r="S60" s="2">
        <f>S59+C60</f>
        <v>218133701.12</v>
      </c>
      <c r="U60" s="2">
        <v>125648437.22</v>
      </c>
      <c r="W60" s="2">
        <v>61305369</v>
      </c>
      <c r="Y60" s="2">
        <v>2688000</v>
      </c>
      <c r="AA60" s="2">
        <v>3302000</v>
      </c>
      <c r="AC60" s="2">
        <v>256500</v>
      </c>
      <c r="AE60" s="2">
        <v>18955000</v>
      </c>
      <c r="AG60" s="2">
        <f>AG59+C60</f>
        <v>446704188.31999999</v>
      </c>
      <c r="AH60" s="2">
        <v>14145888</v>
      </c>
      <c r="AI60" s="2">
        <v>1181330.1200000001</v>
      </c>
      <c r="AJ60" s="2">
        <f>AJ59+AI60</f>
        <v>2162819.12</v>
      </c>
      <c r="AK60" s="2">
        <f>AK59+AI60</f>
        <v>6852846.3200000003</v>
      </c>
      <c r="AM60" s="2">
        <f>AJ60/S60</f>
        <v>9.9151076101266309E-3</v>
      </c>
      <c r="AR60" s="2">
        <f>AI60/C60</f>
        <v>1.0556713231191206E-2</v>
      </c>
      <c r="AT60" s="2">
        <v>4.1500000000000002E-2</v>
      </c>
      <c r="AU60" s="2">
        <v>6.8599999999999994E-2</v>
      </c>
      <c r="AW60" s="2">
        <v>6.7000000000000002E-3</v>
      </c>
      <c r="AX60" s="2">
        <v>1.29E-2</v>
      </c>
      <c r="AY60" s="2">
        <v>77741.62</v>
      </c>
      <c r="AZ60" s="2">
        <f>AY60-AY59</f>
        <v>47726.619999999995</v>
      </c>
      <c r="BD60" s="2">
        <v>0.4</v>
      </c>
      <c r="BE60" s="2">
        <v>0.6</v>
      </c>
      <c r="BH60" s="2">
        <v>2</v>
      </c>
      <c r="BJ60" s="2" t="s">
        <v>62</v>
      </c>
      <c r="BK60" s="2" t="s">
        <v>81</v>
      </c>
      <c r="BL60" s="2">
        <v>6.8599999999999994E-2</v>
      </c>
    </row>
    <row r="61" spans="1:64" x14ac:dyDescent="0.25">
      <c r="A61" s="1">
        <f t="shared" si="4"/>
        <v>45705</v>
      </c>
      <c r="C61" s="2">
        <v>109602949</v>
      </c>
      <c r="H61" s="2">
        <v>3644000</v>
      </c>
      <c r="I61" s="2">
        <v>3.3000000000000002E-2</v>
      </c>
      <c r="J61" s="2">
        <v>1075000</v>
      </c>
      <c r="K61" s="2">
        <v>8.9999999999999993E-3</v>
      </c>
      <c r="L61" s="2">
        <v>34785000</v>
      </c>
      <c r="M61" s="2">
        <v>0.317</v>
      </c>
      <c r="N61" s="2">
        <v>49240500</v>
      </c>
      <c r="O61" s="2">
        <v>0.44900000000000001</v>
      </c>
      <c r="P61" s="2">
        <v>0</v>
      </c>
      <c r="S61" s="2">
        <f>S60+C61</f>
        <v>327736650.12</v>
      </c>
      <c r="U61" s="2">
        <v>160433437.22</v>
      </c>
      <c r="V61" s="2">
        <v>0.48899999999999999</v>
      </c>
      <c r="W61" s="2">
        <v>110545869</v>
      </c>
      <c r="X61" s="2">
        <v>0.33700000000000002</v>
      </c>
      <c r="Y61" s="2">
        <v>6332000</v>
      </c>
      <c r="Z61" s="2">
        <v>1.9E-2</v>
      </c>
      <c r="AA61" s="2">
        <v>4377000</v>
      </c>
      <c r="AB61" s="2">
        <v>1.2999999999999999E-2</v>
      </c>
      <c r="AC61" s="2">
        <v>256500</v>
      </c>
      <c r="AD61" s="2">
        <v>1.1999999999999999E-3</v>
      </c>
      <c r="AE61" s="2">
        <v>18955000</v>
      </c>
      <c r="AF61" s="2">
        <v>5.7799999999999997E-2</v>
      </c>
      <c r="AG61" s="2">
        <f>AG60+C61</f>
        <v>556307137.31999993</v>
      </c>
      <c r="AH61" s="2">
        <v>7964388</v>
      </c>
      <c r="AI61" s="2">
        <v>1243749</v>
      </c>
      <c r="AJ61" s="2">
        <f>AJ60+AI61</f>
        <v>3406568.12</v>
      </c>
      <c r="AK61" s="2">
        <f>AK60+AI61</f>
        <v>8096595.3200000003</v>
      </c>
      <c r="AM61" s="2">
        <f>AJ61/S61</f>
        <v>1.0394223895169164E-2</v>
      </c>
      <c r="AR61" s="2">
        <f>AI61/C61</f>
        <v>1.1347769483830221E-2</v>
      </c>
      <c r="AT61" s="2">
        <v>2.01E-2</v>
      </c>
      <c r="AU61" s="2">
        <v>3.1800000000000002E-2</v>
      </c>
      <c r="AV61" s="2">
        <v>1.3100000000000001E-2</v>
      </c>
      <c r="AW61" s="2">
        <v>1.5900000000000001E-2</v>
      </c>
      <c r="AX61" s="2">
        <v>9.2999999999999992E-3</v>
      </c>
      <c r="AY61" s="2">
        <v>142736.51999999999</v>
      </c>
      <c r="AZ61" s="2">
        <v>64994.9</v>
      </c>
      <c r="BD61" s="2">
        <v>0.4</v>
      </c>
      <c r="BE61" s="2">
        <v>0.6</v>
      </c>
      <c r="BJ61" s="2" t="s">
        <v>61</v>
      </c>
      <c r="BK61" s="2" t="s">
        <v>82</v>
      </c>
      <c r="BL61" s="2">
        <v>3.1800000000000002E-2</v>
      </c>
    </row>
    <row r="62" spans="1:64" x14ac:dyDescent="0.25">
      <c r="A62" s="1">
        <f t="shared" si="4"/>
        <v>45712</v>
      </c>
      <c r="C62" s="2">
        <v>43603040</v>
      </c>
      <c r="E62" s="2">
        <v>31042500</v>
      </c>
      <c r="F62" s="2">
        <v>12224900</v>
      </c>
      <c r="G62" s="2">
        <v>335640</v>
      </c>
      <c r="H62" s="2">
        <v>1615000</v>
      </c>
      <c r="I62" s="2">
        <v>3.6999999999999998E-2</v>
      </c>
      <c r="J62" s="2">
        <v>3413000</v>
      </c>
      <c r="K62" s="2">
        <v>7.8E-2</v>
      </c>
      <c r="L62" s="2">
        <v>16812500</v>
      </c>
      <c r="M62" s="2">
        <v>0.38500000000000001</v>
      </c>
      <c r="N62" s="2">
        <v>20742000</v>
      </c>
      <c r="O62" s="2">
        <v>0.47499999999999998</v>
      </c>
      <c r="P62" s="2">
        <v>248900</v>
      </c>
      <c r="R62" s="2">
        <v>5.7000000000000002E-3</v>
      </c>
      <c r="S62" s="2">
        <f>S61+C62</f>
        <v>371339690.12</v>
      </c>
      <c r="U62" s="2">
        <f>U61+L62</f>
        <v>177245937.22</v>
      </c>
      <c r="V62" s="2">
        <v>0.4773</v>
      </c>
      <c r="W62" s="2">
        <f>W61+N62</f>
        <v>131287869</v>
      </c>
      <c r="X62" s="2">
        <v>0.35349999999999998</v>
      </c>
      <c r="Y62" s="2">
        <f>Y61+H62</f>
        <v>7947000</v>
      </c>
      <c r="Z62" s="2">
        <v>2.1399999999999999E-2</v>
      </c>
      <c r="AA62" s="2">
        <f>AA61+J62</f>
        <v>7790000</v>
      </c>
      <c r="AB62" s="2">
        <v>2.0899999999999998E-2</v>
      </c>
      <c r="AC62" s="2">
        <f>AC61</f>
        <v>256500</v>
      </c>
      <c r="AD62" s="2">
        <v>5.9999999999999995E-4</v>
      </c>
      <c r="AE62" s="2">
        <f>AE61+P62</f>
        <v>19203900</v>
      </c>
      <c r="AF62" s="2">
        <v>5.1700000000000003E-2</v>
      </c>
      <c r="AG62" s="2">
        <f>AG61+C62</f>
        <v>599910177.31999993</v>
      </c>
      <c r="AH62" s="2">
        <v>7401388</v>
      </c>
      <c r="AI62" s="2">
        <v>519440</v>
      </c>
      <c r="AJ62" s="2">
        <f>AJ61+AI62</f>
        <v>3926008.12</v>
      </c>
      <c r="AK62" s="2">
        <f>AK61+AI62</f>
        <v>8616035.3200000003</v>
      </c>
      <c r="AM62" s="2" t="s">
        <v>234</v>
      </c>
      <c r="AR62" s="2">
        <f>AI62/C62</f>
        <v>1.1912930841519308E-2</v>
      </c>
      <c r="AT62" s="2">
        <v>2.8799999999999999E-2</v>
      </c>
      <c r="AU62" s="2">
        <v>4.65E-2</v>
      </c>
      <c r="AV62" s="2">
        <v>1.84E-2</v>
      </c>
      <c r="AW62" s="2">
        <v>9.7000000000000003E-3</v>
      </c>
      <c r="AX62" s="2">
        <v>6.7000000000000002E-3</v>
      </c>
      <c r="AY62" s="2">
        <f>AY61+AZ62</f>
        <v>182330.52</v>
      </c>
      <c r="AZ62" s="2">
        <v>39594</v>
      </c>
      <c r="BD62" s="2">
        <v>0.53</v>
      </c>
      <c r="BE62" s="2">
        <v>0.47</v>
      </c>
      <c r="BF62" s="2">
        <v>1</v>
      </c>
      <c r="BH62" s="2">
        <v>1</v>
      </c>
      <c r="BJ62" s="2" t="s">
        <v>61</v>
      </c>
      <c r="BK62" s="2" t="s">
        <v>81</v>
      </c>
      <c r="BL62" s="2">
        <v>4.65E-2</v>
      </c>
    </row>
  </sheetData>
  <protectedRanges>
    <protectedRange sqref="AI56" name="Range1_2_3"/>
    <protectedRange sqref="AM56" name="Range1_2_4"/>
    <protectedRange sqref="AR56" name="Range1_2_5"/>
    <protectedRange sqref="AY56" name="Range1_3"/>
    <protectedRange sqref="AZ56" name="Range1_4"/>
    <protectedRange sqref="BJ56:BK56" name="Range1_5"/>
    <protectedRange sqref="BL56" name="Range1_7"/>
    <protectedRange sqref="AG57 S57" name="Range1_2_6"/>
    <protectedRange sqref="C57" name="Range1_2_7"/>
    <protectedRange sqref="AH57" name="Range1_2_9"/>
    <protectedRange sqref="AJ57:AK57" name="Range1_2_10"/>
    <protectedRange sqref="AI57" name="Range1_2_13"/>
    <protectedRange sqref="AM57" name="Range1_3_1"/>
    <protectedRange sqref="AR57" name="Range1_3_2"/>
    <protectedRange sqref="AY57" name="Range1_2_14"/>
    <protectedRange sqref="AZ57" name="Range1_2_15"/>
    <protectedRange sqref="BD57" name="Range1_2_16"/>
    <protectedRange sqref="BE57" name="Range1_2_17"/>
    <protectedRange sqref="BF57" name="Range1_2_18"/>
    <protectedRange sqref="BJ57" name="Range1_2_19"/>
    <protectedRange sqref="BK57" name="Range1_2_20"/>
    <protectedRange sqref="BL57" name="Range1_1_1_1"/>
    <protectedRange sqref="AG58 S58" name="Range1_8"/>
    <protectedRange sqref="C58" name="Range1_9"/>
    <protectedRange sqref="AH58" name="Range1_10"/>
    <protectedRange sqref="AK58" name="Range1_11"/>
    <protectedRange sqref="AJ58" name="Range1_12"/>
    <protectedRange sqref="AI58" name="Range1_13"/>
    <protectedRange sqref="AM58" name="Range1_14"/>
    <protectedRange sqref="AR58" name="Range1_15"/>
    <protectedRange sqref="AY58" name="Range1_16"/>
    <protectedRange sqref="AZ58" name="Range1_17"/>
    <protectedRange sqref="BD58" name="Range1_18"/>
    <protectedRange sqref="BE58" name="Range1_19"/>
    <protectedRange sqref="BF58" name="Range1_20"/>
    <protectedRange sqref="BH58:BI58" name="Range1_21"/>
    <protectedRange sqref="BJ58" name="Range1_22"/>
    <protectedRange sqref="BK58" name="Range1_23"/>
    <protectedRange sqref="BL58" name="Range1_24"/>
    <protectedRange sqref="BE64" name="Range1_2_21"/>
    <protectedRange sqref="BE65:BE66" name="Range1_2_22"/>
    <protectedRange sqref="BE67:BH67" name="Range1_2_23"/>
    <protectedRange sqref="BE71" name="Range1_2_24"/>
    <protectedRange sqref="BE68:BE70" name="Range1_2_25"/>
    <protectedRange sqref="BE72" name="Range1_2_26"/>
    <protectedRange sqref="BE77" name="Range1_2_27"/>
    <protectedRange sqref="BE78" name="Range1_2_28"/>
    <protectedRange sqref="BE79" name="Range1_2_30"/>
    <protectedRange sqref="BE80:BF80" name="Range1_2_33"/>
    <protectedRange sqref="BE81" name="Range1_2_34"/>
    <protectedRange sqref="BE82" name="Range1_2_35"/>
    <protectedRange sqref="BE83" name="Range1_2_36"/>
    <protectedRange sqref="BE84:BE85" name="Range1_2_37"/>
    <protectedRange sqref="BE86" name="Range1_2_38"/>
    <protectedRange sqref="BE88" name="Range1_2_39"/>
    <protectedRange sqref="BF65:BG66" name="Range1_2_40"/>
    <protectedRange sqref="BF77" name="Range1_2_42"/>
    <protectedRange sqref="BF78" name="Range1_2_43"/>
    <protectedRange sqref="BF79" name="Range1_2_44"/>
    <protectedRange sqref="BD79" name="Range1_2_45"/>
    <protectedRange sqref="BF84" name="Range1_2_48"/>
    <protectedRange sqref="BF81" name="Range1_2_49"/>
    <protectedRange sqref="BF82" name="Range1_2_50"/>
    <protectedRange sqref="BF85" name="Range1_2_52"/>
    <protectedRange sqref="BF86" name="Range1_2_53"/>
    <protectedRange sqref="BF87" name="Range1_2_54"/>
    <protectedRange sqref="BF88" name="Range1_2_55"/>
    <protectedRange sqref="BG77" name="Range1_3_3"/>
    <protectedRange sqref="BG78" name="Range1_3_4"/>
    <protectedRange sqref="BG79" name="Range1_3_5"/>
    <protectedRange sqref="BG80" name="Range1_3_6"/>
    <protectedRange sqref="BG81" name="Range1_3_7"/>
    <protectedRange sqref="BG82" name="Range1_3_8"/>
    <protectedRange sqref="BG83" name="Range1_3_9"/>
    <protectedRange sqref="BG85" name="Range1_3_11"/>
    <protectedRange sqref="BG86" name="Range1_3_12"/>
    <protectedRange sqref="BG87" name="Range1_3_13"/>
    <protectedRange sqref="BG88" name="Range1_3_14"/>
    <protectedRange sqref="BE118" name="Range1_1_2"/>
    <protectedRange sqref="BE119" name="Range1_1_3"/>
    <protectedRange sqref="BE122" name="Range1_1_4"/>
    <protectedRange sqref="BE125" name="Range1_1_5"/>
    <protectedRange sqref="BE131" name="Range1_1_6"/>
    <protectedRange sqref="BE132" name="Range1_1_7"/>
    <protectedRange sqref="BE133" name="Range1_1_8"/>
    <protectedRange sqref="BF121" name="Range1_1_9"/>
    <protectedRange sqref="BF122" name="Range1_1_10"/>
    <protectedRange sqref="BF131" name="Range1_1_11"/>
    <protectedRange sqref="BF132" name="Range1_1_12"/>
    <protectedRange sqref="BF133" name="Range1_1_13"/>
    <protectedRange sqref="BD89" name="Range1_41"/>
    <protectedRange sqref="BG106" name="Range1_42"/>
    <protectedRange sqref="AG7 AG59" name="Range1"/>
    <protectedRange sqref="T7 T59" name="Range1_2"/>
    <protectedRange sqref="C7 C59" name="Range1_6"/>
    <protectedRange sqref="S7 S59" name="Range1_43"/>
    <protectedRange sqref="AH59:AH60 AH7" name="Range1_44"/>
    <protectedRange sqref="AK7 AK59" name="Range1_45"/>
    <protectedRange sqref="AJ7 AJ59" name="Range1_46"/>
    <protectedRange sqref="AI59 AI7" name="Range1_47"/>
    <protectedRange sqref="AM7 AM59" name="Range1_48"/>
    <protectedRange sqref="AR7:AX7 AS59:AX59" name="Range1_49"/>
    <protectedRange sqref="AY7 AY59" name="Range1_50"/>
    <protectedRange sqref="AZ7 AZ59" name="Range1_51"/>
    <protectedRange sqref="BK7 BK59" name="Range1_52"/>
    <protectedRange sqref="BL7 BL59" name="Range1_53"/>
    <protectedRange sqref="U7:V7 U59:V59" name="Range1_54"/>
    <protectedRange sqref="W7:X7 W59:X59" name="Range1_55"/>
    <protectedRange sqref="Y7:AB7 Y59:AB59" name="Range1_56"/>
    <protectedRange sqref="AC59:AF59 AC7:AF7" name="Range1_57"/>
    <protectedRange sqref="H7:K7 H59:K59" name="Range1_58"/>
    <protectedRange sqref="L7:M7 L59:M59" name="Range1_59"/>
    <protectedRange sqref="N7:P7 N59:P59" name="Range1_60"/>
    <protectedRange sqref="BH59" name="Range1_2_81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407A0-7717-40BB-86A2-C424653B2636}">
  <dimension ref="A1:DC62"/>
  <sheetViews>
    <sheetView workbookViewId="0">
      <selection activeCell="A3" sqref="A3"/>
    </sheetView>
  </sheetViews>
  <sheetFormatPr defaultColWidth="0" defaultRowHeight="15" x14ac:dyDescent="0.25"/>
  <cols>
    <col min="1" max="1" width="13.85546875" customWidth="1"/>
    <col min="2" max="2" width="21.140625" style="2" customWidth="1"/>
    <col min="3" max="3" width="12.7109375" style="2" bestFit="1" customWidth="1"/>
    <col min="4" max="4" width="17.85546875" style="2" customWidth="1"/>
    <col min="5" max="5" width="11.140625" style="2" bestFit="1" customWidth="1"/>
    <col min="6" max="6" width="14" style="2" customWidth="1"/>
    <col min="7" max="7" width="17.85546875" style="2" bestFit="1" customWidth="1"/>
    <col min="8" max="18" width="10.140625" style="2" bestFit="1" customWidth="1"/>
    <col min="19" max="19" width="18.42578125" style="2" bestFit="1" customWidth="1"/>
    <col min="20" max="20" width="12.7109375" style="2" bestFit="1" customWidth="1"/>
    <col min="21" max="21" width="18.42578125" style="9" bestFit="1" customWidth="1"/>
    <col min="22" max="24" width="18.42578125" style="2" bestFit="1" customWidth="1"/>
    <col min="25" max="29" width="14.85546875" style="2" bestFit="1" customWidth="1"/>
    <col min="30" max="30" width="19" style="2" bestFit="1" customWidth="1"/>
    <col min="31" max="31" width="14.85546875" style="2" bestFit="1" customWidth="1"/>
    <col min="32" max="32" width="19" style="2" bestFit="1" customWidth="1"/>
    <col min="33" max="33" width="14.85546875" style="2" bestFit="1" customWidth="1"/>
    <col min="34" max="34" width="19" style="2" bestFit="1" customWidth="1"/>
    <col min="35" max="35" width="14.85546875" style="2" bestFit="1" customWidth="1"/>
    <col min="36" max="36" width="16.42578125" style="2" bestFit="1" customWidth="1"/>
    <col min="37" max="37" width="19" style="2" bestFit="1" customWidth="1"/>
    <col min="38" max="39" width="16.42578125" style="2" bestFit="1" customWidth="1"/>
    <col min="40" max="41" width="19" style="2" bestFit="1" customWidth="1"/>
    <col min="42" max="42" width="14.85546875" style="2" bestFit="1" customWidth="1"/>
    <col min="43" max="43" width="24.140625" style="2" bestFit="1" customWidth="1"/>
    <col min="44" max="46" width="14.85546875" style="2" bestFit="1" customWidth="1"/>
    <col min="47" max="47" width="20.42578125" style="2" bestFit="1" customWidth="1"/>
    <col min="48" max="48" width="24" style="2" bestFit="1" customWidth="1"/>
    <col min="49" max="49" width="27.42578125" style="2" bestFit="1" customWidth="1"/>
    <col min="50" max="51" width="16.42578125" style="2" bestFit="1" customWidth="1"/>
    <col min="52" max="52" width="10.140625" style="2" bestFit="1" customWidth="1"/>
    <col min="53" max="53" width="13.85546875" style="2" bestFit="1" customWidth="1"/>
    <col min="54" max="54" width="10.140625" style="2" bestFit="1" customWidth="1"/>
    <col min="55" max="55" width="13.85546875" style="2" bestFit="1" customWidth="1"/>
    <col min="56" max="56" width="14.85546875" style="2" bestFit="1" customWidth="1"/>
    <col min="57" max="57" width="17.85546875" style="2" bestFit="1" customWidth="1"/>
    <col min="58" max="58" width="20.85546875" style="2" bestFit="1" customWidth="1"/>
    <col min="59" max="59" width="17.85546875" style="2" bestFit="1" customWidth="1"/>
    <col min="60" max="60" width="21.5703125" style="2" bestFit="1" customWidth="1"/>
    <col min="61" max="62" width="14.85546875" style="2" bestFit="1" customWidth="1"/>
    <col min="63" max="107" width="0" hidden="1" customWidth="1"/>
    <col min="108" max="16384" width="9.42578125" hidden="1"/>
  </cols>
  <sheetData>
    <row r="1" spans="1:62" s="3" customFormat="1" ht="90" x14ac:dyDescent="0.25">
      <c r="A1" s="3" t="s">
        <v>233</v>
      </c>
      <c r="B1" s="3" t="s">
        <v>84</v>
      </c>
      <c r="C1" s="3" t="s">
        <v>85</v>
      </c>
      <c r="D1" s="3" t="s">
        <v>86</v>
      </c>
      <c r="E1" s="3" t="s">
        <v>87</v>
      </c>
      <c r="F1" s="3" t="s">
        <v>32</v>
      </c>
      <c r="G1" s="3" t="s">
        <v>88</v>
      </c>
      <c r="H1" s="3" t="s">
        <v>89</v>
      </c>
      <c r="I1" s="3" t="s">
        <v>90</v>
      </c>
      <c r="J1" s="3" t="s">
        <v>91</v>
      </c>
      <c r="K1" s="3" t="s">
        <v>92</v>
      </c>
      <c r="L1" s="3" t="s">
        <v>93</v>
      </c>
      <c r="M1" s="3" t="s">
        <v>94</v>
      </c>
      <c r="N1" s="3" t="s">
        <v>95</v>
      </c>
      <c r="O1" s="3" t="s">
        <v>96</v>
      </c>
      <c r="P1" s="3" t="s">
        <v>97</v>
      </c>
      <c r="Q1" s="3" t="s">
        <v>98</v>
      </c>
      <c r="R1" s="3" t="s">
        <v>99</v>
      </c>
      <c r="S1" s="3" t="s">
        <v>100</v>
      </c>
      <c r="T1" s="3" t="s">
        <v>101</v>
      </c>
      <c r="U1" s="8" t="s">
        <v>102</v>
      </c>
      <c r="V1" s="3" t="s">
        <v>103</v>
      </c>
      <c r="W1" s="3" t="s">
        <v>104</v>
      </c>
      <c r="X1" s="3" t="s">
        <v>105</v>
      </c>
      <c r="Y1" s="3" t="s">
        <v>106</v>
      </c>
      <c r="Z1" s="3" t="s">
        <v>107</v>
      </c>
      <c r="AA1" s="3" t="s">
        <v>108</v>
      </c>
      <c r="AB1" s="3" t="s">
        <v>109</v>
      </c>
      <c r="AC1" s="3" t="s">
        <v>110</v>
      </c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</row>
    <row r="2" spans="1:62" x14ac:dyDescent="0.25">
      <c r="A2" s="1">
        <v>45292</v>
      </c>
    </row>
    <row r="3" spans="1:62" x14ac:dyDescent="0.25">
      <c r="A3" s="1">
        <f t="shared" ref="A3:A34" si="0">A2+7</f>
        <v>45299</v>
      </c>
      <c r="B3" s="2">
        <v>1099000</v>
      </c>
      <c r="G3" s="2">
        <v>123</v>
      </c>
      <c r="N3" s="2">
        <v>1</v>
      </c>
      <c r="R3" s="2">
        <v>50</v>
      </c>
      <c r="S3" s="2">
        <v>27</v>
      </c>
      <c r="U3" s="9" t="e">
        <f>#REF!/R3</f>
        <v>#REF!</v>
      </c>
      <c r="V3" s="2">
        <v>0</v>
      </c>
      <c r="W3" s="2">
        <v>0</v>
      </c>
      <c r="AC3" s="2">
        <v>1</v>
      </c>
    </row>
    <row r="4" spans="1:62" x14ac:dyDescent="0.25">
      <c r="A4" s="1">
        <f t="shared" si="0"/>
        <v>45306</v>
      </c>
      <c r="B4" s="2">
        <v>1820000</v>
      </c>
      <c r="G4" s="2">
        <v>143</v>
      </c>
      <c r="N4" s="2">
        <v>5</v>
      </c>
      <c r="R4" s="2">
        <v>80</v>
      </c>
      <c r="S4" s="2">
        <v>33</v>
      </c>
      <c r="U4" s="9" t="e">
        <f>#REF!/R4</f>
        <v>#REF!</v>
      </c>
      <c r="V4" s="2">
        <v>0</v>
      </c>
      <c r="W4" s="2">
        <v>0</v>
      </c>
      <c r="AC4" s="2">
        <v>5</v>
      </c>
    </row>
    <row r="5" spans="1:62" x14ac:dyDescent="0.25">
      <c r="A5" s="1">
        <f t="shared" si="0"/>
        <v>45313</v>
      </c>
      <c r="B5" s="2">
        <v>435000</v>
      </c>
      <c r="G5" s="2">
        <v>150</v>
      </c>
      <c r="N5" s="2">
        <v>3</v>
      </c>
      <c r="R5" s="2">
        <v>745</v>
      </c>
      <c r="S5" s="2">
        <v>53</v>
      </c>
      <c r="U5" s="9">
        <v>7.1099999999999997E-2</v>
      </c>
      <c r="V5" s="2">
        <v>0</v>
      </c>
      <c r="W5" s="2">
        <v>0</v>
      </c>
      <c r="AC5" s="2">
        <v>3</v>
      </c>
    </row>
    <row r="6" spans="1:62" x14ac:dyDescent="0.25">
      <c r="A6" s="1">
        <f t="shared" si="0"/>
        <v>45320</v>
      </c>
      <c r="B6" s="2">
        <v>0</v>
      </c>
      <c r="G6" s="2">
        <v>120</v>
      </c>
      <c r="N6" s="2">
        <v>5</v>
      </c>
      <c r="R6" s="2">
        <v>823</v>
      </c>
      <c r="S6" s="2">
        <v>70</v>
      </c>
      <c r="U6" s="9">
        <v>0.08</v>
      </c>
      <c r="V6" s="2">
        <v>0</v>
      </c>
      <c r="W6" s="2">
        <v>0</v>
      </c>
      <c r="AC6" s="2">
        <v>5</v>
      </c>
    </row>
    <row r="7" spans="1:62" x14ac:dyDescent="0.25">
      <c r="A7" s="1">
        <f t="shared" si="0"/>
        <v>45327</v>
      </c>
      <c r="B7" s="2">
        <v>0</v>
      </c>
      <c r="G7" s="2">
        <v>60</v>
      </c>
      <c r="N7" s="2">
        <v>7</v>
      </c>
      <c r="R7" s="2">
        <v>893</v>
      </c>
      <c r="S7" s="2">
        <v>78</v>
      </c>
      <c r="U7" s="9">
        <v>0.09</v>
      </c>
      <c r="V7" s="2">
        <v>0</v>
      </c>
      <c r="W7" s="2">
        <v>0</v>
      </c>
      <c r="AC7" s="2">
        <v>7</v>
      </c>
    </row>
    <row r="8" spans="1:62" x14ac:dyDescent="0.25">
      <c r="A8" s="1">
        <f t="shared" si="0"/>
        <v>45334</v>
      </c>
    </row>
    <row r="9" spans="1:62" x14ac:dyDescent="0.25">
      <c r="A9" s="1">
        <f t="shared" si="0"/>
        <v>45341</v>
      </c>
    </row>
    <row r="10" spans="1:62" x14ac:dyDescent="0.25">
      <c r="A10" s="1">
        <f t="shared" si="0"/>
        <v>45348</v>
      </c>
    </row>
    <row r="11" spans="1:62" x14ac:dyDescent="0.25">
      <c r="A11" s="1">
        <f t="shared" si="0"/>
        <v>45355</v>
      </c>
    </row>
    <row r="12" spans="1:62" x14ac:dyDescent="0.25">
      <c r="A12" s="1">
        <f t="shared" si="0"/>
        <v>45362</v>
      </c>
    </row>
    <row r="13" spans="1:62" x14ac:dyDescent="0.25">
      <c r="A13" s="1">
        <f t="shared" si="0"/>
        <v>45369</v>
      </c>
    </row>
    <row r="14" spans="1:62" x14ac:dyDescent="0.25">
      <c r="A14" s="1">
        <f t="shared" si="0"/>
        <v>45376</v>
      </c>
    </row>
    <row r="15" spans="1:62" x14ac:dyDescent="0.25">
      <c r="A15" s="1">
        <f t="shared" si="0"/>
        <v>45383</v>
      </c>
    </row>
    <row r="16" spans="1:62" x14ac:dyDescent="0.25">
      <c r="A16" s="1">
        <f t="shared" si="0"/>
        <v>45390</v>
      </c>
    </row>
    <row r="17" spans="1:29" x14ac:dyDescent="0.25">
      <c r="A17" s="1">
        <f t="shared" si="0"/>
        <v>45397</v>
      </c>
    </row>
    <row r="18" spans="1:29" x14ac:dyDescent="0.25">
      <c r="A18" s="1">
        <f t="shared" si="0"/>
        <v>45404</v>
      </c>
    </row>
    <row r="19" spans="1:29" x14ac:dyDescent="0.25">
      <c r="A19" s="1">
        <f t="shared" si="0"/>
        <v>45411</v>
      </c>
    </row>
    <row r="20" spans="1:29" x14ac:dyDescent="0.25">
      <c r="A20" s="1">
        <f t="shared" si="0"/>
        <v>45418</v>
      </c>
      <c r="B20" s="2">
        <v>3316320</v>
      </c>
      <c r="N20" s="2">
        <v>9</v>
      </c>
      <c r="V20" s="2">
        <v>3</v>
      </c>
    </row>
    <row r="21" spans="1:29" x14ac:dyDescent="0.25">
      <c r="A21" s="1">
        <f t="shared" si="0"/>
        <v>45425</v>
      </c>
    </row>
    <row r="22" spans="1:29" x14ac:dyDescent="0.25">
      <c r="A22" s="1">
        <f t="shared" si="0"/>
        <v>45432</v>
      </c>
      <c r="B22" s="2">
        <v>11952000</v>
      </c>
      <c r="N22" s="2">
        <v>15</v>
      </c>
      <c r="V22" s="2">
        <v>0</v>
      </c>
      <c r="W22" s="2">
        <v>0</v>
      </c>
      <c r="Y22" s="2">
        <v>2</v>
      </c>
      <c r="AC22" s="2">
        <v>2</v>
      </c>
    </row>
    <row r="23" spans="1:29" x14ac:dyDescent="0.25">
      <c r="A23" s="1">
        <f t="shared" si="0"/>
        <v>45439</v>
      </c>
      <c r="B23" s="2">
        <v>32475320</v>
      </c>
      <c r="D23" s="2">
        <v>144620</v>
      </c>
      <c r="G23" s="2">
        <v>20</v>
      </c>
      <c r="N23" s="2">
        <v>11</v>
      </c>
      <c r="R23" s="2">
        <v>129</v>
      </c>
      <c r="S23" s="2">
        <v>8</v>
      </c>
      <c r="U23" s="9">
        <f t="shared" ref="U23:U39" si="1">S23/R23</f>
        <v>6.2015503875968991E-2</v>
      </c>
      <c r="V23" s="2">
        <v>1</v>
      </c>
      <c r="W23" s="2">
        <f>V23/N23</f>
        <v>9.0909090909090912E-2</v>
      </c>
      <c r="Y23" s="2">
        <v>2</v>
      </c>
      <c r="AC23" s="2">
        <v>2</v>
      </c>
    </row>
    <row r="24" spans="1:29" x14ac:dyDescent="0.25">
      <c r="A24" s="1">
        <f t="shared" si="0"/>
        <v>45446</v>
      </c>
      <c r="B24" s="2">
        <v>6934060</v>
      </c>
      <c r="D24" s="2">
        <v>277060</v>
      </c>
      <c r="G24" s="2">
        <v>20</v>
      </c>
      <c r="N24" s="2">
        <v>6</v>
      </c>
      <c r="R24" s="2">
        <v>129</v>
      </c>
      <c r="S24" s="2">
        <v>20</v>
      </c>
      <c r="U24" s="9">
        <f t="shared" si="1"/>
        <v>0.15503875968992248</v>
      </c>
      <c r="V24" s="2">
        <v>0</v>
      </c>
      <c r="W24" s="2">
        <f>V24/N24</f>
        <v>0</v>
      </c>
      <c r="Y24" s="2">
        <v>0</v>
      </c>
      <c r="AC24" s="2">
        <v>3</v>
      </c>
    </row>
    <row r="25" spans="1:29" x14ac:dyDescent="0.25">
      <c r="A25" s="1">
        <f t="shared" si="0"/>
        <v>45453</v>
      </c>
      <c r="B25" s="2">
        <v>155276900</v>
      </c>
      <c r="D25" s="2">
        <v>13496400</v>
      </c>
      <c r="G25" s="2">
        <v>82</v>
      </c>
      <c r="N25" s="2">
        <v>12</v>
      </c>
      <c r="R25" s="2">
        <v>129</v>
      </c>
      <c r="S25" s="2">
        <v>25</v>
      </c>
      <c r="U25" s="9">
        <f t="shared" si="1"/>
        <v>0.19379844961240311</v>
      </c>
      <c r="V25" s="2">
        <v>1</v>
      </c>
      <c r="W25" s="2">
        <f>V25/N25</f>
        <v>8.3333333333333329E-2</v>
      </c>
      <c r="Y25" s="2">
        <v>0</v>
      </c>
      <c r="AC25" s="2">
        <v>3</v>
      </c>
    </row>
    <row r="26" spans="1:29" x14ac:dyDescent="0.25">
      <c r="A26" s="1">
        <f t="shared" si="0"/>
        <v>45460</v>
      </c>
      <c r="B26" s="2">
        <v>1585200</v>
      </c>
      <c r="D26" s="2">
        <v>95200</v>
      </c>
      <c r="G26" s="2">
        <v>108</v>
      </c>
      <c r="N26" s="2">
        <v>15</v>
      </c>
      <c r="R26" s="2">
        <v>135</v>
      </c>
      <c r="S26" s="2">
        <v>32</v>
      </c>
      <c r="U26" s="9">
        <f t="shared" si="1"/>
        <v>0.23703703703703705</v>
      </c>
      <c r="V26" s="2">
        <v>0</v>
      </c>
      <c r="W26" s="2">
        <v>0</v>
      </c>
      <c r="Y26" s="2">
        <v>1</v>
      </c>
      <c r="AC26" s="2">
        <v>3</v>
      </c>
    </row>
    <row r="27" spans="1:29" x14ac:dyDescent="0.25">
      <c r="A27" s="1">
        <f t="shared" si="0"/>
        <v>45467</v>
      </c>
      <c r="B27" s="2">
        <v>4710751</v>
      </c>
      <c r="D27" s="2">
        <v>362691</v>
      </c>
      <c r="G27" s="2">
        <v>178</v>
      </c>
      <c r="N27" s="2">
        <v>19</v>
      </c>
      <c r="R27" s="2">
        <v>195</v>
      </c>
      <c r="S27" s="2">
        <v>43</v>
      </c>
      <c r="U27" s="9">
        <f t="shared" si="1"/>
        <v>0.22051282051282051</v>
      </c>
      <c r="V27" s="2">
        <v>2</v>
      </c>
      <c r="W27" s="2">
        <v>0</v>
      </c>
      <c r="Y27" s="2">
        <v>0</v>
      </c>
      <c r="AC27" s="2">
        <v>4</v>
      </c>
    </row>
    <row r="28" spans="1:29" x14ac:dyDescent="0.25">
      <c r="A28" s="1">
        <f t="shared" si="0"/>
        <v>45474</v>
      </c>
      <c r="B28" s="2">
        <v>2620600</v>
      </c>
      <c r="D28" s="2">
        <v>104160</v>
      </c>
      <c r="G28" s="2">
        <v>295</v>
      </c>
      <c r="N28" s="2">
        <v>14</v>
      </c>
      <c r="R28" s="2">
        <v>212</v>
      </c>
      <c r="S28" s="2">
        <v>84</v>
      </c>
      <c r="U28" s="9">
        <f t="shared" si="1"/>
        <v>0.39622641509433965</v>
      </c>
      <c r="V28" s="2">
        <v>7</v>
      </c>
      <c r="W28" s="2">
        <v>0</v>
      </c>
      <c r="Y28" s="2">
        <v>4</v>
      </c>
      <c r="AC28" s="2">
        <v>4</v>
      </c>
    </row>
    <row r="29" spans="1:29" x14ac:dyDescent="0.25">
      <c r="A29" s="1">
        <f t="shared" si="0"/>
        <v>45481</v>
      </c>
      <c r="B29" s="2">
        <v>16624322</v>
      </c>
      <c r="D29" s="2">
        <v>212492</v>
      </c>
      <c r="G29" s="2">
        <v>303</v>
      </c>
      <c r="N29" s="2">
        <v>18</v>
      </c>
      <c r="R29" s="2">
        <v>220</v>
      </c>
      <c r="S29" s="2">
        <v>89</v>
      </c>
      <c r="U29" s="9">
        <f t="shared" si="1"/>
        <v>0.40454545454545454</v>
      </c>
      <c r="V29" s="2">
        <v>13</v>
      </c>
      <c r="W29" s="2">
        <v>0</v>
      </c>
      <c r="X29" s="2">
        <v>0</v>
      </c>
      <c r="Y29" s="2">
        <v>1</v>
      </c>
      <c r="AB29" s="2">
        <v>3</v>
      </c>
      <c r="AC29" s="2">
        <v>5</v>
      </c>
    </row>
    <row r="30" spans="1:29" x14ac:dyDescent="0.25">
      <c r="A30" s="1">
        <f t="shared" si="0"/>
        <v>45488</v>
      </c>
      <c r="B30" s="2">
        <v>4426750</v>
      </c>
      <c r="D30" s="2">
        <v>182810</v>
      </c>
      <c r="G30" s="2">
        <v>257</v>
      </c>
      <c r="N30" s="2">
        <v>12</v>
      </c>
      <c r="Q30" s="2">
        <v>1</v>
      </c>
      <c r="R30" s="2">
        <v>177</v>
      </c>
      <c r="S30" s="2">
        <v>71</v>
      </c>
      <c r="U30" s="9">
        <f t="shared" si="1"/>
        <v>0.40112994350282488</v>
      </c>
      <c r="V30" s="2">
        <v>9</v>
      </c>
      <c r="W30" s="2">
        <v>70</v>
      </c>
      <c r="X30" s="2">
        <v>0</v>
      </c>
      <c r="Y30" s="2">
        <v>1</v>
      </c>
      <c r="AB30" s="2">
        <v>3</v>
      </c>
      <c r="AC30" s="2">
        <v>1</v>
      </c>
    </row>
    <row r="31" spans="1:29" x14ac:dyDescent="0.25">
      <c r="A31" s="1">
        <f t="shared" si="0"/>
        <v>45495</v>
      </c>
      <c r="B31" s="2">
        <v>62134012</v>
      </c>
      <c r="D31" s="2">
        <v>6922812</v>
      </c>
      <c r="G31" s="2">
        <v>223</v>
      </c>
      <c r="N31" s="2">
        <v>16</v>
      </c>
      <c r="Q31" s="2">
        <v>2</v>
      </c>
      <c r="R31" s="2">
        <v>183</v>
      </c>
      <c r="S31" s="2">
        <v>77</v>
      </c>
      <c r="U31" s="9">
        <f t="shared" si="1"/>
        <v>0.42076502732240439</v>
      </c>
      <c r="V31" s="2">
        <v>9</v>
      </c>
      <c r="W31" s="2">
        <v>0</v>
      </c>
      <c r="X31" s="2">
        <v>19</v>
      </c>
      <c r="Y31" s="2">
        <v>3</v>
      </c>
      <c r="AB31" s="2">
        <v>2</v>
      </c>
      <c r="AC31" s="2">
        <v>3</v>
      </c>
    </row>
    <row r="32" spans="1:29" x14ac:dyDescent="0.25">
      <c r="A32" s="1">
        <f t="shared" si="0"/>
        <v>45502</v>
      </c>
      <c r="B32" s="2">
        <v>39558420</v>
      </c>
      <c r="D32" s="2">
        <v>298203</v>
      </c>
      <c r="G32" s="2">
        <v>254</v>
      </c>
      <c r="J32" s="2">
        <v>16</v>
      </c>
      <c r="N32" s="2">
        <v>11</v>
      </c>
      <c r="Q32" s="2">
        <v>3</v>
      </c>
      <c r="R32" s="2">
        <v>194</v>
      </c>
      <c r="S32" s="2">
        <v>100</v>
      </c>
      <c r="U32" s="9">
        <f t="shared" si="1"/>
        <v>0.51546391752577314</v>
      </c>
      <c r="V32" s="2">
        <v>5</v>
      </c>
      <c r="W32" s="2">
        <v>0</v>
      </c>
      <c r="X32" s="2">
        <v>0</v>
      </c>
      <c r="Y32" s="2">
        <v>0</v>
      </c>
      <c r="AA32" s="2">
        <v>1</v>
      </c>
      <c r="AB32" s="2">
        <v>3</v>
      </c>
      <c r="AC32" s="2">
        <v>4</v>
      </c>
    </row>
    <row r="33" spans="1:29" x14ac:dyDescent="0.25">
      <c r="A33" s="1">
        <f t="shared" si="0"/>
        <v>45509</v>
      </c>
      <c r="B33" s="2">
        <v>8485250</v>
      </c>
      <c r="D33" s="2">
        <v>177022</v>
      </c>
      <c r="G33" s="2">
        <v>186</v>
      </c>
      <c r="J33" s="2">
        <v>18</v>
      </c>
      <c r="N33" s="2">
        <v>18</v>
      </c>
      <c r="Q33" s="2">
        <v>7</v>
      </c>
      <c r="R33" s="2">
        <v>210</v>
      </c>
      <c r="S33" s="2">
        <v>127</v>
      </c>
      <c r="U33" s="9">
        <f t="shared" si="1"/>
        <v>0.60476190476190472</v>
      </c>
      <c r="V33" s="2">
        <v>9</v>
      </c>
      <c r="W33" s="2">
        <f>1/9</f>
        <v>0.1111111111111111</v>
      </c>
      <c r="X33" s="2">
        <v>0</v>
      </c>
      <c r="Y33" s="2">
        <v>0</v>
      </c>
      <c r="AA33" s="2">
        <v>4</v>
      </c>
      <c r="AB33" s="2">
        <v>4</v>
      </c>
      <c r="AC33" s="2">
        <v>8</v>
      </c>
    </row>
    <row r="34" spans="1:29" x14ac:dyDescent="0.25">
      <c r="A34" s="1">
        <f t="shared" si="0"/>
        <v>45516</v>
      </c>
      <c r="B34" s="2">
        <v>53795735</v>
      </c>
      <c r="D34" s="2">
        <v>2169435</v>
      </c>
      <c r="G34" s="2">
        <v>320</v>
      </c>
      <c r="J34" s="2">
        <v>29</v>
      </c>
      <c r="M34" s="2">
        <v>45</v>
      </c>
      <c r="N34" s="2">
        <f>13+45</f>
        <v>58</v>
      </c>
      <c r="Q34" s="2">
        <v>9</v>
      </c>
      <c r="R34" s="2">
        <v>228</v>
      </c>
      <c r="S34" s="2">
        <v>120</v>
      </c>
      <c r="U34" s="9">
        <f t="shared" si="1"/>
        <v>0.52631578947368418</v>
      </c>
      <c r="V34" s="2">
        <v>7</v>
      </c>
      <c r="W34" s="2">
        <v>0</v>
      </c>
      <c r="X34" s="2">
        <v>0</v>
      </c>
      <c r="Y34" s="2">
        <v>0</v>
      </c>
      <c r="AA34" s="2">
        <v>0</v>
      </c>
      <c r="AB34" s="2">
        <v>3</v>
      </c>
      <c r="AC34" s="2">
        <v>3</v>
      </c>
    </row>
    <row r="35" spans="1:29" x14ac:dyDescent="0.25">
      <c r="A35" s="1">
        <f t="shared" ref="A35:A62" si="2">A34+7</f>
        <v>45523</v>
      </c>
      <c r="B35" s="2">
        <v>11154595</v>
      </c>
      <c r="D35" s="2">
        <v>277595</v>
      </c>
      <c r="G35" s="2">
        <v>280</v>
      </c>
      <c r="J35" s="2">
        <v>16</v>
      </c>
      <c r="M35" s="2">
        <v>38</v>
      </c>
      <c r="N35" s="2">
        <v>59</v>
      </c>
      <c r="Q35" s="2">
        <v>4</v>
      </c>
      <c r="R35" s="2">
        <v>239</v>
      </c>
      <c r="S35" s="2">
        <v>146</v>
      </c>
      <c r="U35" s="9">
        <f t="shared" si="1"/>
        <v>0.61087866108786615</v>
      </c>
      <c r="V35" s="2">
        <v>14</v>
      </c>
      <c r="W35" s="2">
        <v>0</v>
      </c>
      <c r="X35" s="2">
        <v>0</v>
      </c>
      <c r="AA35" s="2">
        <v>1</v>
      </c>
      <c r="AB35" s="2">
        <v>7</v>
      </c>
      <c r="AC35" s="2">
        <v>8</v>
      </c>
    </row>
    <row r="36" spans="1:29" x14ac:dyDescent="0.25">
      <c r="A36" s="1">
        <f t="shared" si="2"/>
        <v>45530</v>
      </c>
      <c r="B36" s="2">
        <v>57627268</v>
      </c>
      <c r="D36" s="2">
        <v>723483</v>
      </c>
      <c r="G36" s="2">
        <v>416</v>
      </c>
      <c r="J36" s="2">
        <v>22</v>
      </c>
      <c r="M36" s="2">
        <v>28</v>
      </c>
      <c r="N36" s="2">
        <v>57</v>
      </c>
      <c r="Q36" s="2">
        <v>4</v>
      </c>
      <c r="R36" s="2">
        <v>445</v>
      </c>
      <c r="S36" s="2">
        <v>205</v>
      </c>
      <c r="U36" s="9">
        <f t="shared" si="1"/>
        <v>0.4606741573033708</v>
      </c>
      <c r="V36" s="2">
        <v>18</v>
      </c>
      <c r="W36" s="2">
        <v>0</v>
      </c>
      <c r="X36" s="2">
        <v>0</v>
      </c>
      <c r="AA36" s="2">
        <v>2</v>
      </c>
      <c r="AB36" s="2">
        <v>6</v>
      </c>
      <c r="AC36" s="2">
        <v>8</v>
      </c>
    </row>
    <row r="37" spans="1:29" x14ac:dyDescent="0.25">
      <c r="A37" s="1">
        <f t="shared" si="2"/>
        <v>45537</v>
      </c>
      <c r="B37" s="2">
        <v>47476730</v>
      </c>
      <c r="D37" s="2">
        <v>449445</v>
      </c>
      <c r="G37" s="2">
        <v>101</v>
      </c>
      <c r="J37" s="2">
        <v>11</v>
      </c>
      <c r="M37" s="2">
        <v>26</v>
      </c>
      <c r="N37" s="2">
        <v>47</v>
      </c>
      <c r="Q37" s="2">
        <v>1</v>
      </c>
      <c r="R37" s="2">
        <v>265</v>
      </c>
      <c r="S37" s="2">
        <v>205</v>
      </c>
      <c r="U37" s="9">
        <f t="shared" si="1"/>
        <v>0.77358490566037741</v>
      </c>
      <c r="V37" s="2">
        <v>1</v>
      </c>
      <c r="W37" s="2">
        <v>0</v>
      </c>
      <c r="X37" s="2">
        <v>0</v>
      </c>
      <c r="AA37" s="2">
        <v>2</v>
      </c>
      <c r="AB37" s="2">
        <v>3</v>
      </c>
      <c r="AC37" s="2">
        <v>5</v>
      </c>
    </row>
    <row r="38" spans="1:29" x14ac:dyDescent="0.25">
      <c r="A38" s="1">
        <f t="shared" si="2"/>
        <v>45544</v>
      </c>
      <c r="B38" s="2">
        <v>78147657</v>
      </c>
      <c r="D38" s="2">
        <v>667857</v>
      </c>
      <c r="G38" s="2">
        <v>164</v>
      </c>
      <c r="J38" s="2">
        <v>7</v>
      </c>
      <c r="M38" s="2">
        <v>15</v>
      </c>
      <c r="N38" s="2">
        <v>46</v>
      </c>
      <c r="Q38" s="2">
        <v>3</v>
      </c>
      <c r="R38" s="2">
        <v>300</v>
      </c>
      <c r="S38" s="2">
        <v>215</v>
      </c>
      <c r="U38" s="9">
        <f t="shared" si="1"/>
        <v>0.71666666666666667</v>
      </c>
      <c r="V38" s="2">
        <v>16</v>
      </c>
      <c r="W38" s="2">
        <v>0</v>
      </c>
      <c r="X38" s="2">
        <v>0</v>
      </c>
      <c r="AA38" s="2">
        <v>0</v>
      </c>
      <c r="AB38" s="2">
        <v>7</v>
      </c>
      <c r="AC38" s="2">
        <v>7</v>
      </c>
    </row>
    <row r="39" spans="1:29" x14ac:dyDescent="0.25">
      <c r="A39" s="1">
        <f t="shared" si="2"/>
        <v>45551</v>
      </c>
      <c r="B39" s="2">
        <v>14497000</v>
      </c>
      <c r="D39" s="2">
        <v>262600</v>
      </c>
      <c r="G39" s="2">
        <v>156</v>
      </c>
      <c r="J39" s="2">
        <v>16</v>
      </c>
      <c r="M39" s="2">
        <v>7</v>
      </c>
      <c r="N39" s="2">
        <v>17</v>
      </c>
      <c r="Q39" s="2">
        <v>0</v>
      </c>
      <c r="R39" s="2">
        <v>318</v>
      </c>
      <c r="S39" s="2">
        <v>223</v>
      </c>
      <c r="U39" s="9">
        <f t="shared" si="1"/>
        <v>0.70125786163522008</v>
      </c>
      <c r="V39" s="2">
        <v>12</v>
      </c>
      <c r="W39" s="2">
        <v>0</v>
      </c>
      <c r="X39" s="2">
        <v>1</v>
      </c>
      <c r="AA39" s="2">
        <v>0</v>
      </c>
      <c r="AB39" s="2">
        <v>6</v>
      </c>
      <c r="AC39" s="2">
        <v>6</v>
      </c>
    </row>
    <row r="40" spans="1:29" x14ac:dyDescent="0.25">
      <c r="A40" s="1">
        <f t="shared" si="2"/>
        <v>45558</v>
      </c>
      <c r="B40" s="2">
        <v>32450541</v>
      </c>
      <c r="D40" s="2">
        <v>98120</v>
      </c>
      <c r="G40" s="2">
        <v>133</v>
      </c>
      <c r="J40" s="2">
        <v>22</v>
      </c>
      <c r="N40" s="2">
        <v>17</v>
      </c>
      <c r="Q40" s="2">
        <v>3</v>
      </c>
      <c r="R40" s="2">
        <v>368</v>
      </c>
      <c r="S40" s="2">
        <v>279</v>
      </c>
      <c r="U40" s="9">
        <v>0.55000000000000004</v>
      </c>
      <c r="V40" s="2">
        <v>0</v>
      </c>
      <c r="W40" s="2">
        <v>0</v>
      </c>
      <c r="X40" s="2">
        <v>0</v>
      </c>
      <c r="AA40" s="2">
        <v>3</v>
      </c>
      <c r="AB40" s="2">
        <v>4</v>
      </c>
      <c r="AC40" s="2">
        <v>7</v>
      </c>
    </row>
    <row r="41" spans="1:29" x14ac:dyDescent="0.25">
      <c r="A41" s="1">
        <f t="shared" si="2"/>
        <v>45565</v>
      </c>
      <c r="B41" s="2">
        <v>23704677</v>
      </c>
      <c r="D41" s="2">
        <v>550627</v>
      </c>
      <c r="G41" s="2">
        <v>172</v>
      </c>
      <c r="J41" s="2">
        <v>26</v>
      </c>
      <c r="M41" s="2">
        <v>2</v>
      </c>
      <c r="N41" s="2">
        <v>21</v>
      </c>
      <c r="Q41" s="2">
        <v>1</v>
      </c>
      <c r="R41" s="2">
        <v>370</v>
      </c>
      <c r="S41" s="2">
        <v>280</v>
      </c>
      <c r="U41" s="9">
        <f>S41/R41</f>
        <v>0.7567567567567568</v>
      </c>
      <c r="V41" s="2">
        <v>16</v>
      </c>
      <c r="W41" s="2">
        <v>0</v>
      </c>
      <c r="X41" s="2">
        <v>2</v>
      </c>
      <c r="AA41" s="2">
        <v>1</v>
      </c>
      <c r="AB41" s="2">
        <v>4</v>
      </c>
      <c r="AC41" s="2">
        <v>5</v>
      </c>
    </row>
    <row r="42" spans="1:29" x14ac:dyDescent="0.25">
      <c r="A42" s="1">
        <f t="shared" si="2"/>
        <v>45572</v>
      </c>
      <c r="B42" s="2">
        <v>48264563</v>
      </c>
      <c r="D42" s="2">
        <v>4260947</v>
      </c>
      <c r="G42" s="2">
        <v>190</v>
      </c>
      <c r="J42" s="2">
        <v>34</v>
      </c>
      <c r="M42" s="2">
        <v>5</v>
      </c>
      <c r="N42" s="2">
        <v>24</v>
      </c>
      <c r="Q42" s="2">
        <v>2</v>
      </c>
      <c r="R42" s="2">
        <v>373</v>
      </c>
      <c r="S42" s="2">
        <v>283</v>
      </c>
      <c r="U42" s="9">
        <f>S42/R42</f>
        <v>0.75871313672922247</v>
      </c>
      <c r="V42" s="2">
        <v>13</v>
      </c>
      <c r="W42" s="2">
        <v>0</v>
      </c>
      <c r="X42" s="2">
        <v>1</v>
      </c>
      <c r="AA42" s="2">
        <v>3</v>
      </c>
      <c r="AB42" s="2">
        <v>6</v>
      </c>
      <c r="AC42" s="2">
        <v>9</v>
      </c>
    </row>
    <row r="43" spans="1:29" x14ac:dyDescent="0.25">
      <c r="A43" s="1">
        <f t="shared" si="2"/>
        <v>45579</v>
      </c>
      <c r="B43" s="2">
        <v>7095959</v>
      </c>
      <c r="D43" s="2">
        <v>197502</v>
      </c>
      <c r="G43" s="2">
        <v>120</v>
      </c>
      <c r="J43" s="2">
        <v>16</v>
      </c>
      <c r="M43" s="2">
        <v>2</v>
      </c>
      <c r="N43" s="2">
        <v>36</v>
      </c>
      <c r="Q43" s="2">
        <v>5</v>
      </c>
      <c r="R43" s="2">
        <v>378</v>
      </c>
      <c r="S43" s="2">
        <v>283</v>
      </c>
      <c r="U43" s="9">
        <f>S43/R43</f>
        <v>0.74867724867724872</v>
      </c>
      <c r="V43" s="2">
        <v>2</v>
      </c>
      <c r="W43" s="2">
        <v>0</v>
      </c>
      <c r="X43" s="2">
        <v>0</v>
      </c>
      <c r="Z43" s="2">
        <v>13</v>
      </c>
      <c r="AA43" s="2">
        <v>2</v>
      </c>
      <c r="AB43" s="2">
        <v>4</v>
      </c>
      <c r="AC43" s="2">
        <v>6</v>
      </c>
    </row>
    <row r="44" spans="1:29" x14ac:dyDescent="0.25">
      <c r="A44" s="1">
        <f t="shared" si="2"/>
        <v>45586</v>
      </c>
      <c r="B44" s="2">
        <v>28812950</v>
      </c>
      <c r="D44" s="2">
        <v>513350</v>
      </c>
      <c r="G44" s="2">
        <v>165</v>
      </c>
      <c r="J44" s="2">
        <v>0.2</v>
      </c>
      <c r="M44" s="2">
        <v>4</v>
      </c>
      <c r="N44" s="2">
        <v>27</v>
      </c>
      <c r="Q44" s="2">
        <v>1</v>
      </c>
      <c r="R44" s="2">
        <v>380</v>
      </c>
      <c r="S44" s="2">
        <v>285</v>
      </c>
      <c r="U44" s="9">
        <f>S44/R44</f>
        <v>0.75</v>
      </c>
      <c r="V44" s="2">
        <v>0</v>
      </c>
      <c r="W44" s="2">
        <v>0</v>
      </c>
      <c r="X44" s="2">
        <v>0</v>
      </c>
      <c r="Z44" s="2">
        <v>19</v>
      </c>
      <c r="AA44" s="2">
        <v>4</v>
      </c>
      <c r="AB44" s="2">
        <v>3</v>
      </c>
      <c r="AC44" s="2">
        <v>7</v>
      </c>
    </row>
    <row r="45" spans="1:29" x14ac:dyDescent="0.25">
      <c r="A45" s="1">
        <f t="shared" si="2"/>
        <v>45593</v>
      </c>
      <c r="B45" s="2">
        <v>143963377</v>
      </c>
      <c r="D45" s="2">
        <v>36501948</v>
      </c>
      <c r="G45" s="2">
        <v>192</v>
      </c>
      <c r="J45" s="2">
        <v>34</v>
      </c>
      <c r="M45" s="2">
        <v>1</v>
      </c>
      <c r="N45" s="2">
        <v>27</v>
      </c>
      <c r="Q45" s="2">
        <v>0</v>
      </c>
      <c r="R45" s="7">
        <v>385</v>
      </c>
      <c r="S45" s="2">
        <v>185</v>
      </c>
      <c r="U45" s="9">
        <v>0.8</v>
      </c>
      <c r="V45" s="2">
        <v>10</v>
      </c>
      <c r="W45" s="2">
        <v>0</v>
      </c>
      <c r="X45" s="2">
        <v>0</v>
      </c>
      <c r="Z45" s="2">
        <v>16</v>
      </c>
      <c r="AA45" s="2">
        <v>5</v>
      </c>
      <c r="AB45" s="2">
        <v>3</v>
      </c>
      <c r="AC45" s="2">
        <v>25</v>
      </c>
    </row>
    <row r="46" spans="1:29" x14ac:dyDescent="0.25">
      <c r="A46" s="1">
        <f t="shared" si="2"/>
        <v>45600</v>
      </c>
      <c r="B46" s="2">
        <v>56572926</v>
      </c>
      <c r="D46" s="2">
        <v>724400</v>
      </c>
      <c r="G46" s="2">
        <v>230</v>
      </c>
      <c r="J46" s="2">
        <v>40</v>
      </c>
      <c r="M46" s="2">
        <v>7</v>
      </c>
      <c r="N46" s="2">
        <v>39</v>
      </c>
      <c r="Q46" s="2">
        <v>1</v>
      </c>
      <c r="R46" s="7">
        <v>388</v>
      </c>
      <c r="S46" s="7">
        <v>195</v>
      </c>
      <c r="U46" s="9">
        <f>S46/R46</f>
        <v>0.50257731958762886</v>
      </c>
      <c r="V46" s="2">
        <v>23</v>
      </c>
      <c r="W46" s="2">
        <v>0</v>
      </c>
      <c r="X46" s="2">
        <v>0</v>
      </c>
      <c r="Z46" s="2">
        <v>5</v>
      </c>
      <c r="AA46" s="2">
        <v>5</v>
      </c>
      <c r="AB46" s="2">
        <v>6</v>
      </c>
      <c r="AC46" s="2">
        <v>11</v>
      </c>
    </row>
    <row r="47" spans="1:29" x14ac:dyDescent="0.25">
      <c r="A47" s="1">
        <f t="shared" si="2"/>
        <v>45607</v>
      </c>
      <c r="B47" s="2">
        <v>19494900</v>
      </c>
      <c r="D47" s="2">
        <v>755050</v>
      </c>
      <c r="G47" s="2">
        <v>135</v>
      </c>
      <c r="J47" s="2">
        <v>34</v>
      </c>
      <c r="M47" s="2">
        <v>7</v>
      </c>
      <c r="N47" s="2">
        <v>27</v>
      </c>
      <c r="Q47" s="2">
        <v>1</v>
      </c>
      <c r="R47" s="2">
        <v>392</v>
      </c>
      <c r="S47" s="2">
        <v>199</v>
      </c>
      <c r="T47" s="2">
        <v>0</v>
      </c>
      <c r="U47" s="9">
        <f>S47/R47</f>
        <v>0.50765306122448983</v>
      </c>
      <c r="V47" s="2">
        <v>9</v>
      </c>
      <c r="W47" s="2">
        <v>0</v>
      </c>
      <c r="X47" s="2">
        <v>0</v>
      </c>
      <c r="Z47" s="2">
        <v>11</v>
      </c>
      <c r="AA47" s="2">
        <v>6</v>
      </c>
      <c r="AB47" s="2">
        <v>7</v>
      </c>
      <c r="AC47" s="2">
        <v>14</v>
      </c>
    </row>
    <row r="48" spans="1:29" x14ac:dyDescent="0.25">
      <c r="A48" s="1">
        <f t="shared" si="2"/>
        <v>45614</v>
      </c>
      <c r="B48" s="2">
        <v>129794930</v>
      </c>
      <c r="D48" s="2">
        <v>577150</v>
      </c>
      <c r="G48" s="2">
        <v>212</v>
      </c>
      <c r="H48" s="2">
        <v>4.2500000000000003E-2</v>
      </c>
      <c r="J48" s="2">
        <v>29</v>
      </c>
      <c r="K48" s="2">
        <v>7</v>
      </c>
      <c r="M48" s="2">
        <v>0</v>
      </c>
      <c r="N48" s="2">
        <v>17</v>
      </c>
      <c r="Q48" s="2">
        <v>0</v>
      </c>
      <c r="R48" s="2">
        <v>204</v>
      </c>
      <c r="S48" s="2">
        <v>208</v>
      </c>
      <c r="T48" s="2">
        <v>40</v>
      </c>
      <c r="U48" s="9">
        <v>0.19600000000000001</v>
      </c>
      <c r="V48" s="2">
        <v>9</v>
      </c>
      <c r="W48" s="2">
        <v>0.11</v>
      </c>
      <c r="X48" s="2">
        <v>0</v>
      </c>
      <c r="Z48" s="2">
        <v>14</v>
      </c>
      <c r="AA48" s="2">
        <v>3</v>
      </c>
      <c r="AB48" s="2">
        <v>5</v>
      </c>
      <c r="AC48" s="2">
        <v>9</v>
      </c>
    </row>
    <row r="49" spans="1:29" x14ac:dyDescent="0.25">
      <c r="A49" s="1">
        <f t="shared" si="2"/>
        <v>45621</v>
      </c>
      <c r="B49" s="2">
        <v>103122221.8</v>
      </c>
      <c r="C49" s="2">
        <v>-0.2</v>
      </c>
      <c r="D49" s="2">
        <v>1420721.8</v>
      </c>
      <c r="F49" s="2">
        <v>220000</v>
      </c>
      <c r="G49" s="2">
        <v>237</v>
      </c>
      <c r="H49" s="2">
        <v>10</v>
      </c>
      <c r="J49" s="2">
        <v>30</v>
      </c>
      <c r="K49" s="2">
        <v>9</v>
      </c>
      <c r="M49" s="2">
        <v>5</v>
      </c>
      <c r="N49" s="2">
        <v>31</v>
      </c>
      <c r="Q49" s="2">
        <v>0</v>
      </c>
      <c r="R49" s="2">
        <v>319</v>
      </c>
      <c r="S49" s="2">
        <v>209</v>
      </c>
      <c r="T49" s="2">
        <v>45</v>
      </c>
      <c r="U49" s="9">
        <v>0.21</v>
      </c>
      <c r="V49" s="2">
        <v>15</v>
      </c>
      <c r="W49" s="2">
        <v>0</v>
      </c>
      <c r="X49" s="2">
        <v>0</v>
      </c>
      <c r="Z49" s="2">
        <v>16</v>
      </c>
      <c r="AA49" s="2">
        <v>2</v>
      </c>
      <c r="AB49" s="2">
        <v>7</v>
      </c>
      <c r="AC49" s="2">
        <v>9</v>
      </c>
    </row>
    <row r="50" spans="1:29" x14ac:dyDescent="0.25">
      <c r="A50" s="1">
        <f t="shared" si="2"/>
        <v>45628</v>
      </c>
      <c r="B50" s="2">
        <v>86836142</v>
      </c>
      <c r="C50" s="2">
        <v>0.3</v>
      </c>
      <c r="D50" s="2">
        <v>431895</v>
      </c>
      <c r="F50" s="2">
        <v>60926250</v>
      </c>
      <c r="G50" s="2">
        <v>244</v>
      </c>
      <c r="H50" s="2">
        <v>11</v>
      </c>
      <c r="J50" s="2">
        <v>33</v>
      </c>
      <c r="K50" s="2">
        <v>12</v>
      </c>
      <c r="M50" s="2">
        <v>4</v>
      </c>
      <c r="N50" s="2">
        <v>30</v>
      </c>
      <c r="Q50" s="2">
        <v>2</v>
      </c>
      <c r="R50" s="2">
        <v>325</v>
      </c>
      <c r="S50" s="2">
        <v>215</v>
      </c>
      <c r="T50" s="2">
        <v>49</v>
      </c>
      <c r="U50" s="9">
        <f>T50/S50</f>
        <v>0.22790697674418606</v>
      </c>
      <c r="V50" s="2">
        <v>14</v>
      </c>
      <c r="W50" s="2">
        <v>0</v>
      </c>
      <c r="X50" s="2">
        <v>0</v>
      </c>
      <c r="Z50" s="2">
        <v>4</v>
      </c>
      <c r="AA50" s="2">
        <v>4</v>
      </c>
      <c r="AB50" s="2">
        <v>7</v>
      </c>
      <c r="AC50" s="2">
        <v>11</v>
      </c>
    </row>
    <row r="51" spans="1:29" x14ac:dyDescent="0.25">
      <c r="A51" s="1">
        <f t="shared" si="2"/>
        <v>45635</v>
      </c>
      <c r="B51" s="2">
        <v>36226440</v>
      </c>
      <c r="C51" s="2">
        <v>-0.58279999999999998</v>
      </c>
      <c r="D51" s="2">
        <v>409440</v>
      </c>
      <c r="F51" s="2">
        <v>9750000</v>
      </c>
      <c r="G51" s="2">
        <v>228</v>
      </c>
      <c r="H51" s="2">
        <v>10</v>
      </c>
      <c r="J51" s="2">
        <v>40</v>
      </c>
      <c r="K51" s="2">
        <v>5</v>
      </c>
      <c r="M51" s="2">
        <v>4</v>
      </c>
      <c r="N51" s="2">
        <v>30</v>
      </c>
      <c r="Q51" s="2">
        <v>7</v>
      </c>
      <c r="R51" s="2">
        <v>340</v>
      </c>
      <c r="S51" s="2">
        <v>216</v>
      </c>
      <c r="T51" s="2">
        <v>50</v>
      </c>
      <c r="U51" s="9">
        <f>T51/S51</f>
        <v>0.23148148148148148</v>
      </c>
      <c r="V51" s="2">
        <v>8</v>
      </c>
      <c r="W51" s="2">
        <v>0</v>
      </c>
      <c r="X51" s="2">
        <v>0</v>
      </c>
      <c r="Z51" s="2">
        <v>6</v>
      </c>
      <c r="AA51" s="2">
        <v>2</v>
      </c>
      <c r="AB51" s="2">
        <v>8</v>
      </c>
      <c r="AC51" s="2">
        <v>10</v>
      </c>
    </row>
    <row r="52" spans="1:29" x14ac:dyDescent="0.25">
      <c r="A52" s="1">
        <f t="shared" si="2"/>
        <v>45642</v>
      </c>
    </row>
    <row r="53" spans="1:29" x14ac:dyDescent="0.25">
      <c r="A53" s="1">
        <f t="shared" si="2"/>
        <v>45649</v>
      </c>
    </row>
    <row r="54" spans="1:29" x14ac:dyDescent="0.25">
      <c r="A54" s="1">
        <f t="shared" si="2"/>
        <v>45656</v>
      </c>
    </row>
    <row r="55" spans="1:29" x14ac:dyDescent="0.25">
      <c r="A55" s="1">
        <f t="shared" si="2"/>
        <v>45663</v>
      </c>
      <c r="B55" s="2">
        <v>23477790</v>
      </c>
      <c r="F55" s="2">
        <v>0</v>
      </c>
      <c r="G55" s="2">
        <v>270</v>
      </c>
      <c r="H55" s="2">
        <v>11</v>
      </c>
      <c r="J55" s="2">
        <v>0.35</v>
      </c>
      <c r="K55" s="2">
        <v>0.11</v>
      </c>
      <c r="M55" s="2">
        <v>0</v>
      </c>
      <c r="N55" s="2">
        <v>27</v>
      </c>
      <c r="Q55" s="2">
        <v>0</v>
      </c>
      <c r="R55" s="2">
        <v>3.15</v>
      </c>
      <c r="S55" s="2">
        <v>1.55</v>
      </c>
      <c r="T55" s="2">
        <v>0.91</v>
      </c>
      <c r="U55" s="9">
        <v>0.35</v>
      </c>
      <c r="V55" s="2">
        <v>4</v>
      </c>
      <c r="W55" s="2">
        <v>0</v>
      </c>
      <c r="X55" s="2">
        <v>0</v>
      </c>
      <c r="Z55" s="2">
        <v>0</v>
      </c>
      <c r="AA55" s="2">
        <v>0</v>
      </c>
      <c r="AB55" s="2">
        <v>6</v>
      </c>
      <c r="AC55" s="2">
        <v>6</v>
      </c>
    </row>
    <row r="56" spans="1:29" x14ac:dyDescent="0.25">
      <c r="A56" s="1">
        <f t="shared" si="2"/>
        <v>45670</v>
      </c>
      <c r="B56" s="2">
        <v>77697200</v>
      </c>
      <c r="C56" s="2">
        <v>2.31</v>
      </c>
      <c r="D56" s="2">
        <v>3556540</v>
      </c>
      <c r="G56" s="2">
        <v>186</v>
      </c>
      <c r="H56" s="2">
        <v>12</v>
      </c>
      <c r="J56" s="2">
        <v>28</v>
      </c>
      <c r="K56" s="2">
        <v>6</v>
      </c>
      <c r="M56" s="2">
        <v>2</v>
      </c>
      <c r="N56" s="2">
        <v>26</v>
      </c>
      <c r="Q56" s="2">
        <v>0</v>
      </c>
      <c r="R56" s="2">
        <v>318</v>
      </c>
      <c r="S56" s="2">
        <v>160</v>
      </c>
      <c r="T56" s="2">
        <v>91</v>
      </c>
      <c r="U56" s="9">
        <v>0.56874999999999998</v>
      </c>
      <c r="V56" s="2">
        <v>3</v>
      </c>
      <c r="W56" s="2">
        <v>0</v>
      </c>
      <c r="X56" s="2">
        <v>1</v>
      </c>
      <c r="Z56" s="2">
        <v>0</v>
      </c>
      <c r="AA56" s="2">
        <v>0</v>
      </c>
      <c r="AB56" s="2">
        <v>7</v>
      </c>
      <c r="AC56" s="2">
        <v>7</v>
      </c>
    </row>
    <row r="57" spans="1:29" x14ac:dyDescent="0.25">
      <c r="A57" s="1">
        <f t="shared" si="2"/>
        <v>45677</v>
      </c>
      <c r="B57" s="2">
        <v>42043019</v>
      </c>
      <c r="C57" s="2">
        <v>-0.46</v>
      </c>
      <c r="G57" s="2">
        <v>103</v>
      </c>
      <c r="H57" s="2">
        <v>8</v>
      </c>
      <c r="J57" s="2">
        <v>32</v>
      </c>
      <c r="K57" s="2">
        <v>10</v>
      </c>
      <c r="M57" s="2">
        <v>5</v>
      </c>
      <c r="N57" s="2">
        <v>37</v>
      </c>
      <c r="Q57" s="2">
        <v>1</v>
      </c>
      <c r="R57" s="2">
        <v>320</v>
      </c>
      <c r="S57" s="2">
        <v>162</v>
      </c>
      <c r="T57" s="2">
        <v>92</v>
      </c>
      <c r="U57" s="9">
        <v>0.5679012345679012</v>
      </c>
      <c r="V57" s="2">
        <v>2</v>
      </c>
      <c r="W57" s="2">
        <v>0</v>
      </c>
      <c r="X57" s="2">
        <v>2</v>
      </c>
      <c r="Z57" s="2">
        <v>1</v>
      </c>
      <c r="AA57" s="2">
        <v>1</v>
      </c>
      <c r="AB57" s="2">
        <v>10</v>
      </c>
      <c r="AC57" s="2">
        <v>11</v>
      </c>
    </row>
    <row r="58" spans="1:29" x14ac:dyDescent="0.25">
      <c r="A58" s="1">
        <f t="shared" si="2"/>
        <v>45684</v>
      </c>
      <c r="B58" s="2">
        <v>56977942</v>
      </c>
      <c r="C58" s="2">
        <v>0.36</v>
      </c>
      <c r="G58" s="2">
        <v>115</v>
      </c>
      <c r="H58" s="2">
        <v>7</v>
      </c>
      <c r="J58" s="2">
        <v>22</v>
      </c>
      <c r="K58" s="2">
        <v>4</v>
      </c>
      <c r="M58" s="2">
        <v>4</v>
      </c>
      <c r="N58" s="2">
        <v>32</v>
      </c>
      <c r="Q58" s="2">
        <v>0</v>
      </c>
      <c r="R58" s="2">
        <v>216</v>
      </c>
      <c r="S58" s="2">
        <v>124</v>
      </c>
      <c r="T58" s="2">
        <v>95</v>
      </c>
      <c r="U58" s="9">
        <v>0.7661290322580645</v>
      </c>
      <c r="V58" s="2">
        <v>1</v>
      </c>
      <c r="W58" s="2">
        <v>0</v>
      </c>
      <c r="X58" s="2">
        <v>1</v>
      </c>
      <c r="Z58" s="2">
        <v>4</v>
      </c>
      <c r="AA58" s="2">
        <v>3</v>
      </c>
      <c r="AB58" s="2">
        <v>2</v>
      </c>
      <c r="AC58" s="2">
        <v>6</v>
      </c>
    </row>
    <row r="59" spans="1:29" x14ac:dyDescent="0.25">
      <c r="A59" s="1">
        <f t="shared" si="2"/>
        <v>45691</v>
      </c>
      <c r="B59" s="2">
        <v>91610135</v>
      </c>
      <c r="C59" s="2">
        <v>0.61</v>
      </c>
      <c r="D59" s="2">
        <v>717635</v>
      </c>
      <c r="F59" s="2">
        <v>0</v>
      </c>
      <c r="G59" s="2">
        <v>68</v>
      </c>
      <c r="H59" s="2">
        <v>9</v>
      </c>
      <c r="J59" s="2">
        <v>12</v>
      </c>
      <c r="K59" s="2">
        <v>3</v>
      </c>
      <c r="M59" s="2">
        <v>1</v>
      </c>
      <c r="N59" s="2">
        <v>11</v>
      </c>
      <c r="O59" s="2">
        <v>6</v>
      </c>
      <c r="Q59" s="2">
        <v>0</v>
      </c>
      <c r="R59" s="7">
        <v>219</v>
      </c>
      <c r="S59" s="7">
        <v>126</v>
      </c>
      <c r="T59" s="7">
        <v>95</v>
      </c>
      <c r="U59" s="9">
        <f>T59/S59</f>
        <v>0.75396825396825395</v>
      </c>
      <c r="V59" s="2">
        <v>1</v>
      </c>
      <c r="W59" s="2">
        <v>0</v>
      </c>
      <c r="X59" s="2">
        <v>1</v>
      </c>
      <c r="Y59" s="2">
        <v>0</v>
      </c>
      <c r="Z59" s="2">
        <v>0</v>
      </c>
      <c r="AA59" s="2">
        <v>0</v>
      </c>
      <c r="AB59" s="2">
        <v>6</v>
      </c>
      <c r="AC59" s="2">
        <v>6</v>
      </c>
    </row>
    <row r="60" spans="1:29" x14ac:dyDescent="0.25">
      <c r="A60" s="1">
        <f t="shared" si="2"/>
        <v>45698</v>
      </c>
      <c r="B60" s="2">
        <v>48221912</v>
      </c>
      <c r="C60" s="2">
        <v>-0.48</v>
      </c>
      <c r="D60" s="2">
        <v>1067022</v>
      </c>
      <c r="E60" s="2">
        <v>0.49</v>
      </c>
      <c r="F60" s="2">
        <v>0</v>
      </c>
      <c r="G60" s="2">
        <v>72</v>
      </c>
      <c r="H60" s="2">
        <v>8</v>
      </c>
      <c r="I60" s="2">
        <v>0.11</v>
      </c>
      <c r="J60" s="2">
        <v>15</v>
      </c>
      <c r="K60" s="2">
        <v>6</v>
      </c>
      <c r="L60" s="2">
        <v>0.4</v>
      </c>
      <c r="M60" s="2">
        <v>5</v>
      </c>
      <c r="N60" s="2">
        <v>15</v>
      </c>
      <c r="O60" s="2">
        <v>7</v>
      </c>
      <c r="P60" s="2">
        <v>0.47</v>
      </c>
      <c r="Q60" s="2">
        <v>0</v>
      </c>
      <c r="R60" s="2">
        <v>219</v>
      </c>
      <c r="S60" s="2">
        <v>126</v>
      </c>
      <c r="T60" s="2">
        <v>96</v>
      </c>
      <c r="U60" s="9">
        <f>T60/S60</f>
        <v>0.76190476190476186</v>
      </c>
      <c r="V60" s="2">
        <v>0</v>
      </c>
      <c r="W60" s="2">
        <v>0</v>
      </c>
      <c r="X60" s="2">
        <v>1</v>
      </c>
      <c r="Y60" s="2">
        <v>0</v>
      </c>
      <c r="Z60" s="2">
        <v>1</v>
      </c>
      <c r="AA60" s="2">
        <v>1</v>
      </c>
      <c r="AB60" s="2">
        <v>6</v>
      </c>
      <c r="AC60" s="2">
        <v>7</v>
      </c>
    </row>
    <row r="61" spans="1:29" x14ac:dyDescent="0.25">
      <c r="A61" s="1">
        <f t="shared" si="2"/>
        <v>45705</v>
      </c>
      <c r="B61" s="2">
        <v>93806649</v>
      </c>
      <c r="C61" s="2">
        <v>0.95</v>
      </c>
      <c r="D61" s="2">
        <v>975250</v>
      </c>
      <c r="E61" s="2">
        <v>-0.09</v>
      </c>
      <c r="F61" s="2">
        <v>935000</v>
      </c>
      <c r="G61" s="2">
        <v>173</v>
      </c>
      <c r="H61" s="2">
        <v>12</v>
      </c>
      <c r="I61" s="2">
        <v>7.0000000000000007E-2</v>
      </c>
      <c r="J61" s="2">
        <v>34</v>
      </c>
      <c r="K61" s="2">
        <v>7</v>
      </c>
      <c r="L61" s="2">
        <v>0.21</v>
      </c>
      <c r="M61" s="2">
        <v>6</v>
      </c>
      <c r="N61" s="2">
        <v>22</v>
      </c>
      <c r="O61" s="2">
        <v>16</v>
      </c>
      <c r="P61" s="2">
        <v>0.73</v>
      </c>
      <c r="Q61" s="2">
        <v>0</v>
      </c>
      <c r="R61" s="2">
        <v>350</v>
      </c>
      <c r="S61" s="2">
        <v>128</v>
      </c>
      <c r="T61" s="2">
        <v>98</v>
      </c>
      <c r="U61" s="9">
        <v>0.77</v>
      </c>
      <c r="V61" s="2">
        <v>2</v>
      </c>
      <c r="W61" s="2">
        <v>0</v>
      </c>
      <c r="X61" s="2">
        <v>0</v>
      </c>
      <c r="Y61" s="2">
        <v>0</v>
      </c>
      <c r="Z61" s="2">
        <v>3</v>
      </c>
      <c r="AA61" s="2">
        <v>2</v>
      </c>
      <c r="AB61" s="2">
        <v>7</v>
      </c>
      <c r="AC61" s="2">
        <v>9</v>
      </c>
    </row>
    <row r="62" spans="1:29" x14ac:dyDescent="0.25">
      <c r="A62" s="1">
        <f t="shared" si="2"/>
        <v>45712</v>
      </c>
      <c r="B62" s="2">
        <v>31378140</v>
      </c>
      <c r="C62" s="2">
        <v>-0.67</v>
      </c>
      <c r="D62" s="2">
        <v>401140</v>
      </c>
      <c r="E62" s="2">
        <v>0.41</v>
      </c>
      <c r="F62" s="2">
        <v>38282097</v>
      </c>
      <c r="G62" s="2">
        <v>171</v>
      </c>
      <c r="H62" s="2">
        <v>10</v>
      </c>
      <c r="I62" s="2">
        <v>0.06</v>
      </c>
      <c r="J62" s="2">
        <v>40</v>
      </c>
      <c r="K62" s="2">
        <v>12</v>
      </c>
      <c r="L62" s="2">
        <v>0.43</v>
      </c>
      <c r="M62" s="2">
        <v>2</v>
      </c>
      <c r="N62" s="2">
        <v>22</v>
      </c>
      <c r="O62" s="2">
        <v>13</v>
      </c>
      <c r="P62" s="2">
        <v>0.5</v>
      </c>
      <c r="Q62" s="2">
        <v>0</v>
      </c>
      <c r="R62" s="2">
        <v>354</v>
      </c>
      <c r="S62" s="2">
        <v>128</v>
      </c>
      <c r="T62" s="2">
        <v>100</v>
      </c>
      <c r="U62" s="9">
        <v>0.78</v>
      </c>
      <c r="V62" s="2">
        <v>1</v>
      </c>
      <c r="W62" s="2">
        <v>0</v>
      </c>
      <c r="X62" s="2">
        <v>1</v>
      </c>
      <c r="Y62" s="2">
        <v>0</v>
      </c>
      <c r="Z62" s="2">
        <v>5</v>
      </c>
      <c r="AA62" s="2">
        <v>1</v>
      </c>
      <c r="AB62" s="2">
        <v>6</v>
      </c>
      <c r="AC62" s="2">
        <v>7</v>
      </c>
    </row>
  </sheetData>
  <protectedRanges>
    <protectedRange sqref="B56" name="Range1_4_1"/>
    <protectedRange sqref="C56" name="Range1_2_1_1"/>
    <protectedRange sqref="D56:E56" name="Range1_5_1"/>
    <protectedRange sqref="G56" name="Range1_2_1_2"/>
    <protectedRange sqref="H56:I56" name="Range1_2_1_3"/>
    <protectedRange sqref="J56" name="Range1_2_1_4"/>
    <protectedRange sqref="K56:L56" name="Range1_2_1_5"/>
    <protectedRange sqref="N56" name="Range1_2_1_6"/>
    <protectedRange sqref="M56 O56:P56" name="Range1_2_1_7"/>
    <protectedRange sqref="R56" name="Range1_2_1_8"/>
    <protectedRange sqref="S56" name="Range1_2_1_9"/>
    <protectedRange sqref="T56" name="Range1_2_1_10"/>
    <protectedRange sqref="U56" name="Range1_2_1_11"/>
    <protectedRange sqref="V56" name="Range1_2_1_12"/>
    <protectedRange sqref="W56" name="Range1_2_1_13"/>
    <protectedRange sqref="X56" name="Range1_2_1_14"/>
    <protectedRange sqref="AC56" name="Range1_2_1_15"/>
    <protectedRange sqref="AB56" name="Range1_2_1_16"/>
    <protectedRange sqref="AA56" name="Range1_2_1_17"/>
    <protectedRange sqref="Z56" name="Range1_2_1_18"/>
    <protectedRange sqref="Q56" name="Range1_2_1_19"/>
    <protectedRange sqref="B57" name="Range1_2_11"/>
    <protectedRange sqref="C57" name="Range1_2_12"/>
    <protectedRange sqref="G57" name="Range1_2_29"/>
    <protectedRange sqref="H57:I57" name="Range1_2_31"/>
    <protectedRange sqref="J57" name="Range1_2_32"/>
    <protectedRange sqref="K57:L57" name="Range1_2_41"/>
    <protectedRange sqref="N57" name="Range1_2_46"/>
    <protectedRange sqref="M57 O57:P57" name="Range1_2_47"/>
    <protectedRange sqref="R57" name="Range1_2_51"/>
    <protectedRange sqref="S57" name="Range1_2_56"/>
    <protectedRange sqref="T57" name="Range1_2_57"/>
    <protectedRange sqref="U57" name="Range1_2_58"/>
    <protectedRange sqref="V57" name="Range1_2_59"/>
    <protectedRange sqref="AB57" name="Range1_2_60"/>
    <protectedRange sqref="B58" name="Range1_2_61"/>
    <protectedRange sqref="C58" name="Range1_2_62"/>
    <protectedRange sqref="F58" name="Range1_2_63"/>
    <protectedRange sqref="G58" name="Range1_2_64"/>
    <protectedRange sqref="H58:I58" name="Range1_2_65"/>
    <protectedRange sqref="J58" name="Range1_2_66"/>
    <protectedRange sqref="K58:L58" name="Range1_2_67"/>
    <protectedRange sqref="N58" name="Range1_2_68"/>
    <protectedRange sqref="M58 O58:P58" name="Range1_2_69"/>
    <protectedRange sqref="R58" name="Range1_2_70"/>
    <protectedRange sqref="S58" name="Range1_2_71"/>
    <protectedRange sqref="T58" name="Range1_2_72"/>
    <protectedRange sqref="U58" name="Range1_2_76"/>
    <protectedRange sqref="X58" name="Range1_2_74"/>
    <protectedRange sqref="AC58" name="Range1_2_75"/>
    <protectedRange sqref="AB58" name="Range1_2_77"/>
    <protectedRange sqref="AA58" name="Range1_2_78"/>
    <protectedRange sqref="Z58" name="Range1_2_79"/>
    <protectedRange sqref="Q58" name="Range1_2_80"/>
  </protectedRange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25D7E-6647-46E3-8DB9-E2E5ED77D6E2}">
  <dimension ref="A1:DC62"/>
  <sheetViews>
    <sheetView topLeftCell="Q1" workbookViewId="0">
      <selection activeCell="AB1" sqref="AB1"/>
    </sheetView>
  </sheetViews>
  <sheetFormatPr defaultColWidth="0" defaultRowHeight="15" x14ac:dyDescent="0.25"/>
  <cols>
    <col min="1" max="1" width="16.7109375" style="1" customWidth="1"/>
    <col min="2" max="2" width="14" style="2" customWidth="1"/>
    <col min="3" max="4" width="12.7109375" style="2" bestFit="1" customWidth="1"/>
    <col min="5" max="5" width="11.140625" style="2" bestFit="1" customWidth="1"/>
    <col min="6" max="6" width="10.140625" style="2" bestFit="1" customWidth="1"/>
    <col min="7" max="7" width="17.85546875" style="2" bestFit="1" customWidth="1"/>
    <col min="8" max="18" width="10.140625" style="2" bestFit="1" customWidth="1"/>
    <col min="19" max="19" width="18.42578125" style="2" bestFit="1" customWidth="1"/>
    <col min="20" max="20" width="12.7109375" style="2" bestFit="1" customWidth="1"/>
    <col min="21" max="24" width="18.42578125" style="2" bestFit="1" customWidth="1"/>
    <col min="25" max="29" width="14.85546875" style="2" bestFit="1" customWidth="1"/>
    <col min="30" max="30" width="19" style="2" bestFit="1" customWidth="1"/>
    <col min="31" max="31" width="14.85546875" style="2" bestFit="1" customWidth="1"/>
    <col min="32" max="32" width="19" style="2" bestFit="1" customWidth="1"/>
    <col min="33" max="33" width="14.85546875" style="2" bestFit="1" customWidth="1"/>
    <col min="34" max="34" width="19" style="2" bestFit="1" customWidth="1"/>
    <col min="35" max="35" width="14.85546875" style="2" bestFit="1" customWidth="1"/>
    <col min="36" max="36" width="16.42578125" style="2" bestFit="1" customWidth="1"/>
    <col min="37" max="37" width="19" style="2" bestFit="1" customWidth="1"/>
    <col min="38" max="39" width="16.42578125" style="2" bestFit="1" customWidth="1"/>
    <col min="40" max="41" width="19" style="2" bestFit="1" customWidth="1"/>
    <col min="42" max="42" width="14.85546875" style="2" bestFit="1" customWidth="1"/>
    <col min="43" max="43" width="24.140625" style="2" bestFit="1" customWidth="1"/>
    <col min="44" max="46" width="14.85546875" style="2" bestFit="1" customWidth="1"/>
    <col min="47" max="47" width="20.42578125" style="2" bestFit="1" customWidth="1"/>
    <col min="48" max="48" width="24" style="2" bestFit="1" customWidth="1"/>
    <col min="49" max="49" width="27.42578125" style="2" bestFit="1" customWidth="1"/>
    <col min="50" max="51" width="16.42578125" style="2" bestFit="1" customWidth="1"/>
    <col min="52" max="52" width="10.140625" style="2" bestFit="1" customWidth="1"/>
    <col min="53" max="53" width="13.85546875" style="2" bestFit="1" customWidth="1"/>
    <col min="54" max="54" width="10.140625" style="2" bestFit="1" customWidth="1"/>
    <col min="55" max="55" width="13.85546875" style="2" bestFit="1" customWidth="1"/>
    <col min="56" max="56" width="14.85546875" style="2" bestFit="1" customWidth="1"/>
    <col min="57" max="57" width="17.85546875" style="2" bestFit="1" customWidth="1"/>
    <col min="58" max="58" width="20.85546875" style="2" bestFit="1" customWidth="1"/>
    <col min="59" max="59" width="17.85546875" style="2" bestFit="1" customWidth="1"/>
    <col min="60" max="60" width="21.5703125" style="2" bestFit="1" customWidth="1"/>
    <col min="61" max="62" width="14.85546875" style="2" bestFit="1" customWidth="1"/>
    <col min="63" max="107" width="0" hidden="1" customWidth="1"/>
    <col min="108" max="16384" width="9.42578125" hidden="1"/>
  </cols>
  <sheetData>
    <row r="1" spans="1:62" s="3" customFormat="1" ht="75" x14ac:dyDescent="0.25">
      <c r="A1" s="10" t="s">
        <v>233</v>
      </c>
      <c r="B1" s="3" t="s">
        <v>84</v>
      </c>
      <c r="C1" s="3" t="s">
        <v>85</v>
      </c>
      <c r="D1" s="3" t="s">
        <v>86</v>
      </c>
      <c r="E1" s="3" t="s">
        <v>87</v>
      </c>
      <c r="F1" s="3" t="s">
        <v>32</v>
      </c>
      <c r="G1" s="3" t="s">
        <v>88</v>
      </c>
      <c r="H1" s="3" t="s">
        <v>89</v>
      </c>
      <c r="I1" s="3" t="s">
        <v>90</v>
      </c>
      <c r="J1" s="3" t="s">
        <v>91</v>
      </c>
      <c r="K1" s="3" t="s">
        <v>92</v>
      </c>
      <c r="L1" s="3" t="s">
        <v>93</v>
      </c>
      <c r="M1" s="3" t="s">
        <v>95</v>
      </c>
      <c r="N1" s="3" t="s">
        <v>111</v>
      </c>
      <c r="O1" s="3" t="s">
        <v>97</v>
      </c>
      <c r="P1" s="3" t="s">
        <v>112</v>
      </c>
      <c r="Q1" s="3" t="s">
        <v>99</v>
      </c>
      <c r="R1" s="3" t="s">
        <v>100</v>
      </c>
      <c r="S1" s="3" t="s">
        <v>101</v>
      </c>
      <c r="T1" s="3" t="s">
        <v>102</v>
      </c>
      <c r="U1" s="3" t="s">
        <v>103</v>
      </c>
      <c r="V1" s="3" t="s">
        <v>104</v>
      </c>
      <c r="W1" s="3" t="s">
        <v>105</v>
      </c>
      <c r="X1" s="3" t="s">
        <v>106</v>
      </c>
      <c r="Y1" s="3" t="s">
        <v>107</v>
      </c>
      <c r="Z1" s="3" t="s">
        <v>108</v>
      </c>
      <c r="AA1" s="3" t="s">
        <v>110</v>
      </c>
      <c r="AB1" s="3" t="s">
        <v>109</v>
      </c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</row>
    <row r="2" spans="1:62" x14ac:dyDescent="0.25">
      <c r="A2" s="1">
        <v>45292</v>
      </c>
    </row>
    <row r="3" spans="1:62" x14ac:dyDescent="0.25">
      <c r="A3" s="1">
        <f t="shared" ref="A3:A34" si="0">A2+7</f>
        <v>45299</v>
      </c>
    </row>
    <row r="4" spans="1:62" x14ac:dyDescent="0.25">
      <c r="A4" s="1">
        <f t="shared" si="0"/>
        <v>45306</v>
      </c>
    </row>
    <row r="5" spans="1:62" x14ac:dyDescent="0.25">
      <c r="A5" s="1">
        <f t="shared" si="0"/>
        <v>45313</v>
      </c>
    </row>
    <row r="6" spans="1:62" x14ac:dyDescent="0.25">
      <c r="A6" s="1">
        <f t="shared" si="0"/>
        <v>45320</v>
      </c>
    </row>
    <row r="7" spans="1:62" x14ac:dyDescent="0.25">
      <c r="A7" s="1">
        <f t="shared" si="0"/>
        <v>45327</v>
      </c>
    </row>
    <row r="8" spans="1:62" x14ac:dyDescent="0.25">
      <c r="A8" s="1">
        <f t="shared" si="0"/>
        <v>45334</v>
      </c>
    </row>
    <row r="9" spans="1:62" x14ac:dyDescent="0.25">
      <c r="A9" s="1">
        <f t="shared" si="0"/>
        <v>45341</v>
      </c>
    </row>
    <row r="10" spans="1:62" x14ac:dyDescent="0.25">
      <c r="A10" s="1">
        <f t="shared" si="0"/>
        <v>45348</v>
      </c>
    </row>
    <row r="11" spans="1:62" x14ac:dyDescent="0.25">
      <c r="A11" s="1">
        <f t="shared" si="0"/>
        <v>45355</v>
      </c>
    </row>
    <row r="12" spans="1:62" x14ac:dyDescent="0.25">
      <c r="A12" s="1">
        <f t="shared" si="0"/>
        <v>45362</v>
      </c>
    </row>
    <row r="13" spans="1:62" x14ac:dyDescent="0.25">
      <c r="A13" s="1">
        <f t="shared" si="0"/>
        <v>45369</v>
      </c>
    </row>
    <row r="14" spans="1:62" x14ac:dyDescent="0.25">
      <c r="A14" s="1">
        <f t="shared" si="0"/>
        <v>45376</v>
      </c>
    </row>
    <row r="15" spans="1:62" x14ac:dyDescent="0.25">
      <c r="A15" s="1">
        <f t="shared" si="0"/>
        <v>45383</v>
      </c>
    </row>
    <row r="16" spans="1:62" x14ac:dyDescent="0.25">
      <c r="A16" s="1">
        <f t="shared" si="0"/>
        <v>45390</v>
      </c>
    </row>
    <row r="17" spans="1:1" x14ac:dyDescent="0.25">
      <c r="A17" s="1">
        <f t="shared" si="0"/>
        <v>45397</v>
      </c>
    </row>
    <row r="18" spans="1:1" x14ac:dyDescent="0.25">
      <c r="A18" s="1">
        <f t="shared" si="0"/>
        <v>45404</v>
      </c>
    </row>
    <row r="19" spans="1:1" x14ac:dyDescent="0.25">
      <c r="A19" s="1">
        <f t="shared" si="0"/>
        <v>45411</v>
      </c>
    </row>
    <row r="20" spans="1:1" x14ac:dyDescent="0.25">
      <c r="A20" s="1">
        <f t="shared" si="0"/>
        <v>45418</v>
      </c>
    </row>
    <row r="21" spans="1:1" x14ac:dyDescent="0.25">
      <c r="A21" s="1">
        <f t="shared" si="0"/>
        <v>45425</v>
      </c>
    </row>
    <row r="22" spans="1:1" x14ac:dyDescent="0.25">
      <c r="A22" s="1">
        <f t="shared" si="0"/>
        <v>45432</v>
      </c>
    </row>
    <row r="23" spans="1:1" x14ac:dyDescent="0.25">
      <c r="A23" s="1">
        <f t="shared" si="0"/>
        <v>45439</v>
      </c>
    </row>
    <row r="24" spans="1:1" x14ac:dyDescent="0.25">
      <c r="A24" s="1">
        <f t="shared" si="0"/>
        <v>45446</v>
      </c>
    </row>
    <row r="25" spans="1:1" x14ac:dyDescent="0.25">
      <c r="A25" s="1">
        <f t="shared" si="0"/>
        <v>45453</v>
      </c>
    </row>
    <row r="26" spans="1:1" x14ac:dyDescent="0.25">
      <c r="A26" s="1">
        <f t="shared" si="0"/>
        <v>45460</v>
      </c>
    </row>
    <row r="27" spans="1:1" x14ac:dyDescent="0.25">
      <c r="A27" s="1">
        <f t="shared" si="0"/>
        <v>45467</v>
      </c>
    </row>
    <row r="28" spans="1:1" x14ac:dyDescent="0.25">
      <c r="A28" s="1">
        <f t="shared" si="0"/>
        <v>45474</v>
      </c>
    </row>
    <row r="29" spans="1:1" x14ac:dyDescent="0.25">
      <c r="A29" s="1">
        <f t="shared" si="0"/>
        <v>45481</v>
      </c>
    </row>
    <row r="30" spans="1:1" x14ac:dyDescent="0.25">
      <c r="A30" s="1">
        <f t="shared" si="0"/>
        <v>45488</v>
      </c>
    </row>
    <row r="31" spans="1:1" x14ac:dyDescent="0.25">
      <c r="A31" s="1">
        <f t="shared" si="0"/>
        <v>45495</v>
      </c>
    </row>
    <row r="32" spans="1:1" x14ac:dyDescent="0.25">
      <c r="A32" s="1">
        <f t="shared" si="0"/>
        <v>45502</v>
      </c>
    </row>
    <row r="33" spans="1:1" x14ac:dyDescent="0.25">
      <c r="A33" s="1">
        <f t="shared" si="0"/>
        <v>45509</v>
      </c>
    </row>
    <row r="34" spans="1:1" x14ac:dyDescent="0.25">
      <c r="A34" s="1">
        <f t="shared" si="0"/>
        <v>45516</v>
      </c>
    </row>
    <row r="35" spans="1:1" x14ac:dyDescent="0.25">
      <c r="A35" s="1">
        <f t="shared" ref="A35:A62" si="1">A34+7</f>
        <v>45523</v>
      </c>
    </row>
    <row r="36" spans="1:1" x14ac:dyDescent="0.25">
      <c r="A36" s="1">
        <f t="shared" si="1"/>
        <v>45530</v>
      </c>
    </row>
    <row r="37" spans="1:1" x14ac:dyDescent="0.25">
      <c r="A37" s="1">
        <f t="shared" si="1"/>
        <v>45537</v>
      </c>
    </row>
    <row r="38" spans="1:1" x14ac:dyDescent="0.25">
      <c r="A38" s="1">
        <f t="shared" si="1"/>
        <v>45544</v>
      </c>
    </row>
    <row r="39" spans="1:1" x14ac:dyDescent="0.25">
      <c r="A39" s="1">
        <f t="shared" si="1"/>
        <v>45551</v>
      </c>
    </row>
    <row r="40" spans="1:1" x14ac:dyDescent="0.25">
      <c r="A40" s="1">
        <f t="shared" si="1"/>
        <v>45558</v>
      </c>
    </row>
    <row r="41" spans="1:1" x14ac:dyDescent="0.25">
      <c r="A41" s="1">
        <f t="shared" si="1"/>
        <v>45565</v>
      </c>
    </row>
    <row r="42" spans="1:1" x14ac:dyDescent="0.25">
      <c r="A42" s="1">
        <f t="shared" si="1"/>
        <v>45572</v>
      </c>
    </row>
    <row r="43" spans="1:1" x14ac:dyDescent="0.25">
      <c r="A43" s="1">
        <f t="shared" si="1"/>
        <v>45579</v>
      </c>
    </row>
    <row r="44" spans="1:1" x14ac:dyDescent="0.25">
      <c r="A44" s="1">
        <f t="shared" si="1"/>
        <v>45586</v>
      </c>
    </row>
    <row r="45" spans="1:1" x14ac:dyDescent="0.25">
      <c r="A45" s="1">
        <f t="shared" si="1"/>
        <v>45593</v>
      </c>
    </row>
    <row r="46" spans="1:1" x14ac:dyDescent="0.25">
      <c r="A46" s="1">
        <f t="shared" si="1"/>
        <v>45600</v>
      </c>
    </row>
    <row r="47" spans="1:1" x14ac:dyDescent="0.25">
      <c r="A47" s="1">
        <f t="shared" si="1"/>
        <v>45607</v>
      </c>
    </row>
    <row r="48" spans="1:1" x14ac:dyDescent="0.25">
      <c r="A48" s="1">
        <f t="shared" si="1"/>
        <v>45614</v>
      </c>
    </row>
    <row r="49" spans="1:28" x14ac:dyDescent="0.25">
      <c r="A49" s="1">
        <f t="shared" si="1"/>
        <v>45621</v>
      </c>
    </row>
    <row r="50" spans="1:28" x14ac:dyDescent="0.25">
      <c r="A50" s="1">
        <f t="shared" si="1"/>
        <v>45628</v>
      </c>
    </row>
    <row r="51" spans="1:28" x14ac:dyDescent="0.25">
      <c r="A51" s="1">
        <f t="shared" si="1"/>
        <v>45635</v>
      </c>
    </row>
    <row r="52" spans="1:28" x14ac:dyDescent="0.25">
      <c r="A52" s="1">
        <f t="shared" si="1"/>
        <v>45642</v>
      </c>
    </row>
    <row r="53" spans="1:28" x14ac:dyDescent="0.25">
      <c r="A53" s="1">
        <f t="shared" si="1"/>
        <v>45649</v>
      </c>
    </row>
    <row r="54" spans="1:28" x14ac:dyDescent="0.25">
      <c r="A54" s="1">
        <f t="shared" si="1"/>
        <v>45656</v>
      </c>
    </row>
    <row r="55" spans="1:28" x14ac:dyDescent="0.25">
      <c r="A55" s="1">
        <f t="shared" si="1"/>
        <v>45663</v>
      </c>
    </row>
    <row r="56" spans="1:28" x14ac:dyDescent="0.25">
      <c r="A56" s="1">
        <f t="shared" si="1"/>
        <v>45670</v>
      </c>
    </row>
    <row r="57" spans="1:28" x14ac:dyDescent="0.25">
      <c r="A57" s="1">
        <f t="shared" si="1"/>
        <v>45677</v>
      </c>
    </row>
    <row r="58" spans="1:28" x14ac:dyDescent="0.25">
      <c r="A58" s="1">
        <f t="shared" si="1"/>
        <v>45684</v>
      </c>
      <c r="B58" s="2">
        <v>22501466</v>
      </c>
      <c r="C58" s="2">
        <v>-0.48</v>
      </c>
      <c r="D58" s="2">
        <v>132466</v>
      </c>
      <c r="F58" s="2">
        <v>0</v>
      </c>
      <c r="G58" s="2">
        <v>30</v>
      </c>
      <c r="H58" s="2">
        <v>10</v>
      </c>
      <c r="J58" s="2">
        <v>7</v>
      </c>
      <c r="K58" s="2">
        <v>10</v>
      </c>
      <c r="M58" s="2">
        <v>10</v>
      </c>
      <c r="P58" s="2">
        <v>1</v>
      </c>
      <c r="Q58" s="2">
        <v>32</v>
      </c>
      <c r="R58" s="2">
        <v>32</v>
      </c>
      <c r="S58" s="2">
        <v>4</v>
      </c>
      <c r="T58" s="2">
        <v>1.28</v>
      </c>
      <c r="U58" s="2">
        <v>1</v>
      </c>
      <c r="V58" s="2">
        <v>0.1</v>
      </c>
      <c r="W58" s="2">
        <v>0</v>
      </c>
      <c r="Y58" s="2">
        <v>3</v>
      </c>
      <c r="Z58" s="2">
        <v>0</v>
      </c>
      <c r="AA58" s="2">
        <v>4</v>
      </c>
      <c r="AB58" s="2">
        <v>4</v>
      </c>
    </row>
    <row r="59" spans="1:28" x14ac:dyDescent="0.25">
      <c r="A59" s="1">
        <f t="shared" si="1"/>
        <v>45691</v>
      </c>
      <c r="B59" s="2">
        <v>10237553</v>
      </c>
      <c r="C59" s="2">
        <v>0.54</v>
      </c>
      <c r="D59" s="2">
        <v>76500</v>
      </c>
      <c r="F59" s="2">
        <v>0</v>
      </c>
      <c r="G59" s="2">
        <v>35</v>
      </c>
      <c r="H59" s="2">
        <v>15</v>
      </c>
      <c r="J59" s="2">
        <v>10</v>
      </c>
      <c r="K59" s="2">
        <v>15</v>
      </c>
      <c r="M59" s="2">
        <v>15</v>
      </c>
      <c r="P59" s="2">
        <v>0</v>
      </c>
      <c r="Q59" s="2">
        <v>35</v>
      </c>
      <c r="R59" s="7">
        <v>35</v>
      </c>
      <c r="S59" s="7">
        <v>4</v>
      </c>
      <c r="T59" s="2">
        <v>0.11</v>
      </c>
      <c r="U59" s="2">
        <v>2</v>
      </c>
      <c r="V59" s="2">
        <v>0.13</v>
      </c>
      <c r="W59" s="2">
        <v>0</v>
      </c>
      <c r="Y59" s="2">
        <v>4</v>
      </c>
      <c r="Z59" s="2">
        <v>2</v>
      </c>
      <c r="AA59" s="2">
        <v>4</v>
      </c>
      <c r="AB59" s="2">
        <v>2</v>
      </c>
    </row>
    <row r="60" spans="1:28" x14ac:dyDescent="0.25">
      <c r="A60" s="1">
        <f t="shared" si="1"/>
        <v>45698</v>
      </c>
      <c r="B60" s="2">
        <v>63501253</v>
      </c>
      <c r="C60" s="2">
        <v>1.1000000000000001</v>
      </c>
      <c r="D60" s="2">
        <v>225000</v>
      </c>
      <c r="F60" s="2">
        <v>0</v>
      </c>
      <c r="G60" s="2">
        <v>37</v>
      </c>
      <c r="H60" s="2">
        <v>12</v>
      </c>
      <c r="J60" s="2">
        <v>11</v>
      </c>
      <c r="K60" s="2">
        <v>12</v>
      </c>
      <c r="M60" s="2">
        <v>12</v>
      </c>
      <c r="P60" s="2">
        <v>0</v>
      </c>
      <c r="Q60" s="7">
        <v>37</v>
      </c>
      <c r="R60" s="7">
        <v>37</v>
      </c>
      <c r="S60" s="7">
        <v>40</v>
      </c>
      <c r="T60" s="2">
        <v>0.1</v>
      </c>
      <c r="U60" s="2">
        <v>3</v>
      </c>
      <c r="V60" s="2">
        <v>0.08</v>
      </c>
      <c r="W60" s="2">
        <v>0</v>
      </c>
      <c r="Y60" s="2">
        <v>6</v>
      </c>
      <c r="Z60" s="2">
        <v>2</v>
      </c>
      <c r="AA60" s="2">
        <v>4</v>
      </c>
      <c r="AB60" s="2">
        <v>4</v>
      </c>
    </row>
    <row r="61" spans="1:28" x14ac:dyDescent="0.25">
      <c r="A61" s="1">
        <f t="shared" si="1"/>
        <v>45705</v>
      </c>
      <c r="B61" s="2">
        <v>20345000</v>
      </c>
      <c r="C61" s="2">
        <v>-0.68</v>
      </c>
      <c r="D61" s="2">
        <v>812000</v>
      </c>
      <c r="E61" s="2">
        <v>0.72</v>
      </c>
      <c r="F61" s="2">
        <v>0</v>
      </c>
      <c r="G61" s="2">
        <v>39</v>
      </c>
      <c r="H61" s="2">
        <v>15</v>
      </c>
      <c r="I61" s="2">
        <v>0.38</v>
      </c>
      <c r="J61" s="2">
        <v>11</v>
      </c>
      <c r="K61" s="2">
        <v>15</v>
      </c>
      <c r="L61" s="2">
        <v>1.36</v>
      </c>
      <c r="M61" s="2">
        <v>15</v>
      </c>
      <c r="N61" s="2">
        <v>4</v>
      </c>
      <c r="O61" s="2">
        <v>0.13</v>
      </c>
      <c r="P61" s="2">
        <v>0</v>
      </c>
      <c r="Q61" s="7">
        <v>40</v>
      </c>
      <c r="R61" s="7">
        <v>40</v>
      </c>
      <c r="S61" s="7">
        <v>20</v>
      </c>
      <c r="T61" s="2">
        <v>0.08</v>
      </c>
      <c r="U61" s="2">
        <v>1</v>
      </c>
      <c r="V61" s="2">
        <v>0.06</v>
      </c>
      <c r="W61" s="2">
        <v>0</v>
      </c>
      <c r="Y61" s="2">
        <v>6</v>
      </c>
      <c r="Z61" s="2">
        <v>1</v>
      </c>
      <c r="AA61" s="2">
        <v>3</v>
      </c>
      <c r="AB61" s="2">
        <v>2</v>
      </c>
    </row>
    <row r="62" spans="1:28" x14ac:dyDescent="0.25">
      <c r="A62" s="1">
        <f t="shared" si="1"/>
        <v>45712</v>
      </c>
      <c r="B62" s="2">
        <v>12076000</v>
      </c>
      <c r="C62" s="2">
        <v>-0.4</v>
      </c>
      <c r="D62" s="2">
        <v>51000</v>
      </c>
      <c r="E62" s="2">
        <v>-0.93</v>
      </c>
      <c r="F62" s="2">
        <v>0</v>
      </c>
      <c r="G62" s="2">
        <v>40</v>
      </c>
      <c r="H62" s="2">
        <v>8</v>
      </c>
      <c r="I62" s="2">
        <v>0.32</v>
      </c>
      <c r="J62" s="2">
        <v>12</v>
      </c>
      <c r="K62" s="2">
        <v>9</v>
      </c>
      <c r="L62" s="2">
        <v>0.75</v>
      </c>
      <c r="M62" s="2">
        <v>8</v>
      </c>
      <c r="N62" s="2">
        <v>4</v>
      </c>
      <c r="O62" s="2">
        <v>0.51</v>
      </c>
      <c r="P62" s="2">
        <v>1</v>
      </c>
      <c r="Q62" s="2">
        <v>41</v>
      </c>
      <c r="R62" s="2">
        <v>41</v>
      </c>
      <c r="S62" s="2">
        <v>21</v>
      </c>
      <c r="T62" s="2">
        <v>0.51</v>
      </c>
      <c r="U62" s="2">
        <v>1</v>
      </c>
      <c r="V62" s="2">
        <v>0.08</v>
      </c>
      <c r="W62" s="2">
        <v>0</v>
      </c>
      <c r="X62" s="2">
        <v>0</v>
      </c>
      <c r="Y62" s="2">
        <v>6</v>
      </c>
      <c r="Z62" s="2">
        <v>0</v>
      </c>
      <c r="AA62" s="2">
        <v>4</v>
      </c>
      <c r="AB62" s="2">
        <v>4</v>
      </c>
    </row>
  </sheetData>
  <protectedRanges>
    <protectedRange sqref="B58" name="Range1_2_82"/>
    <protectedRange sqref="C58" name="Range1_2_83"/>
    <protectedRange sqref="D58:E58" name="Range1_2_84"/>
    <protectedRange sqref="F58" name="Range1_2_85"/>
    <protectedRange sqref="H58:I58" name="Range1_2_86"/>
    <protectedRange sqref="Q58" name="Range1_2_87"/>
    <protectedRange sqref="R58" name="Range1_2_88"/>
    <protectedRange sqref="S58" name="Range1_2_89"/>
    <protectedRange sqref="T58" name="Range1_2_90"/>
    <protectedRange sqref="U58" name="Range1_2_91"/>
    <protectedRange sqref="V58" name="Range1_2_92"/>
    <protectedRange sqref="W58" name="Range1_2_93"/>
    <protectedRange sqref="AA58" name="Range1_2_94"/>
    <protectedRange sqref="AB58" name="Range1_2_95"/>
    <protectedRange sqref="Z58" name="Range1_2_96"/>
    <protectedRange sqref="Y58" name="Range1_2_97"/>
  </protectedRange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241C1-6CA6-48B3-8149-4546A7FB680C}">
  <dimension ref="A1:DC62"/>
  <sheetViews>
    <sheetView topLeftCell="E1" workbookViewId="0">
      <selection activeCell="T1" sqref="T1"/>
    </sheetView>
  </sheetViews>
  <sheetFormatPr defaultColWidth="0" defaultRowHeight="15" x14ac:dyDescent="0.25"/>
  <cols>
    <col min="1" max="1" width="17.140625" style="1" customWidth="1"/>
    <col min="2" max="2" width="10.140625" style="2" bestFit="1" customWidth="1"/>
    <col min="3" max="4" width="12.7109375" style="2" bestFit="1" customWidth="1"/>
    <col min="5" max="5" width="11.140625" style="2" bestFit="1" customWidth="1"/>
    <col min="6" max="6" width="10.140625" style="2" bestFit="1" customWidth="1"/>
    <col min="7" max="7" width="17.85546875" style="2" bestFit="1" customWidth="1"/>
    <col min="8" max="18" width="10.140625" style="2" bestFit="1" customWidth="1"/>
    <col min="19" max="19" width="18.42578125" style="2" bestFit="1" customWidth="1"/>
    <col min="20" max="20" width="12.7109375" style="2" bestFit="1" customWidth="1"/>
    <col min="21" max="24" width="18.42578125" style="2" bestFit="1" customWidth="1"/>
    <col min="25" max="29" width="14.85546875" style="2" bestFit="1" customWidth="1"/>
    <col min="30" max="30" width="19" style="2" bestFit="1" customWidth="1"/>
    <col min="31" max="31" width="14.85546875" style="2" bestFit="1" customWidth="1"/>
    <col min="32" max="32" width="19" style="2" bestFit="1" customWidth="1"/>
    <col min="33" max="33" width="14.85546875" style="2" bestFit="1" customWidth="1"/>
    <col min="34" max="34" width="19" style="2" bestFit="1" customWidth="1"/>
    <col min="35" max="35" width="14.85546875" style="2" bestFit="1" customWidth="1"/>
    <col min="36" max="36" width="16.42578125" style="2" bestFit="1" customWidth="1"/>
    <col min="37" max="37" width="19" style="2" bestFit="1" customWidth="1"/>
    <col min="38" max="39" width="16.42578125" style="2" bestFit="1" customWidth="1"/>
    <col min="40" max="41" width="19" style="2" bestFit="1" customWidth="1"/>
    <col min="42" max="42" width="14.85546875" style="2" bestFit="1" customWidth="1"/>
    <col min="43" max="43" width="24.140625" style="2" bestFit="1" customWidth="1"/>
    <col min="44" max="46" width="14.85546875" style="2" bestFit="1" customWidth="1"/>
    <col min="47" max="47" width="20.42578125" style="2" bestFit="1" customWidth="1"/>
    <col min="48" max="48" width="24" style="2" bestFit="1" customWidth="1"/>
    <col min="49" max="49" width="27.42578125" style="2" bestFit="1" customWidth="1"/>
    <col min="50" max="51" width="16.42578125" style="2" bestFit="1" customWidth="1"/>
    <col min="52" max="52" width="10.140625" style="2" bestFit="1" customWidth="1"/>
    <col min="53" max="53" width="13.85546875" style="2" bestFit="1" customWidth="1"/>
    <col min="54" max="54" width="10.140625" style="2" bestFit="1" customWidth="1"/>
    <col min="55" max="55" width="13.85546875" style="2" bestFit="1" customWidth="1"/>
    <col min="56" max="56" width="14.85546875" style="2" bestFit="1" customWidth="1"/>
    <col min="57" max="57" width="17.85546875" style="2" bestFit="1" customWidth="1"/>
    <col min="58" max="58" width="20.85546875" style="2" bestFit="1" customWidth="1"/>
    <col min="59" max="59" width="17.85546875" style="2" bestFit="1" customWidth="1"/>
    <col min="60" max="60" width="21.5703125" style="2" bestFit="1" customWidth="1"/>
    <col min="61" max="62" width="14.85546875" style="2" bestFit="1" customWidth="1"/>
    <col min="63" max="107" width="0" hidden="1" customWidth="1"/>
    <col min="108" max="16384" width="9.42578125" hidden="1"/>
  </cols>
  <sheetData>
    <row r="1" spans="1:62" s="3" customFormat="1" ht="90" x14ac:dyDescent="0.25">
      <c r="A1" s="10" t="s">
        <v>233</v>
      </c>
      <c r="B1" s="3" t="s">
        <v>113</v>
      </c>
      <c r="C1" s="3" t="s">
        <v>114</v>
      </c>
      <c r="D1" s="3" t="s">
        <v>115</v>
      </c>
      <c r="E1" s="3" t="s">
        <v>116</v>
      </c>
      <c r="F1" s="3" t="s">
        <v>117</v>
      </c>
      <c r="G1" s="3" t="s">
        <v>118</v>
      </c>
      <c r="H1" s="3" t="s">
        <v>119</v>
      </c>
      <c r="I1" s="3" t="s">
        <v>120</v>
      </c>
      <c r="J1" s="3" t="s">
        <v>121</v>
      </c>
      <c r="K1" s="3" t="s">
        <v>122</v>
      </c>
      <c r="L1" s="3" t="s">
        <v>123</v>
      </c>
      <c r="M1" s="3" t="s">
        <v>124</v>
      </c>
      <c r="N1" s="3" t="s">
        <v>125</v>
      </c>
      <c r="O1" s="3" t="s">
        <v>126</v>
      </c>
      <c r="P1" s="3" t="s">
        <v>127</v>
      </c>
      <c r="Q1" s="3" t="s">
        <v>128</v>
      </c>
      <c r="R1" s="3" t="s">
        <v>129</v>
      </c>
      <c r="S1" s="3" t="s">
        <v>130</v>
      </c>
      <c r="T1" s="3" t="s">
        <v>131</v>
      </c>
      <c r="U1" s="3" t="s">
        <v>132</v>
      </c>
      <c r="V1" s="3" t="s">
        <v>133</v>
      </c>
      <c r="W1" s="3" t="s">
        <v>134</v>
      </c>
      <c r="X1" s="3" t="s">
        <v>135</v>
      </c>
      <c r="Y1" s="3" t="s">
        <v>136</v>
      </c>
      <c r="Z1" s="3" t="s">
        <v>137</v>
      </c>
      <c r="AA1" s="3" t="s">
        <v>138</v>
      </c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</row>
    <row r="2" spans="1:62" x14ac:dyDescent="0.25">
      <c r="A2" s="1">
        <v>45292</v>
      </c>
      <c r="B2" s="2">
        <v>288</v>
      </c>
    </row>
    <row r="3" spans="1:62" x14ac:dyDescent="0.25">
      <c r="A3" s="1">
        <f t="shared" ref="A3:A34" si="0">A2+7</f>
        <v>45299</v>
      </c>
      <c r="B3" s="2">
        <v>300</v>
      </c>
      <c r="O3" s="2">
        <v>2</v>
      </c>
      <c r="P3" s="2">
        <v>2</v>
      </c>
      <c r="S3" s="2">
        <v>2</v>
      </c>
      <c r="T3" s="2">
        <v>0</v>
      </c>
      <c r="U3" s="2">
        <v>0</v>
      </c>
      <c r="V3" s="2">
        <f>S3/O3</f>
        <v>1</v>
      </c>
      <c r="AA3" s="2">
        <v>0.32800000000000001</v>
      </c>
    </row>
    <row r="4" spans="1:62" x14ac:dyDescent="0.25">
      <c r="A4" s="1">
        <f t="shared" si="0"/>
        <v>45306</v>
      </c>
      <c r="B4" s="2">
        <v>300</v>
      </c>
      <c r="O4" s="2">
        <v>5</v>
      </c>
      <c r="P4" s="2">
        <v>5</v>
      </c>
      <c r="S4" s="2">
        <v>1</v>
      </c>
      <c r="T4" s="2">
        <v>4</v>
      </c>
      <c r="U4" s="2">
        <v>4</v>
      </c>
      <c r="V4" s="2">
        <f>S4/O4</f>
        <v>0.2</v>
      </c>
      <c r="AA4" s="2">
        <v>0.56000000000000005</v>
      </c>
    </row>
    <row r="5" spans="1:62" x14ac:dyDescent="0.25">
      <c r="A5" s="1">
        <f t="shared" si="0"/>
        <v>45313</v>
      </c>
      <c r="B5" s="2">
        <v>300</v>
      </c>
      <c r="O5" s="2">
        <v>2</v>
      </c>
      <c r="P5" s="2">
        <v>2</v>
      </c>
      <c r="S5" s="2">
        <v>1</v>
      </c>
      <c r="T5" s="2">
        <v>6</v>
      </c>
      <c r="U5" s="2">
        <v>0</v>
      </c>
      <c r="V5" s="2">
        <f>S5/O5</f>
        <v>0.5</v>
      </c>
      <c r="AA5" s="2">
        <v>-0.23100000000000001</v>
      </c>
    </row>
    <row r="6" spans="1:62" x14ac:dyDescent="0.25">
      <c r="A6" s="1">
        <f t="shared" si="0"/>
        <v>45320</v>
      </c>
      <c r="B6" s="2">
        <v>300</v>
      </c>
      <c r="O6" s="2">
        <v>5</v>
      </c>
      <c r="P6" s="2">
        <v>5</v>
      </c>
      <c r="S6" s="2">
        <v>0</v>
      </c>
      <c r="T6" s="2">
        <v>13</v>
      </c>
      <c r="U6" s="2">
        <v>0</v>
      </c>
      <c r="V6" s="2">
        <f>S6/O6</f>
        <v>0</v>
      </c>
      <c r="AA6" s="2">
        <v>-0.08</v>
      </c>
    </row>
    <row r="7" spans="1:62" x14ac:dyDescent="0.25">
      <c r="A7" s="1">
        <f t="shared" si="0"/>
        <v>45327</v>
      </c>
      <c r="B7" s="2">
        <v>305</v>
      </c>
      <c r="O7" s="2">
        <v>7</v>
      </c>
      <c r="P7" s="2">
        <v>7</v>
      </c>
      <c r="S7" s="2">
        <v>0</v>
      </c>
      <c r="T7" s="2">
        <v>19</v>
      </c>
      <c r="U7" s="2">
        <v>1</v>
      </c>
      <c r="V7" s="2">
        <f>S7/O7</f>
        <v>0</v>
      </c>
      <c r="AA7" s="2">
        <v>-0.04</v>
      </c>
    </row>
    <row r="8" spans="1:62" x14ac:dyDescent="0.25">
      <c r="A8" s="1">
        <f t="shared" si="0"/>
        <v>45334</v>
      </c>
      <c r="B8" s="2">
        <v>310</v>
      </c>
      <c r="O8" s="2">
        <v>3</v>
      </c>
      <c r="P8" s="2">
        <v>3</v>
      </c>
      <c r="S8" s="2">
        <v>0</v>
      </c>
      <c r="T8" s="2">
        <v>22</v>
      </c>
      <c r="U8" s="2">
        <v>0</v>
      </c>
      <c r="V8" s="2">
        <v>0</v>
      </c>
      <c r="AA8" s="2">
        <v>-0.12</v>
      </c>
    </row>
    <row r="9" spans="1:62" x14ac:dyDescent="0.25">
      <c r="A9" s="1">
        <f t="shared" si="0"/>
        <v>45341</v>
      </c>
      <c r="B9" s="2">
        <v>310</v>
      </c>
      <c r="O9" s="2">
        <v>3</v>
      </c>
      <c r="P9" s="2">
        <v>3</v>
      </c>
      <c r="S9" s="2">
        <v>0</v>
      </c>
      <c r="T9" s="2">
        <v>24</v>
      </c>
      <c r="U9" s="2">
        <v>1</v>
      </c>
      <c r="V9" s="2">
        <v>0</v>
      </c>
      <c r="AA9" s="2">
        <v>0.2</v>
      </c>
    </row>
    <row r="10" spans="1:62" x14ac:dyDescent="0.25">
      <c r="A10" s="1">
        <f t="shared" si="0"/>
        <v>45348</v>
      </c>
    </row>
    <row r="11" spans="1:62" x14ac:dyDescent="0.25">
      <c r="A11" s="1">
        <f t="shared" si="0"/>
        <v>45355</v>
      </c>
    </row>
    <row r="12" spans="1:62" x14ac:dyDescent="0.25">
      <c r="A12" s="1">
        <f t="shared" si="0"/>
        <v>45362</v>
      </c>
    </row>
    <row r="13" spans="1:62" x14ac:dyDescent="0.25">
      <c r="A13" s="1">
        <f t="shared" si="0"/>
        <v>45369</v>
      </c>
    </row>
    <row r="14" spans="1:62" x14ac:dyDescent="0.25">
      <c r="A14" s="1">
        <f t="shared" si="0"/>
        <v>45376</v>
      </c>
    </row>
    <row r="15" spans="1:62" x14ac:dyDescent="0.25">
      <c r="A15" s="1">
        <f t="shared" si="0"/>
        <v>45383</v>
      </c>
    </row>
    <row r="16" spans="1:62" x14ac:dyDescent="0.25">
      <c r="A16" s="1">
        <f t="shared" si="0"/>
        <v>45390</v>
      </c>
      <c r="Z16" s="2" t="s">
        <v>234</v>
      </c>
    </row>
    <row r="17" spans="1:27" x14ac:dyDescent="0.25">
      <c r="A17" s="1">
        <f t="shared" si="0"/>
        <v>45397</v>
      </c>
    </row>
    <row r="18" spans="1:27" x14ac:dyDescent="0.25">
      <c r="A18" s="1">
        <f t="shared" si="0"/>
        <v>45404</v>
      </c>
    </row>
    <row r="19" spans="1:27" x14ac:dyDescent="0.25">
      <c r="A19" s="1">
        <f t="shared" si="0"/>
        <v>45411</v>
      </c>
    </row>
    <row r="20" spans="1:27" x14ac:dyDescent="0.25">
      <c r="A20" s="1">
        <f t="shared" si="0"/>
        <v>45418</v>
      </c>
      <c r="AA20" s="2">
        <v>-7.0000000000000007E-2</v>
      </c>
    </row>
    <row r="21" spans="1:27" x14ac:dyDescent="0.25">
      <c r="A21" s="1">
        <f t="shared" si="0"/>
        <v>45425</v>
      </c>
      <c r="AA21" s="2">
        <v>1.1499999999999999</v>
      </c>
    </row>
    <row r="22" spans="1:27" x14ac:dyDescent="0.25">
      <c r="A22" s="1">
        <f t="shared" si="0"/>
        <v>45432</v>
      </c>
      <c r="B22" s="2">
        <v>149</v>
      </c>
      <c r="O22" s="2">
        <v>15</v>
      </c>
      <c r="P22" s="2">
        <v>14</v>
      </c>
      <c r="S22" s="2">
        <v>6</v>
      </c>
      <c r="T22" s="2">
        <v>9</v>
      </c>
      <c r="U22" s="2">
        <v>0</v>
      </c>
      <c r="V22" s="2">
        <f>S22/P22</f>
        <v>0.42857142857142855</v>
      </c>
      <c r="AA22" s="2">
        <v>-5.2999999999999999E-2</v>
      </c>
    </row>
    <row r="23" spans="1:27" x14ac:dyDescent="0.25">
      <c r="A23" s="1">
        <f t="shared" si="0"/>
        <v>45439</v>
      </c>
      <c r="B23" s="2">
        <v>149</v>
      </c>
      <c r="O23" s="2">
        <v>0</v>
      </c>
      <c r="P23" s="2">
        <v>11</v>
      </c>
      <c r="S23" s="2">
        <v>6</v>
      </c>
      <c r="T23" s="2">
        <v>4</v>
      </c>
      <c r="U23" s="2">
        <v>1</v>
      </c>
      <c r="V23" s="2">
        <f>S23/P23</f>
        <v>0.54545454545454541</v>
      </c>
      <c r="AA23" s="2">
        <v>0</v>
      </c>
    </row>
    <row r="24" spans="1:27" x14ac:dyDescent="0.25">
      <c r="A24" s="1">
        <f t="shared" si="0"/>
        <v>45446</v>
      </c>
      <c r="B24" s="2">
        <v>156</v>
      </c>
      <c r="O24" s="2">
        <v>17</v>
      </c>
      <c r="P24" s="2">
        <v>15</v>
      </c>
      <c r="S24" s="2">
        <v>9</v>
      </c>
      <c r="T24" s="2">
        <v>8</v>
      </c>
      <c r="U24" s="2">
        <v>0</v>
      </c>
      <c r="V24" s="2">
        <f>S24/P24</f>
        <v>0.6</v>
      </c>
      <c r="AA24" s="2">
        <v>0.42</v>
      </c>
    </row>
    <row r="25" spans="1:27" x14ac:dyDescent="0.25">
      <c r="A25" s="1">
        <f t="shared" si="0"/>
        <v>45453</v>
      </c>
      <c r="B25" s="2">
        <v>166</v>
      </c>
      <c r="O25" s="2">
        <v>13</v>
      </c>
      <c r="P25" s="2">
        <v>11</v>
      </c>
      <c r="S25" s="2">
        <v>3</v>
      </c>
      <c r="T25" s="2">
        <v>9</v>
      </c>
      <c r="U25" s="2">
        <v>1</v>
      </c>
      <c r="V25" s="2">
        <f>S25/P25</f>
        <v>0.27272727272727271</v>
      </c>
      <c r="AA25" s="2">
        <v>8.5000000000000006E-2</v>
      </c>
    </row>
    <row r="26" spans="1:27" x14ac:dyDescent="0.25">
      <c r="A26" s="1">
        <f t="shared" si="0"/>
        <v>45460</v>
      </c>
      <c r="B26" s="2">
        <v>264</v>
      </c>
      <c r="O26" s="2">
        <v>13</v>
      </c>
      <c r="P26" s="2">
        <v>13</v>
      </c>
      <c r="S26" s="2">
        <v>3</v>
      </c>
      <c r="T26" s="2">
        <f>P26-S26</f>
        <v>10</v>
      </c>
      <c r="U26" s="2">
        <v>1</v>
      </c>
      <c r="V26" s="2">
        <f>S26/P26</f>
        <v>0.23076923076923078</v>
      </c>
      <c r="AA26" s="2">
        <v>0.16</v>
      </c>
    </row>
    <row r="27" spans="1:27" x14ac:dyDescent="0.25">
      <c r="A27" s="1">
        <f t="shared" si="0"/>
        <v>45467</v>
      </c>
      <c r="B27" s="2">
        <v>264</v>
      </c>
      <c r="O27" s="2">
        <v>19</v>
      </c>
      <c r="P27" s="2">
        <v>18</v>
      </c>
      <c r="S27" s="2">
        <v>8</v>
      </c>
      <c r="T27" s="2">
        <v>10</v>
      </c>
      <c r="U27" s="2">
        <v>3</v>
      </c>
      <c r="V27" s="2">
        <v>0.44</v>
      </c>
      <c r="AA27" s="2">
        <v>0</v>
      </c>
    </row>
    <row r="28" spans="1:27" x14ac:dyDescent="0.25">
      <c r="A28" s="1">
        <f t="shared" si="0"/>
        <v>45474</v>
      </c>
      <c r="B28" s="2">
        <v>264</v>
      </c>
      <c r="O28" s="2">
        <v>14</v>
      </c>
      <c r="P28" s="2">
        <v>13</v>
      </c>
      <c r="S28" s="2">
        <v>4</v>
      </c>
      <c r="T28" s="2">
        <v>1</v>
      </c>
      <c r="U28" s="2">
        <v>9</v>
      </c>
      <c r="V28" s="2">
        <f t="shared" ref="V28:V35" si="1">S28/P28</f>
        <v>0.30769230769230771</v>
      </c>
      <c r="AA28" s="2">
        <v>0.62</v>
      </c>
    </row>
    <row r="29" spans="1:27" x14ac:dyDescent="0.25">
      <c r="A29" s="1">
        <f t="shared" si="0"/>
        <v>45481</v>
      </c>
      <c r="B29" s="2">
        <v>264</v>
      </c>
      <c r="O29" s="2">
        <v>18</v>
      </c>
      <c r="P29" s="2">
        <v>15</v>
      </c>
      <c r="S29" s="2">
        <v>6</v>
      </c>
      <c r="T29" s="2">
        <v>0</v>
      </c>
      <c r="U29" s="2">
        <f>P29-S29</f>
        <v>9</v>
      </c>
      <c r="V29" s="2">
        <f t="shared" si="1"/>
        <v>0.4</v>
      </c>
      <c r="AA29" s="2">
        <v>0.18</v>
      </c>
    </row>
    <row r="30" spans="1:27" x14ac:dyDescent="0.25">
      <c r="A30" s="1">
        <f t="shared" si="0"/>
        <v>45488</v>
      </c>
      <c r="B30" s="2">
        <v>264</v>
      </c>
      <c r="O30" s="2">
        <v>17</v>
      </c>
      <c r="P30" s="2">
        <v>17</v>
      </c>
      <c r="S30" s="2">
        <v>3</v>
      </c>
      <c r="T30" s="2">
        <v>2</v>
      </c>
      <c r="U30" s="2">
        <v>12</v>
      </c>
      <c r="V30" s="2">
        <f t="shared" si="1"/>
        <v>0.17647058823529413</v>
      </c>
      <c r="AA30" s="2">
        <v>4.5999999999999999E-2</v>
      </c>
    </row>
    <row r="31" spans="1:27" x14ac:dyDescent="0.25">
      <c r="A31" s="1">
        <f t="shared" si="0"/>
        <v>45495</v>
      </c>
      <c r="B31" s="2">
        <f>B30+136+24</f>
        <v>424</v>
      </c>
      <c r="O31" s="2">
        <v>17</v>
      </c>
      <c r="P31" s="2">
        <v>16</v>
      </c>
      <c r="S31" s="2">
        <v>4</v>
      </c>
      <c r="T31" s="2">
        <v>1</v>
      </c>
      <c r="U31" s="2">
        <v>12</v>
      </c>
      <c r="V31" s="2">
        <f t="shared" si="1"/>
        <v>0.25</v>
      </c>
      <c r="AA31" s="2">
        <v>0.18</v>
      </c>
    </row>
    <row r="32" spans="1:27" x14ac:dyDescent="0.25">
      <c r="A32" s="1">
        <f t="shared" si="0"/>
        <v>45502</v>
      </c>
      <c r="B32" s="2">
        <f>264+136+24+15+1</f>
        <v>440</v>
      </c>
      <c r="O32" s="2">
        <v>11</v>
      </c>
      <c r="P32" s="2">
        <v>11</v>
      </c>
      <c r="S32" s="2">
        <v>4</v>
      </c>
      <c r="T32" s="2">
        <v>1</v>
      </c>
      <c r="U32" s="2">
        <v>6</v>
      </c>
      <c r="V32" s="2">
        <f t="shared" si="1"/>
        <v>0.36363636363636365</v>
      </c>
      <c r="AA32" s="2">
        <v>-0.12</v>
      </c>
    </row>
    <row r="33" spans="1:27" x14ac:dyDescent="0.25">
      <c r="A33" s="1">
        <f t="shared" si="0"/>
        <v>45509</v>
      </c>
      <c r="B33" s="2">
        <f>264+136+24+15+1+21</f>
        <v>461</v>
      </c>
      <c r="O33" s="2">
        <v>18</v>
      </c>
      <c r="P33" s="2">
        <v>17</v>
      </c>
      <c r="S33" s="2">
        <v>7</v>
      </c>
      <c r="T33" s="2">
        <v>1</v>
      </c>
      <c r="U33" s="2">
        <v>9</v>
      </c>
      <c r="V33" s="2">
        <f t="shared" si="1"/>
        <v>0.41176470588235292</v>
      </c>
      <c r="AA33" s="2">
        <v>0.14000000000000001</v>
      </c>
    </row>
    <row r="34" spans="1:27" x14ac:dyDescent="0.25">
      <c r="A34" s="1">
        <f t="shared" si="0"/>
        <v>45516</v>
      </c>
      <c r="B34" s="2">
        <f>461+13</f>
        <v>474</v>
      </c>
      <c r="L34" s="2">
        <v>4</v>
      </c>
      <c r="N34" s="2">
        <v>6</v>
      </c>
      <c r="O34" s="2">
        <f>13+45</f>
        <v>58</v>
      </c>
      <c r="P34" s="2">
        <v>40</v>
      </c>
      <c r="S34" s="2">
        <v>6</v>
      </c>
      <c r="T34" s="2">
        <v>0</v>
      </c>
      <c r="U34" s="2">
        <v>7</v>
      </c>
      <c r="V34" s="2">
        <f t="shared" si="1"/>
        <v>0.15</v>
      </c>
      <c r="AA34" s="2">
        <v>-0.37</v>
      </c>
    </row>
    <row r="35" spans="1:27" x14ac:dyDescent="0.25">
      <c r="A35" s="1">
        <f t="shared" ref="A35:A62" si="2">A34+7</f>
        <v>45523</v>
      </c>
      <c r="B35" s="2">
        <f>474+24</f>
        <v>498</v>
      </c>
      <c r="L35" s="2">
        <f>9+4</f>
        <v>13</v>
      </c>
      <c r="N35" s="2">
        <f>15</f>
        <v>15</v>
      </c>
      <c r="O35" s="2">
        <v>50</v>
      </c>
      <c r="P35" s="2">
        <v>0.8</v>
      </c>
      <c r="S35" s="2">
        <v>1</v>
      </c>
      <c r="T35" s="2">
        <v>14</v>
      </c>
      <c r="U35" s="2">
        <v>9</v>
      </c>
      <c r="V35" s="2">
        <f t="shared" si="1"/>
        <v>1.25</v>
      </c>
      <c r="AA35" s="2">
        <v>-0.19</v>
      </c>
    </row>
    <row r="36" spans="1:27" x14ac:dyDescent="0.25">
      <c r="A36" s="1">
        <f t="shared" si="2"/>
        <v>45530</v>
      </c>
      <c r="B36" s="2">
        <f>474+24</f>
        <v>498</v>
      </c>
      <c r="L36" s="2">
        <v>3</v>
      </c>
      <c r="N36" s="2">
        <v>3</v>
      </c>
      <c r="O36" s="2">
        <v>57</v>
      </c>
      <c r="P36" s="2">
        <v>48</v>
      </c>
      <c r="S36" s="2">
        <v>7</v>
      </c>
      <c r="T36" s="2">
        <v>1</v>
      </c>
      <c r="U36" s="2">
        <v>18</v>
      </c>
      <c r="V36" s="2">
        <f t="shared" ref="V36:V51" si="3">S36/P36</f>
        <v>0.14583333333333334</v>
      </c>
      <c r="AA36" s="2">
        <v>-0.54</v>
      </c>
    </row>
    <row r="37" spans="1:27" x14ac:dyDescent="0.25">
      <c r="A37" s="1">
        <f t="shared" si="2"/>
        <v>45537</v>
      </c>
      <c r="B37" s="2">
        <f>474+24+10</f>
        <v>508</v>
      </c>
      <c r="F37" s="2">
        <v>0</v>
      </c>
      <c r="I37" s="2">
        <v>10</v>
      </c>
      <c r="J37" s="2">
        <v>1</v>
      </c>
      <c r="K37" s="2">
        <v>2</v>
      </c>
      <c r="L37" s="2">
        <v>1</v>
      </c>
      <c r="N37" s="2">
        <v>1</v>
      </c>
      <c r="O37" s="2">
        <f>21+26</f>
        <v>47</v>
      </c>
      <c r="P37" s="2">
        <v>40</v>
      </c>
      <c r="S37" s="2">
        <v>9</v>
      </c>
      <c r="T37" s="2">
        <v>1</v>
      </c>
      <c r="U37" s="2">
        <v>11</v>
      </c>
      <c r="V37" s="2">
        <f t="shared" si="3"/>
        <v>0.22500000000000001</v>
      </c>
      <c r="AA37" s="2">
        <v>0.66</v>
      </c>
    </row>
    <row r="38" spans="1:27" x14ac:dyDescent="0.25">
      <c r="A38" s="1">
        <f t="shared" si="2"/>
        <v>45544</v>
      </c>
      <c r="B38" s="2">
        <f>474+24+10+7</f>
        <v>515</v>
      </c>
      <c r="F38" s="2">
        <v>0</v>
      </c>
      <c r="I38" s="2">
        <v>7</v>
      </c>
      <c r="J38" s="2">
        <v>2</v>
      </c>
      <c r="K38" s="2">
        <v>1</v>
      </c>
      <c r="L38" s="2">
        <v>2</v>
      </c>
      <c r="N38" s="2">
        <v>3</v>
      </c>
      <c r="O38" s="2">
        <v>31</v>
      </c>
      <c r="P38" s="2">
        <v>31</v>
      </c>
      <c r="S38" s="2">
        <v>16</v>
      </c>
      <c r="T38" s="2">
        <v>3</v>
      </c>
      <c r="U38" s="2">
        <v>12</v>
      </c>
      <c r="V38" s="2">
        <f t="shared" si="3"/>
        <v>0.5161290322580645</v>
      </c>
      <c r="AA38" s="2">
        <v>0.25</v>
      </c>
    </row>
    <row r="39" spans="1:27" x14ac:dyDescent="0.25">
      <c r="A39" s="1">
        <f t="shared" si="2"/>
        <v>45551</v>
      </c>
      <c r="B39" s="2">
        <f>474+24+10+7+3</f>
        <v>518</v>
      </c>
      <c r="F39" s="2">
        <v>0</v>
      </c>
      <c r="I39" s="2">
        <v>3</v>
      </c>
      <c r="J39" s="2">
        <v>6</v>
      </c>
      <c r="K39" s="2">
        <v>2</v>
      </c>
      <c r="L39" s="2">
        <v>0</v>
      </c>
      <c r="N39" s="2">
        <v>0</v>
      </c>
      <c r="O39" s="2">
        <v>19</v>
      </c>
      <c r="P39" s="2">
        <v>19</v>
      </c>
      <c r="S39" s="2">
        <v>7</v>
      </c>
      <c r="T39" s="2">
        <v>12</v>
      </c>
      <c r="U39" s="2">
        <v>12</v>
      </c>
      <c r="V39" s="2">
        <f t="shared" si="3"/>
        <v>0.36842105263157893</v>
      </c>
      <c r="AA39" s="2">
        <v>-0.14000000000000001</v>
      </c>
    </row>
    <row r="40" spans="1:27" x14ac:dyDescent="0.25">
      <c r="A40" s="1">
        <f t="shared" si="2"/>
        <v>45558</v>
      </c>
      <c r="B40" s="2">
        <f>474+24+10+7+3+25</f>
        <v>543</v>
      </c>
      <c r="E40" s="2">
        <v>0.8</v>
      </c>
      <c r="F40" s="2">
        <v>0</v>
      </c>
      <c r="I40" s="2">
        <v>25</v>
      </c>
      <c r="J40" s="2">
        <v>1</v>
      </c>
      <c r="K40" s="2">
        <v>1</v>
      </c>
      <c r="L40" s="2">
        <v>3</v>
      </c>
      <c r="N40" s="2">
        <v>3</v>
      </c>
      <c r="O40" s="2">
        <v>21</v>
      </c>
      <c r="P40" s="2">
        <v>21</v>
      </c>
      <c r="V40" s="2">
        <f t="shared" si="3"/>
        <v>0</v>
      </c>
      <c r="AA40" s="2">
        <v>-0.47</v>
      </c>
    </row>
    <row r="41" spans="1:27" x14ac:dyDescent="0.25">
      <c r="A41" s="1">
        <f t="shared" si="2"/>
        <v>45565</v>
      </c>
      <c r="B41" s="2">
        <f>474+24+10+7+3+25+9</f>
        <v>552</v>
      </c>
      <c r="E41" s="2">
        <v>0.85</v>
      </c>
      <c r="F41" s="2">
        <v>0</v>
      </c>
      <c r="I41" s="2">
        <v>9</v>
      </c>
      <c r="J41" s="2">
        <v>0</v>
      </c>
      <c r="K41" s="2">
        <v>2</v>
      </c>
      <c r="L41" s="2">
        <v>1</v>
      </c>
      <c r="N41" s="2">
        <v>1</v>
      </c>
      <c r="O41" s="2">
        <v>21</v>
      </c>
      <c r="P41" s="2">
        <v>18</v>
      </c>
      <c r="S41" s="2">
        <v>6</v>
      </c>
      <c r="T41" s="2">
        <v>13</v>
      </c>
      <c r="U41" s="2">
        <v>0</v>
      </c>
      <c r="V41" s="2">
        <f t="shared" si="3"/>
        <v>0.33333333333333331</v>
      </c>
      <c r="AA41" s="2">
        <v>0.01</v>
      </c>
    </row>
    <row r="42" spans="1:27" x14ac:dyDescent="0.25">
      <c r="A42" s="1">
        <f t="shared" si="2"/>
        <v>45572</v>
      </c>
      <c r="B42" s="2">
        <f>474+24+10+7+3+25+9+7</f>
        <v>559</v>
      </c>
      <c r="E42" s="2">
        <v>0.85</v>
      </c>
      <c r="F42" s="2">
        <v>0</v>
      </c>
      <c r="I42" s="2">
        <v>7</v>
      </c>
      <c r="J42" s="2">
        <v>0</v>
      </c>
      <c r="K42" s="2">
        <v>2</v>
      </c>
      <c r="L42" s="2">
        <v>1</v>
      </c>
      <c r="N42" s="2">
        <v>1</v>
      </c>
      <c r="O42" s="2">
        <v>31</v>
      </c>
      <c r="P42" s="2">
        <v>27</v>
      </c>
      <c r="S42" s="2">
        <v>11</v>
      </c>
      <c r="T42" s="2">
        <v>13</v>
      </c>
      <c r="U42" s="2">
        <v>0</v>
      </c>
      <c r="V42" s="2">
        <f t="shared" si="3"/>
        <v>0.40740740740740738</v>
      </c>
      <c r="AA42" s="2">
        <v>-0.18</v>
      </c>
    </row>
    <row r="43" spans="1:27" x14ac:dyDescent="0.25">
      <c r="A43" s="1">
        <f t="shared" si="2"/>
        <v>45579</v>
      </c>
      <c r="B43" s="2">
        <f>474+24+10+7+3+25+9+7+10</f>
        <v>569</v>
      </c>
      <c r="E43" s="2">
        <v>0.85</v>
      </c>
      <c r="F43" s="2">
        <v>0</v>
      </c>
      <c r="I43" s="2">
        <v>10</v>
      </c>
      <c r="J43" s="2">
        <v>0</v>
      </c>
      <c r="K43" s="2">
        <v>2</v>
      </c>
      <c r="L43" s="2">
        <v>0</v>
      </c>
      <c r="N43" s="2">
        <v>0</v>
      </c>
      <c r="O43" s="2">
        <v>38</v>
      </c>
      <c r="P43" s="2">
        <v>36</v>
      </c>
      <c r="S43" s="2">
        <v>5</v>
      </c>
      <c r="T43" s="2">
        <v>29</v>
      </c>
      <c r="U43" s="2">
        <v>2</v>
      </c>
      <c r="V43" s="2">
        <f t="shared" si="3"/>
        <v>0.1388888888888889</v>
      </c>
      <c r="AA43" s="2">
        <v>4.4999999999999998E-2</v>
      </c>
    </row>
    <row r="44" spans="1:27" x14ac:dyDescent="0.25">
      <c r="A44" s="1">
        <f t="shared" si="2"/>
        <v>45586</v>
      </c>
      <c r="B44" s="2">
        <v>672</v>
      </c>
      <c r="E44" s="2">
        <v>0.85</v>
      </c>
      <c r="F44" s="2">
        <v>0</v>
      </c>
      <c r="I44" s="2">
        <v>3</v>
      </c>
      <c r="J44" s="2">
        <v>1</v>
      </c>
      <c r="K44" s="2">
        <v>2</v>
      </c>
      <c r="L44" s="2">
        <v>0</v>
      </c>
      <c r="N44" s="2">
        <v>0</v>
      </c>
      <c r="O44" s="2">
        <v>27</v>
      </c>
      <c r="P44" s="2">
        <v>27</v>
      </c>
      <c r="S44" s="2">
        <v>7</v>
      </c>
      <c r="T44" s="2">
        <v>20</v>
      </c>
      <c r="U44" s="2">
        <v>0</v>
      </c>
      <c r="V44" s="2">
        <f t="shared" si="3"/>
        <v>0.25925925925925924</v>
      </c>
      <c r="AA44" s="2">
        <v>0.28499999999999998</v>
      </c>
    </row>
    <row r="45" spans="1:27" x14ac:dyDescent="0.25">
      <c r="A45" s="1">
        <f t="shared" si="2"/>
        <v>45593</v>
      </c>
      <c r="B45" s="2">
        <f>672+7</f>
        <v>679</v>
      </c>
      <c r="E45" s="2">
        <v>0.85</v>
      </c>
      <c r="F45" s="2">
        <v>0</v>
      </c>
      <c r="I45" s="2">
        <v>7</v>
      </c>
      <c r="J45" s="2">
        <v>1</v>
      </c>
      <c r="K45" s="2">
        <v>2</v>
      </c>
      <c r="L45" s="2">
        <v>0</v>
      </c>
      <c r="N45" s="2">
        <v>0</v>
      </c>
      <c r="O45" s="2">
        <v>28</v>
      </c>
      <c r="P45" s="2">
        <v>26</v>
      </c>
      <c r="S45" s="2">
        <v>13</v>
      </c>
      <c r="T45" s="2">
        <v>4</v>
      </c>
      <c r="U45" s="2">
        <v>10</v>
      </c>
      <c r="V45" s="2">
        <f t="shared" si="3"/>
        <v>0.5</v>
      </c>
      <c r="AA45" s="2">
        <v>-0.22</v>
      </c>
    </row>
    <row r="46" spans="1:27" x14ac:dyDescent="0.25">
      <c r="A46" s="1">
        <f t="shared" si="2"/>
        <v>45600</v>
      </c>
      <c r="B46" s="2">
        <f>672+7</f>
        <v>679</v>
      </c>
      <c r="E46" s="2">
        <v>0.85</v>
      </c>
      <c r="F46" s="2">
        <v>0</v>
      </c>
      <c r="I46" s="2">
        <v>0</v>
      </c>
      <c r="J46" s="2">
        <v>2</v>
      </c>
      <c r="K46" s="2">
        <v>2</v>
      </c>
      <c r="L46" s="2">
        <v>1</v>
      </c>
      <c r="N46" s="2">
        <v>1</v>
      </c>
      <c r="O46" s="2">
        <v>39</v>
      </c>
      <c r="P46" s="2">
        <v>38</v>
      </c>
      <c r="S46" s="2">
        <v>10</v>
      </c>
      <c r="T46" s="2">
        <v>5</v>
      </c>
      <c r="U46" s="2">
        <v>24</v>
      </c>
      <c r="V46" s="2">
        <f t="shared" si="3"/>
        <v>0.26315789473684209</v>
      </c>
      <c r="AA46" s="2">
        <v>2.8000000000000001E-2</v>
      </c>
    </row>
    <row r="47" spans="1:27" x14ac:dyDescent="0.25">
      <c r="A47" s="1">
        <f t="shared" si="2"/>
        <v>45607</v>
      </c>
      <c r="B47" s="2">
        <f>672+7</f>
        <v>679</v>
      </c>
      <c r="C47" s="2">
        <v>81</v>
      </c>
      <c r="E47" s="2">
        <v>0.85</v>
      </c>
      <c r="F47" s="2">
        <v>0</v>
      </c>
      <c r="I47" s="2">
        <v>0</v>
      </c>
      <c r="J47" s="2">
        <v>3</v>
      </c>
      <c r="K47" s="2">
        <v>2</v>
      </c>
      <c r="L47" s="2">
        <v>1</v>
      </c>
      <c r="N47" s="2">
        <v>1</v>
      </c>
      <c r="O47" s="2">
        <v>27</v>
      </c>
      <c r="P47" s="2">
        <v>27</v>
      </c>
      <c r="S47" s="2">
        <v>14</v>
      </c>
      <c r="T47" s="2">
        <v>3</v>
      </c>
      <c r="U47" s="2">
        <v>9</v>
      </c>
      <c r="V47" s="2">
        <f t="shared" si="3"/>
        <v>0.51851851851851849</v>
      </c>
      <c r="AA47" s="2">
        <v>0.42</v>
      </c>
    </row>
    <row r="48" spans="1:27" x14ac:dyDescent="0.25">
      <c r="A48" s="1">
        <f t="shared" si="2"/>
        <v>45614</v>
      </c>
      <c r="B48" s="2">
        <f>672+7</f>
        <v>679</v>
      </c>
      <c r="C48" s="2">
        <v>81</v>
      </c>
      <c r="E48" s="2">
        <v>0.85</v>
      </c>
      <c r="F48" s="2">
        <v>0</v>
      </c>
      <c r="I48" s="2">
        <v>0</v>
      </c>
      <c r="J48" s="2">
        <v>0</v>
      </c>
      <c r="K48" s="2">
        <v>2</v>
      </c>
      <c r="L48" s="2">
        <v>1</v>
      </c>
      <c r="N48" s="2">
        <v>1</v>
      </c>
      <c r="O48" s="2">
        <v>17</v>
      </c>
      <c r="P48" s="2">
        <v>17</v>
      </c>
      <c r="S48" s="2">
        <v>5</v>
      </c>
      <c r="T48" s="2">
        <v>2</v>
      </c>
      <c r="U48" s="2">
        <v>10</v>
      </c>
      <c r="V48" s="2">
        <f t="shared" si="3"/>
        <v>0.29411764705882354</v>
      </c>
      <c r="AA48" s="2">
        <v>0.01</v>
      </c>
    </row>
    <row r="49" spans="1:27" x14ac:dyDescent="0.25">
      <c r="A49" s="1">
        <f t="shared" si="2"/>
        <v>45621</v>
      </c>
      <c r="B49" s="2">
        <f>672+7</f>
        <v>679</v>
      </c>
      <c r="C49" s="2">
        <v>81</v>
      </c>
      <c r="E49" s="2">
        <v>0.85</v>
      </c>
      <c r="F49" s="2">
        <v>0</v>
      </c>
      <c r="I49" s="2">
        <v>0</v>
      </c>
      <c r="J49" s="2">
        <v>0</v>
      </c>
      <c r="K49" s="2">
        <v>2</v>
      </c>
      <c r="L49" s="2">
        <v>1</v>
      </c>
      <c r="N49" s="2">
        <v>1</v>
      </c>
      <c r="O49" s="2">
        <v>17</v>
      </c>
      <c r="P49" s="2">
        <v>17</v>
      </c>
      <c r="S49" s="2">
        <v>5</v>
      </c>
      <c r="T49" s="2">
        <v>2</v>
      </c>
      <c r="U49" s="2">
        <v>10</v>
      </c>
      <c r="V49" s="2">
        <f t="shared" si="3"/>
        <v>0.29411764705882354</v>
      </c>
      <c r="AA49" s="2">
        <v>-0.01</v>
      </c>
    </row>
    <row r="50" spans="1:27" x14ac:dyDescent="0.25">
      <c r="A50" s="1">
        <f t="shared" si="2"/>
        <v>45628</v>
      </c>
      <c r="B50" s="2">
        <v>676</v>
      </c>
      <c r="C50" s="2">
        <v>78</v>
      </c>
      <c r="E50" s="2">
        <v>0.85</v>
      </c>
      <c r="F50" s="2">
        <v>0</v>
      </c>
      <c r="I50" s="2">
        <v>0</v>
      </c>
      <c r="J50" s="2">
        <v>0</v>
      </c>
      <c r="K50" s="2">
        <v>2</v>
      </c>
      <c r="L50" s="2">
        <v>0</v>
      </c>
      <c r="N50" s="2">
        <v>0</v>
      </c>
      <c r="O50" s="2">
        <v>30</v>
      </c>
      <c r="P50" s="2">
        <v>30</v>
      </c>
      <c r="S50" s="2">
        <v>12</v>
      </c>
      <c r="T50" s="2">
        <v>4</v>
      </c>
      <c r="U50" s="2">
        <v>14</v>
      </c>
      <c r="V50" s="2">
        <f t="shared" si="3"/>
        <v>0.4</v>
      </c>
      <c r="AA50" s="2">
        <v>-0.14000000000000001</v>
      </c>
    </row>
    <row r="51" spans="1:27" x14ac:dyDescent="0.25">
      <c r="A51" s="1">
        <f t="shared" si="2"/>
        <v>45635</v>
      </c>
      <c r="B51" s="2">
        <v>676</v>
      </c>
      <c r="C51" s="2">
        <v>78</v>
      </c>
      <c r="E51" s="2">
        <v>0.85</v>
      </c>
      <c r="F51" s="2">
        <v>0</v>
      </c>
      <c r="I51" s="2">
        <v>0</v>
      </c>
      <c r="J51" s="2">
        <v>0</v>
      </c>
      <c r="K51" s="2">
        <v>1</v>
      </c>
      <c r="L51" s="2">
        <v>0</v>
      </c>
      <c r="N51" s="2">
        <v>1</v>
      </c>
      <c r="O51" s="2">
        <v>30</v>
      </c>
      <c r="P51" s="2">
        <v>30</v>
      </c>
      <c r="S51" s="2">
        <v>12</v>
      </c>
      <c r="T51" s="2">
        <v>6</v>
      </c>
      <c r="U51" s="2">
        <v>8</v>
      </c>
      <c r="V51" s="2">
        <f t="shared" si="3"/>
        <v>0.4</v>
      </c>
      <c r="AA51" s="2">
        <v>0.11</v>
      </c>
    </row>
    <row r="52" spans="1:27" x14ac:dyDescent="0.25">
      <c r="A52" s="1">
        <f t="shared" si="2"/>
        <v>45642</v>
      </c>
    </row>
    <row r="53" spans="1:27" x14ac:dyDescent="0.25">
      <c r="A53" s="1">
        <f t="shared" si="2"/>
        <v>45649</v>
      </c>
    </row>
    <row r="54" spans="1:27" x14ac:dyDescent="0.25">
      <c r="A54" s="1">
        <f t="shared" si="2"/>
        <v>45656</v>
      </c>
    </row>
    <row r="55" spans="1:27" x14ac:dyDescent="0.25">
      <c r="A55" s="1">
        <f t="shared" si="2"/>
        <v>45663</v>
      </c>
      <c r="B55" s="2">
        <v>650</v>
      </c>
      <c r="C55" s="2">
        <v>81</v>
      </c>
      <c r="E55" s="2">
        <v>0.7</v>
      </c>
      <c r="F55" s="2">
        <v>0</v>
      </c>
      <c r="I55" s="2">
        <v>2</v>
      </c>
      <c r="J55" s="2">
        <v>3</v>
      </c>
      <c r="K55" s="2">
        <v>0</v>
      </c>
      <c r="L55" s="2">
        <v>0</v>
      </c>
      <c r="N55" s="2">
        <v>0</v>
      </c>
      <c r="O55" s="2">
        <v>27</v>
      </c>
      <c r="P55" s="2">
        <v>27</v>
      </c>
      <c r="Q55" s="2">
        <v>1</v>
      </c>
      <c r="S55" s="2">
        <v>10</v>
      </c>
      <c r="T55" s="2">
        <v>13</v>
      </c>
      <c r="U55" s="2">
        <v>4</v>
      </c>
      <c r="V55" s="2">
        <f>S55/P55</f>
        <v>0.37037037037037035</v>
      </c>
      <c r="AA55" s="2">
        <v>4.2000000000000003E-2</v>
      </c>
    </row>
    <row r="56" spans="1:27" x14ac:dyDescent="0.25">
      <c r="A56" s="1">
        <f t="shared" si="2"/>
        <v>45670</v>
      </c>
      <c r="B56" s="2">
        <v>650</v>
      </c>
      <c r="C56" s="2">
        <v>81</v>
      </c>
      <c r="E56" s="2">
        <v>0.7</v>
      </c>
      <c r="F56" s="2">
        <v>0</v>
      </c>
      <c r="I56" s="2">
        <v>2</v>
      </c>
      <c r="J56" s="2">
        <v>1</v>
      </c>
      <c r="K56" s="2">
        <v>0</v>
      </c>
      <c r="L56" s="2">
        <v>0</v>
      </c>
      <c r="N56" s="2">
        <v>0</v>
      </c>
      <c r="O56" s="2">
        <v>26</v>
      </c>
      <c r="P56" s="2">
        <v>25</v>
      </c>
      <c r="Q56" s="2">
        <v>0.65</v>
      </c>
      <c r="R56" s="2">
        <v>0</v>
      </c>
      <c r="S56" s="2">
        <v>10</v>
      </c>
      <c r="T56" s="2">
        <v>12</v>
      </c>
      <c r="U56" s="2">
        <v>3</v>
      </c>
      <c r="V56" s="2">
        <v>0.4</v>
      </c>
      <c r="X56" s="2">
        <v>10</v>
      </c>
      <c r="Z56" s="2">
        <v>0.4</v>
      </c>
      <c r="AA56" s="2">
        <v>0.03</v>
      </c>
    </row>
    <row r="57" spans="1:27" x14ac:dyDescent="0.25">
      <c r="A57" s="1">
        <f t="shared" si="2"/>
        <v>45677</v>
      </c>
      <c r="C57" s="2">
        <v>81</v>
      </c>
      <c r="E57" s="2">
        <v>0.7</v>
      </c>
      <c r="F57" s="2">
        <v>0</v>
      </c>
      <c r="I57" s="2">
        <v>0</v>
      </c>
      <c r="J57" s="2">
        <v>0</v>
      </c>
      <c r="K57" s="2">
        <v>1</v>
      </c>
      <c r="L57" s="2">
        <v>0</v>
      </c>
      <c r="N57" s="2">
        <v>2</v>
      </c>
      <c r="O57" s="2">
        <v>37</v>
      </c>
      <c r="P57" s="2">
        <v>35</v>
      </c>
      <c r="Q57" s="2">
        <v>0.4</v>
      </c>
      <c r="R57" s="2">
        <v>0</v>
      </c>
      <c r="S57" s="2">
        <v>20</v>
      </c>
      <c r="T57" s="2">
        <v>15</v>
      </c>
      <c r="U57" s="2">
        <v>2</v>
      </c>
      <c r="V57" s="2">
        <v>0.54054054054054057</v>
      </c>
      <c r="W57" s="2">
        <v>0</v>
      </c>
      <c r="X57" s="2">
        <v>10</v>
      </c>
      <c r="Y57" s="2">
        <v>10</v>
      </c>
      <c r="Z57" s="2">
        <v>0.5</v>
      </c>
      <c r="AA57" s="2">
        <v>3.7999999999999999E-2</v>
      </c>
    </row>
    <row r="58" spans="1:27" x14ac:dyDescent="0.25">
      <c r="A58" s="1">
        <f t="shared" si="2"/>
        <v>45684</v>
      </c>
      <c r="C58" s="2">
        <v>81</v>
      </c>
      <c r="E58" s="2">
        <v>0.7</v>
      </c>
      <c r="F58" s="2">
        <v>0</v>
      </c>
      <c r="I58" s="2">
        <v>1</v>
      </c>
      <c r="J58" s="2">
        <v>1</v>
      </c>
      <c r="K58" s="2">
        <v>1</v>
      </c>
      <c r="L58" s="2">
        <v>0</v>
      </c>
      <c r="N58" s="2">
        <v>0</v>
      </c>
      <c r="O58" s="2">
        <v>32</v>
      </c>
      <c r="P58" s="2">
        <v>32</v>
      </c>
      <c r="Q58" s="2">
        <v>1</v>
      </c>
      <c r="R58" s="2">
        <v>0</v>
      </c>
      <c r="S58" s="2">
        <v>12</v>
      </c>
      <c r="T58" s="2">
        <v>19</v>
      </c>
      <c r="U58" s="2">
        <v>1</v>
      </c>
      <c r="V58" s="2">
        <v>0.375</v>
      </c>
      <c r="W58" s="2">
        <v>0.3125</v>
      </c>
      <c r="X58" s="2">
        <v>1</v>
      </c>
      <c r="Y58" s="2">
        <v>12</v>
      </c>
      <c r="Z58" s="2">
        <v>1</v>
      </c>
      <c r="AA58" s="2">
        <v>-0.06</v>
      </c>
    </row>
    <row r="59" spans="1:27" x14ac:dyDescent="0.25">
      <c r="A59" s="1">
        <f t="shared" si="2"/>
        <v>45691</v>
      </c>
      <c r="C59" s="2">
        <v>81</v>
      </c>
      <c r="E59" s="2">
        <v>0.7</v>
      </c>
      <c r="F59" s="2">
        <v>0</v>
      </c>
      <c r="I59" s="2">
        <v>0</v>
      </c>
      <c r="J59" s="2">
        <v>0</v>
      </c>
      <c r="K59" s="2">
        <v>2</v>
      </c>
      <c r="L59" s="2">
        <v>0</v>
      </c>
      <c r="N59" s="2">
        <v>0</v>
      </c>
      <c r="O59" s="2">
        <v>28</v>
      </c>
      <c r="P59" s="2">
        <v>28</v>
      </c>
      <c r="Q59" s="2">
        <v>1</v>
      </c>
      <c r="R59" s="2">
        <v>0</v>
      </c>
      <c r="S59" s="2">
        <v>9</v>
      </c>
      <c r="T59" s="2">
        <v>18</v>
      </c>
      <c r="U59" s="2">
        <v>2</v>
      </c>
      <c r="V59" s="2">
        <v>0.31</v>
      </c>
      <c r="W59" s="2">
        <v>0.35709999999999997</v>
      </c>
      <c r="X59" s="2">
        <v>2</v>
      </c>
      <c r="Y59" s="2">
        <v>9</v>
      </c>
      <c r="AA59" s="2">
        <v>0.51</v>
      </c>
    </row>
    <row r="60" spans="1:27" x14ac:dyDescent="0.25">
      <c r="A60" s="1">
        <f t="shared" si="2"/>
        <v>45698</v>
      </c>
      <c r="C60" s="2">
        <v>81</v>
      </c>
      <c r="E60" s="2">
        <v>0.7</v>
      </c>
      <c r="F60" s="2">
        <v>0</v>
      </c>
      <c r="I60" s="2">
        <v>0</v>
      </c>
      <c r="J60" s="2">
        <v>1</v>
      </c>
      <c r="K60" s="2">
        <v>0</v>
      </c>
      <c r="L60" s="2">
        <v>0</v>
      </c>
      <c r="N60" s="2">
        <v>0</v>
      </c>
      <c r="O60" s="2">
        <v>34</v>
      </c>
      <c r="P60" s="2">
        <v>31</v>
      </c>
      <c r="Q60" s="2">
        <f>P60/O60</f>
        <v>0.91176470588235292</v>
      </c>
      <c r="R60" s="2">
        <v>0</v>
      </c>
      <c r="S60" s="2">
        <v>12</v>
      </c>
      <c r="T60" s="2">
        <v>21</v>
      </c>
      <c r="U60" s="2">
        <v>3</v>
      </c>
      <c r="V60" s="2">
        <f>S60/O60</f>
        <v>0.35294117647058826</v>
      </c>
      <c r="W60" s="2">
        <v>0.32</v>
      </c>
      <c r="X60" s="2">
        <v>1</v>
      </c>
      <c r="Y60" s="2">
        <v>8</v>
      </c>
      <c r="Z60" s="2">
        <f>8/12</f>
        <v>0.66666666666666663</v>
      </c>
      <c r="AA60" s="2">
        <v>-3.4000000000000002E-2</v>
      </c>
    </row>
    <row r="61" spans="1:27" x14ac:dyDescent="0.25">
      <c r="A61" s="1">
        <f t="shared" si="2"/>
        <v>45705</v>
      </c>
      <c r="B61" s="2">
        <v>24</v>
      </c>
      <c r="C61" s="2">
        <v>20</v>
      </c>
      <c r="D61" s="2">
        <v>4</v>
      </c>
      <c r="E61" s="2">
        <v>0</v>
      </c>
      <c r="F61" s="2">
        <v>17</v>
      </c>
      <c r="G61" s="2">
        <v>3</v>
      </c>
      <c r="H61" s="2">
        <v>0</v>
      </c>
      <c r="I61" s="2">
        <f>C61/(C61+D61+E61)*100%</f>
        <v>0.83333333333333337</v>
      </c>
      <c r="J61" s="2">
        <v>0</v>
      </c>
      <c r="K61" s="2">
        <v>0</v>
      </c>
      <c r="L61" s="2">
        <v>2</v>
      </c>
      <c r="M61" s="2">
        <v>0</v>
      </c>
      <c r="N61" s="2">
        <v>0</v>
      </c>
      <c r="O61" s="2">
        <v>6</v>
      </c>
      <c r="P61" s="2">
        <v>40</v>
      </c>
      <c r="Q61" s="2">
        <v>40</v>
      </c>
      <c r="R61" s="2">
        <f>P61/Q61</f>
        <v>1</v>
      </c>
      <c r="T61" s="2">
        <v>13</v>
      </c>
      <c r="U61" s="2">
        <f>Q61-T61-V61</f>
        <v>22</v>
      </c>
      <c r="V61" s="2">
        <v>5</v>
      </c>
      <c r="W61" s="2">
        <f>T61/P61</f>
        <v>0.32500000000000001</v>
      </c>
      <c r="X61" s="2">
        <f>12/40</f>
        <v>0.3</v>
      </c>
      <c r="Y61" s="2">
        <v>2</v>
      </c>
      <c r="Z61" s="2">
        <v>13</v>
      </c>
      <c r="AA61" s="2">
        <f>Z61/P61</f>
        <v>0.32500000000000001</v>
      </c>
    </row>
    <row r="62" spans="1:27" x14ac:dyDescent="0.25">
      <c r="A62" s="1">
        <f t="shared" si="2"/>
        <v>45712</v>
      </c>
      <c r="B62" s="2">
        <v>63</v>
      </c>
      <c r="C62" s="2">
        <v>29</v>
      </c>
      <c r="D62" s="2">
        <v>16</v>
      </c>
      <c r="E62" s="2">
        <v>18</v>
      </c>
      <c r="F62" s="2">
        <v>9</v>
      </c>
      <c r="G62" s="2">
        <v>12</v>
      </c>
      <c r="H62" s="2">
        <v>18</v>
      </c>
      <c r="I62" s="2">
        <f>C62/(C62+D62+E62)*100%</f>
        <v>0.46031746031746029</v>
      </c>
      <c r="J62" s="2">
        <v>0</v>
      </c>
      <c r="K62" s="2">
        <v>0</v>
      </c>
      <c r="L62" s="2">
        <v>2</v>
      </c>
      <c r="M62" s="2">
        <v>0</v>
      </c>
      <c r="N62" s="2">
        <v>0</v>
      </c>
      <c r="O62" s="2">
        <v>12</v>
      </c>
      <c r="P62" s="2">
        <v>31</v>
      </c>
      <c r="Q62" s="2">
        <v>31</v>
      </c>
      <c r="R62" s="2">
        <v>1</v>
      </c>
      <c r="T62" s="2">
        <v>14</v>
      </c>
      <c r="U62" s="2">
        <v>14</v>
      </c>
      <c r="V62" s="2">
        <v>3</v>
      </c>
      <c r="W62" s="2">
        <f>T62/P62</f>
        <v>0.45161290322580644</v>
      </c>
      <c r="X62" s="2">
        <f>10/31</f>
        <v>0.32258064516129031</v>
      </c>
      <c r="Y62" s="2">
        <v>3</v>
      </c>
      <c r="Z62" s="2">
        <v>11</v>
      </c>
      <c r="AA62" s="2">
        <f>Z62/P62</f>
        <v>0.35483870967741937</v>
      </c>
    </row>
  </sheetData>
  <protectedRanges>
    <protectedRange sqref="B56" name="Range1_2_21"/>
    <protectedRange sqref="C56:D56" name="Range1_2_22"/>
    <protectedRange sqref="E56:E59" name="Range1_2_23"/>
    <protectedRange sqref="I56" name="Range1_2_24"/>
    <protectedRange sqref="F56:H56" name="Range1_2_25"/>
    <protectedRange sqref="J56" name="Range1_2_26"/>
    <protectedRange sqref="O56" name="Range1_2_27"/>
    <protectedRange sqref="P56" name="Range1_2_28"/>
    <protectedRange sqref="Q56" name="Range1_2_30"/>
    <protectedRange sqref="R56:R57" name="Range1_2_33"/>
    <protectedRange sqref="S56" name="Range1_2_34"/>
    <protectedRange sqref="T56" name="Range1_2_35"/>
    <protectedRange sqref="U56" name="Range1_2_36"/>
    <protectedRange sqref="V56:W56" name="Range1_2_37"/>
    <protectedRange sqref="X56" name="Range1_2_38"/>
    <protectedRange sqref="Z56" name="Range1_2_39"/>
    <protectedRange sqref="C57:D58" name="Range1_2_40"/>
    <protectedRange sqref="O57" name="Range1_2_42"/>
    <protectedRange sqref="P57" name="Range1_2_43"/>
    <protectedRange sqref="Q57" name="Range1_2_44"/>
    <protectedRange sqref="Q55" name="Range1_2_45"/>
    <protectedRange sqref="V57" name="Range1_2_48"/>
    <protectedRange sqref="S57" name="Range1_2_49"/>
    <protectedRange sqref="T57" name="Range1_2_50"/>
    <protectedRange sqref="W57" name="Range1_2_52"/>
    <protectedRange sqref="X57" name="Range1_2_53"/>
    <protectedRange sqref="Y57" name="Range1_2_54"/>
    <protectedRange sqref="Z57" name="Range1_2_55"/>
    <protectedRange sqref="O58" name="Range1_3_3"/>
    <protectedRange sqref="P58" name="Range1_3_4"/>
    <protectedRange sqref="Q58" name="Range1_3_5"/>
    <protectedRange sqref="R58" name="Range1_3_6"/>
    <protectedRange sqref="S58" name="Range1_3_7"/>
    <protectedRange sqref="T58" name="Range1_3_8"/>
    <protectedRange sqref="U58" name="Range1_3_9"/>
    <protectedRange sqref="W58" name="Range1_3_11"/>
    <protectedRange sqref="X58" name="Range1_3_12"/>
    <protectedRange sqref="Y58" name="Range1_3_13"/>
    <protectedRange sqref="Z58" name="Range1_3_14"/>
    <protectedRange sqref="AA55" name="Range1_41"/>
  </protectedRange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1CBD3-95EC-482F-8ABE-0FC6465C3EDD}">
  <dimension ref="A1:DC62"/>
  <sheetViews>
    <sheetView workbookViewId="0">
      <selection activeCell="A72" sqref="A72"/>
    </sheetView>
  </sheetViews>
  <sheetFormatPr defaultColWidth="0" defaultRowHeight="15" x14ac:dyDescent="0.25"/>
  <cols>
    <col min="1" max="1" width="18.5703125" style="1" customWidth="1"/>
    <col min="2" max="2" width="10.140625" style="2" bestFit="1" customWidth="1"/>
    <col min="3" max="4" width="12.7109375" style="2" bestFit="1" customWidth="1"/>
    <col min="5" max="5" width="11.140625" style="2" bestFit="1" customWidth="1"/>
    <col min="6" max="6" width="10.140625" style="2" bestFit="1" customWidth="1"/>
    <col min="7" max="7" width="17.85546875" style="2" bestFit="1" customWidth="1"/>
    <col min="8" max="8" width="12.42578125" style="2" customWidth="1"/>
    <col min="9" max="10" width="10.140625" style="2" bestFit="1" customWidth="1"/>
    <col min="11" max="11" width="11.5703125" style="2" customWidth="1"/>
    <col min="12" max="12" width="11.28515625" style="2" customWidth="1"/>
    <col min="13" max="18" width="10.140625" style="2" bestFit="1" customWidth="1"/>
    <col min="19" max="19" width="18.42578125" style="2" bestFit="1" customWidth="1"/>
    <col min="20" max="20" width="12.7109375" style="2" bestFit="1" customWidth="1"/>
    <col min="21" max="24" width="18.42578125" style="2" bestFit="1" customWidth="1"/>
    <col min="25" max="29" width="14.85546875" style="2" bestFit="1" customWidth="1"/>
    <col min="30" max="30" width="19" style="2" bestFit="1" customWidth="1"/>
    <col min="31" max="31" width="14.85546875" style="2" bestFit="1" customWidth="1"/>
    <col min="32" max="32" width="19" style="2" bestFit="1" customWidth="1"/>
    <col min="33" max="33" width="14.85546875" style="2" bestFit="1" customWidth="1"/>
    <col min="34" max="34" width="19" style="2" bestFit="1" customWidth="1"/>
    <col min="35" max="35" width="14.85546875" style="2" bestFit="1" customWidth="1"/>
    <col min="36" max="36" width="16.42578125" style="2" bestFit="1" customWidth="1"/>
    <col min="37" max="37" width="19" style="2" bestFit="1" customWidth="1"/>
    <col min="38" max="39" width="16.42578125" style="2" bestFit="1" customWidth="1"/>
    <col min="40" max="41" width="19" style="2" bestFit="1" customWidth="1"/>
    <col min="42" max="42" width="14.85546875" style="2" bestFit="1" customWidth="1"/>
    <col min="43" max="43" width="24.140625" style="2" bestFit="1" customWidth="1"/>
    <col min="44" max="46" width="14.85546875" style="2" bestFit="1" customWidth="1"/>
    <col min="47" max="47" width="20.42578125" style="2" bestFit="1" customWidth="1"/>
    <col min="48" max="48" width="24" style="2" bestFit="1" customWidth="1"/>
    <col min="49" max="49" width="27.42578125" style="2" bestFit="1" customWidth="1"/>
    <col min="50" max="51" width="16.42578125" style="2" bestFit="1" customWidth="1"/>
    <col min="52" max="52" width="10.140625" style="2" bestFit="1" customWidth="1"/>
    <col min="53" max="53" width="13.85546875" style="2" bestFit="1" customWidth="1"/>
    <col min="54" max="54" width="10.140625" style="2" bestFit="1" customWidth="1"/>
    <col min="55" max="55" width="13.85546875" style="2" bestFit="1" customWidth="1"/>
    <col min="56" max="56" width="14.85546875" style="2" bestFit="1" customWidth="1"/>
    <col min="57" max="57" width="17.85546875" style="2" bestFit="1" customWidth="1"/>
    <col min="58" max="58" width="20.85546875" style="2" bestFit="1" customWidth="1"/>
    <col min="59" max="59" width="17.85546875" style="2" bestFit="1" customWidth="1"/>
    <col min="60" max="60" width="21.5703125" style="2" bestFit="1" customWidth="1"/>
    <col min="61" max="62" width="14.85546875" style="2" bestFit="1" customWidth="1"/>
    <col min="63" max="107" width="0" hidden="1" customWidth="1"/>
    <col min="108" max="16384" width="9.42578125" hidden="1"/>
  </cols>
  <sheetData>
    <row r="1" spans="1:62" s="3" customFormat="1" ht="72" customHeight="1" x14ac:dyDescent="0.25">
      <c r="A1" s="10" t="s">
        <v>233</v>
      </c>
      <c r="B1" s="3" t="s">
        <v>139</v>
      </c>
      <c r="C1" s="3" t="s">
        <v>140</v>
      </c>
      <c r="D1" s="3" t="s">
        <v>141</v>
      </c>
      <c r="E1" s="3" t="s">
        <v>142</v>
      </c>
      <c r="F1" s="3" t="s">
        <v>143</v>
      </c>
      <c r="G1" s="3" t="s">
        <v>144</v>
      </c>
      <c r="H1" s="3" t="s">
        <v>145</v>
      </c>
      <c r="I1" s="3" t="s">
        <v>146</v>
      </c>
      <c r="J1" s="3" t="s">
        <v>147</v>
      </c>
      <c r="K1" s="3" t="s">
        <v>148</v>
      </c>
      <c r="L1" s="3" t="s">
        <v>149</v>
      </c>
      <c r="M1" s="3" t="s">
        <v>150</v>
      </c>
      <c r="N1" s="3" t="s">
        <v>151</v>
      </c>
      <c r="O1" s="3" t="s">
        <v>152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</row>
    <row r="2" spans="1:62" x14ac:dyDescent="0.25">
      <c r="A2" s="1">
        <v>45292</v>
      </c>
    </row>
    <row r="3" spans="1:62" x14ac:dyDescent="0.25">
      <c r="A3" s="1">
        <f t="shared" ref="A3:A34" si="0">A2+7</f>
        <v>45299</v>
      </c>
      <c r="B3" s="2">
        <v>0.04</v>
      </c>
      <c r="D3" s="2">
        <v>0</v>
      </c>
    </row>
    <row r="4" spans="1:62" x14ac:dyDescent="0.25">
      <c r="A4" s="1">
        <f t="shared" si="0"/>
        <v>45306</v>
      </c>
      <c r="B4" s="2">
        <v>0.06</v>
      </c>
      <c r="D4" s="2">
        <v>0.01</v>
      </c>
    </row>
    <row r="5" spans="1:62" x14ac:dyDescent="0.25">
      <c r="A5" s="1">
        <f t="shared" si="0"/>
        <v>45313</v>
      </c>
      <c r="B5" s="2">
        <v>0.05</v>
      </c>
      <c r="D5" s="2">
        <v>0.01</v>
      </c>
    </row>
    <row r="6" spans="1:62" x14ac:dyDescent="0.25">
      <c r="A6" s="1">
        <f t="shared" si="0"/>
        <v>45320</v>
      </c>
      <c r="B6" s="2">
        <v>0.06</v>
      </c>
      <c r="D6" s="2">
        <v>0</v>
      </c>
    </row>
    <row r="7" spans="1:62" x14ac:dyDescent="0.25">
      <c r="A7" s="1">
        <f t="shared" si="0"/>
        <v>45327</v>
      </c>
      <c r="B7" s="2">
        <v>0.06</v>
      </c>
      <c r="D7" s="2">
        <v>0.01</v>
      </c>
    </row>
    <row r="8" spans="1:62" x14ac:dyDescent="0.25">
      <c r="A8" s="1">
        <f t="shared" si="0"/>
        <v>45334</v>
      </c>
      <c r="B8" s="2">
        <v>0.05</v>
      </c>
      <c r="D8" s="2">
        <v>0</v>
      </c>
    </row>
    <row r="9" spans="1:62" x14ac:dyDescent="0.25">
      <c r="A9" s="1">
        <f t="shared" si="0"/>
        <v>45341</v>
      </c>
      <c r="B9" s="2">
        <v>0.04</v>
      </c>
      <c r="D9" s="2">
        <v>0.01</v>
      </c>
    </row>
    <row r="10" spans="1:62" x14ac:dyDescent="0.25">
      <c r="A10" s="1">
        <f t="shared" si="0"/>
        <v>45348</v>
      </c>
    </row>
    <row r="11" spans="1:62" x14ac:dyDescent="0.25">
      <c r="A11" s="1">
        <f t="shared" si="0"/>
        <v>45355</v>
      </c>
    </row>
    <row r="12" spans="1:62" x14ac:dyDescent="0.25">
      <c r="A12" s="1">
        <f t="shared" si="0"/>
        <v>45362</v>
      </c>
    </row>
    <row r="13" spans="1:62" x14ac:dyDescent="0.25">
      <c r="A13" s="1">
        <f t="shared" si="0"/>
        <v>45369</v>
      </c>
    </row>
    <row r="14" spans="1:62" x14ac:dyDescent="0.25">
      <c r="A14" s="1">
        <f t="shared" si="0"/>
        <v>45376</v>
      </c>
    </row>
    <row r="15" spans="1:62" x14ac:dyDescent="0.25">
      <c r="A15" s="1">
        <f t="shared" si="0"/>
        <v>45383</v>
      </c>
    </row>
    <row r="16" spans="1:62" x14ac:dyDescent="0.25">
      <c r="A16" s="1">
        <f t="shared" si="0"/>
        <v>45390</v>
      </c>
    </row>
    <row r="17" spans="1:15" x14ac:dyDescent="0.25">
      <c r="A17" s="1">
        <f t="shared" si="0"/>
        <v>45397</v>
      </c>
    </row>
    <row r="18" spans="1:15" x14ac:dyDescent="0.25">
      <c r="A18" s="1">
        <f t="shared" si="0"/>
        <v>45404</v>
      </c>
    </row>
    <row r="19" spans="1:15" x14ac:dyDescent="0.25">
      <c r="A19" s="1">
        <f t="shared" si="0"/>
        <v>45411</v>
      </c>
    </row>
    <row r="20" spans="1:15" x14ac:dyDescent="0.25">
      <c r="A20" s="1">
        <f t="shared" si="0"/>
        <v>45418</v>
      </c>
      <c r="B20" s="2">
        <v>0.04</v>
      </c>
      <c r="D20" s="2">
        <v>0</v>
      </c>
    </row>
    <row r="21" spans="1:15" x14ac:dyDescent="0.25">
      <c r="A21" s="1">
        <f t="shared" si="0"/>
        <v>45425</v>
      </c>
      <c r="B21" s="2">
        <v>0.08</v>
      </c>
      <c r="D21" s="2">
        <v>0</v>
      </c>
    </row>
    <row r="22" spans="1:15" x14ac:dyDescent="0.25">
      <c r="A22" s="1">
        <f t="shared" si="0"/>
        <v>45432</v>
      </c>
      <c r="B22" s="2">
        <v>0.1</v>
      </c>
      <c r="D22" s="2">
        <v>0</v>
      </c>
      <c r="K22" s="2">
        <v>0.13</v>
      </c>
      <c r="L22" s="2">
        <v>0.01</v>
      </c>
    </row>
    <row r="23" spans="1:15" x14ac:dyDescent="0.25">
      <c r="A23" s="1">
        <f t="shared" si="0"/>
        <v>45439</v>
      </c>
      <c r="B23" s="2">
        <v>0.13</v>
      </c>
      <c r="D23" s="2">
        <v>0</v>
      </c>
      <c r="K23" s="2">
        <v>2</v>
      </c>
      <c r="L23" s="2">
        <v>2</v>
      </c>
    </row>
    <row r="24" spans="1:15" x14ac:dyDescent="0.25">
      <c r="A24" s="1">
        <f t="shared" si="0"/>
        <v>45446</v>
      </c>
      <c r="B24" s="2">
        <v>8</v>
      </c>
      <c r="D24" s="2">
        <v>0</v>
      </c>
      <c r="K24" s="2">
        <v>3</v>
      </c>
      <c r="L24" s="2">
        <v>3</v>
      </c>
    </row>
    <row r="25" spans="1:15" x14ac:dyDescent="0.25">
      <c r="A25" s="1">
        <f t="shared" si="0"/>
        <v>45453</v>
      </c>
      <c r="B25" s="2">
        <v>8</v>
      </c>
      <c r="D25" s="2">
        <v>0</v>
      </c>
      <c r="K25" s="2">
        <v>10</v>
      </c>
      <c r="L25" s="2">
        <v>9</v>
      </c>
    </row>
    <row r="26" spans="1:15" x14ac:dyDescent="0.25">
      <c r="A26" s="1">
        <f t="shared" si="0"/>
        <v>45460</v>
      </c>
      <c r="B26" s="2">
        <v>8</v>
      </c>
      <c r="D26" s="2">
        <v>0</v>
      </c>
      <c r="K26" s="2">
        <v>3</v>
      </c>
      <c r="L26" s="2">
        <v>3</v>
      </c>
    </row>
    <row r="27" spans="1:15" x14ac:dyDescent="0.25">
      <c r="A27" s="1">
        <f t="shared" si="0"/>
        <v>45467</v>
      </c>
      <c r="B27" s="2">
        <v>8</v>
      </c>
      <c r="D27" s="2">
        <v>0</v>
      </c>
      <c r="K27" s="2">
        <v>1</v>
      </c>
      <c r="L27" s="2">
        <v>1</v>
      </c>
    </row>
    <row r="28" spans="1:15" x14ac:dyDescent="0.25">
      <c r="A28" s="1">
        <f t="shared" si="0"/>
        <v>45474</v>
      </c>
      <c r="B28" s="2">
        <v>9</v>
      </c>
      <c r="D28" s="2">
        <v>0</v>
      </c>
      <c r="K28" s="2">
        <v>6</v>
      </c>
      <c r="L28" s="2">
        <v>4</v>
      </c>
    </row>
    <row r="29" spans="1:15" x14ac:dyDescent="0.25">
      <c r="A29" s="1">
        <f t="shared" si="0"/>
        <v>45481</v>
      </c>
      <c r="B29" s="2">
        <v>9</v>
      </c>
      <c r="D29" s="2">
        <v>1</v>
      </c>
      <c r="K29" s="2">
        <v>2</v>
      </c>
      <c r="L29" s="2">
        <v>2</v>
      </c>
    </row>
    <row r="30" spans="1:15" x14ac:dyDescent="0.25">
      <c r="A30" s="1">
        <f t="shared" si="0"/>
        <v>45488</v>
      </c>
      <c r="B30" s="2">
        <v>9</v>
      </c>
      <c r="D30" s="2">
        <v>2</v>
      </c>
      <c r="K30" s="2">
        <v>3</v>
      </c>
      <c r="L30" s="2">
        <v>3</v>
      </c>
      <c r="M30" s="2">
        <v>0</v>
      </c>
      <c r="N30" s="2">
        <v>0</v>
      </c>
      <c r="O30" s="2">
        <v>0</v>
      </c>
    </row>
    <row r="31" spans="1:15" x14ac:dyDescent="0.25">
      <c r="A31" s="1">
        <f t="shared" si="0"/>
        <v>45495</v>
      </c>
      <c r="B31" s="2">
        <v>6</v>
      </c>
      <c r="D31" s="2">
        <v>0</v>
      </c>
      <c r="K31" s="2">
        <v>3</v>
      </c>
      <c r="L31" s="2">
        <v>3</v>
      </c>
      <c r="M31" s="2">
        <v>1</v>
      </c>
      <c r="N31" s="2">
        <v>1</v>
      </c>
      <c r="O31" s="2">
        <v>0</v>
      </c>
    </row>
    <row r="32" spans="1:15" x14ac:dyDescent="0.25">
      <c r="A32" s="1">
        <f t="shared" si="0"/>
        <v>45502</v>
      </c>
      <c r="B32" s="2">
        <v>5</v>
      </c>
      <c r="D32" s="2">
        <v>0</v>
      </c>
      <c r="K32" s="2">
        <v>7</v>
      </c>
      <c r="L32" s="2">
        <v>6</v>
      </c>
      <c r="M32" s="2">
        <v>1</v>
      </c>
      <c r="N32" s="2">
        <v>0</v>
      </c>
      <c r="O32" s="2">
        <v>0</v>
      </c>
    </row>
    <row r="33" spans="1:15" x14ac:dyDescent="0.25">
      <c r="A33" s="1">
        <f t="shared" si="0"/>
        <v>45509</v>
      </c>
      <c r="B33" s="2">
        <v>5</v>
      </c>
      <c r="C33" s="2">
        <v>16</v>
      </c>
      <c r="D33" s="2">
        <v>5</v>
      </c>
      <c r="K33" s="2">
        <v>5</v>
      </c>
      <c r="L33" s="2">
        <v>4</v>
      </c>
      <c r="M33" s="2">
        <v>1</v>
      </c>
      <c r="N33" s="2">
        <v>0</v>
      </c>
      <c r="O33" s="2">
        <v>0</v>
      </c>
    </row>
    <row r="34" spans="1:15" x14ac:dyDescent="0.25">
      <c r="A34" s="1">
        <f t="shared" si="0"/>
        <v>45516</v>
      </c>
      <c r="B34" s="2">
        <v>6</v>
      </c>
      <c r="C34" s="2">
        <v>80</v>
      </c>
      <c r="D34" s="2">
        <v>45</v>
      </c>
      <c r="K34" s="2">
        <v>2</v>
      </c>
      <c r="L34" s="2">
        <v>2</v>
      </c>
      <c r="M34" s="2">
        <v>0</v>
      </c>
      <c r="N34" s="2">
        <v>0</v>
      </c>
      <c r="O34" s="2">
        <v>0</v>
      </c>
    </row>
    <row r="35" spans="1:15" x14ac:dyDescent="0.25">
      <c r="A35" s="1">
        <f t="shared" ref="A35:A62" si="1">A34+7</f>
        <v>45523</v>
      </c>
      <c r="B35" s="2">
        <v>5</v>
      </c>
      <c r="C35" s="2">
        <v>50</v>
      </c>
      <c r="D35" s="2">
        <v>35</v>
      </c>
      <c r="J35" s="2">
        <v>1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</row>
    <row r="36" spans="1:15" x14ac:dyDescent="0.25">
      <c r="A36" s="1">
        <f t="shared" si="1"/>
        <v>45530</v>
      </c>
      <c r="B36" s="2">
        <v>4</v>
      </c>
      <c r="C36" s="2">
        <v>454</v>
      </c>
      <c r="D36" s="2">
        <v>28</v>
      </c>
      <c r="H36" s="2">
        <v>1</v>
      </c>
      <c r="J36" s="2">
        <v>1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</row>
    <row r="37" spans="1:15" x14ac:dyDescent="0.25">
      <c r="A37" s="1">
        <f t="shared" si="1"/>
        <v>45537</v>
      </c>
      <c r="B37" s="2">
        <v>4</v>
      </c>
      <c r="C37" s="2">
        <v>408</v>
      </c>
      <c r="D37" s="2">
        <v>26</v>
      </c>
      <c r="H37" s="2">
        <v>2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</row>
    <row r="38" spans="1:15" x14ac:dyDescent="0.25">
      <c r="A38" s="1">
        <f t="shared" si="1"/>
        <v>45544</v>
      </c>
      <c r="B38" s="2">
        <v>5</v>
      </c>
      <c r="C38" s="2">
        <v>220</v>
      </c>
      <c r="D38" s="2">
        <v>15</v>
      </c>
      <c r="H38" s="2">
        <v>2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</row>
    <row r="39" spans="1:15" x14ac:dyDescent="0.25">
      <c r="A39" s="1">
        <f t="shared" si="1"/>
        <v>45551</v>
      </c>
      <c r="B39" s="2">
        <v>5</v>
      </c>
      <c r="C39" s="2">
        <v>205</v>
      </c>
      <c r="D39" s="2">
        <v>4</v>
      </c>
      <c r="E39" s="2">
        <v>3</v>
      </c>
      <c r="H39" s="2">
        <v>2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</row>
    <row r="40" spans="1:15" x14ac:dyDescent="0.25">
      <c r="A40" s="1">
        <f t="shared" si="1"/>
        <v>45558</v>
      </c>
      <c r="B40" s="2">
        <v>9</v>
      </c>
      <c r="C40" s="2">
        <v>0</v>
      </c>
      <c r="E40" s="2">
        <v>4</v>
      </c>
      <c r="H40" s="2">
        <v>2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</row>
    <row r="41" spans="1:15" x14ac:dyDescent="0.25">
      <c r="A41" s="1">
        <f t="shared" si="1"/>
        <v>45565</v>
      </c>
      <c r="B41" s="2">
        <v>5</v>
      </c>
      <c r="C41" s="2">
        <v>0</v>
      </c>
      <c r="E41" s="2">
        <v>4</v>
      </c>
      <c r="H41" s="2">
        <v>2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</row>
    <row r="42" spans="1:15" x14ac:dyDescent="0.25">
      <c r="A42" s="1">
        <f t="shared" si="1"/>
        <v>45572</v>
      </c>
      <c r="B42" s="2">
        <v>5</v>
      </c>
      <c r="C42" s="2">
        <v>0</v>
      </c>
      <c r="E42" s="2">
        <v>5</v>
      </c>
      <c r="H42" s="2">
        <v>2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</row>
    <row r="43" spans="1:15" x14ac:dyDescent="0.25">
      <c r="A43" s="1">
        <f t="shared" si="1"/>
        <v>45579</v>
      </c>
      <c r="B43" s="2">
        <v>6</v>
      </c>
      <c r="C43" s="2">
        <v>1</v>
      </c>
      <c r="D43" s="2">
        <v>0</v>
      </c>
      <c r="E43" s="2">
        <v>0</v>
      </c>
      <c r="H43" s="2">
        <v>1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</row>
    <row r="44" spans="1:15" x14ac:dyDescent="0.25">
      <c r="A44" s="1">
        <f t="shared" si="1"/>
        <v>45586</v>
      </c>
      <c r="B44" s="2">
        <v>5</v>
      </c>
      <c r="C44" s="2">
        <v>0</v>
      </c>
      <c r="E44" s="2">
        <v>4</v>
      </c>
      <c r="H44" s="2">
        <v>2</v>
      </c>
      <c r="J44" s="2">
        <v>0</v>
      </c>
    </row>
    <row r="45" spans="1:15" x14ac:dyDescent="0.25">
      <c r="A45" s="1">
        <f t="shared" si="1"/>
        <v>45593</v>
      </c>
      <c r="B45" s="2">
        <v>5</v>
      </c>
      <c r="C45" s="2">
        <v>1</v>
      </c>
      <c r="E45" s="2">
        <v>0</v>
      </c>
      <c r="F45" s="2">
        <v>4</v>
      </c>
      <c r="G45" s="2">
        <v>0</v>
      </c>
      <c r="H45" s="2">
        <v>2</v>
      </c>
      <c r="J45" s="2">
        <v>0</v>
      </c>
    </row>
    <row r="46" spans="1:15" x14ac:dyDescent="0.25">
      <c r="A46" s="1">
        <f t="shared" si="1"/>
        <v>45600</v>
      </c>
      <c r="B46" s="2">
        <v>5</v>
      </c>
      <c r="C46" s="2">
        <v>2</v>
      </c>
      <c r="E46" s="2">
        <v>7</v>
      </c>
      <c r="F46" s="2">
        <v>4</v>
      </c>
      <c r="G46" s="2">
        <v>0</v>
      </c>
      <c r="H46" s="2">
        <v>2</v>
      </c>
      <c r="J46" s="2">
        <v>0</v>
      </c>
    </row>
    <row r="47" spans="1:15" x14ac:dyDescent="0.25">
      <c r="A47" s="1">
        <f t="shared" si="1"/>
        <v>45607</v>
      </c>
      <c r="B47" s="2">
        <v>4</v>
      </c>
      <c r="C47" s="2">
        <v>0</v>
      </c>
      <c r="E47" s="2">
        <v>6</v>
      </c>
      <c r="F47" s="2">
        <v>4</v>
      </c>
      <c r="G47" s="2">
        <v>0</v>
      </c>
      <c r="H47" s="2">
        <v>2</v>
      </c>
      <c r="J47" s="2">
        <v>0</v>
      </c>
    </row>
    <row r="48" spans="1:15" x14ac:dyDescent="0.25">
      <c r="A48" s="1">
        <f t="shared" si="1"/>
        <v>45614</v>
      </c>
      <c r="B48" s="2">
        <v>4</v>
      </c>
      <c r="E48" s="2">
        <v>5</v>
      </c>
      <c r="F48" s="2">
        <v>4</v>
      </c>
      <c r="G48" s="2">
        <v>0</v>
      </c>
      <c r="H48" s="2">
        <v>2</v>
      </c>
    </row>
    <row r="49" spans="1:9" x14ac:dyDescent="0.25">
      <c r="A49" s="1">
        <f t="shared" si="1"/>
        <v>45621</v>
      </c>
      <c r="B49" s="2">
        <v>4</v>
      </c>
      <c r="E49" s="2">
        <v>5</v>
      </c>
      <c r="F49" s="2">
        <v>4</v>
      </c>
      <c r="G49" s="2">
        <v>0</v>
      </c>
      <c r="H49" s="2">
        <v>2</v>
      </c>
    </row>
    <row r="50" spans="1:9" x14ac:dyDescent="0.25">
      <c r="A50" s="1">
        <f t="shared" si="1"/>
        <v>45628</v>
      </c>
      <c r="B50" s="2">
        <v>2</v>
      </c>
      <c r="E50" s="2">
        <v>4</v>
      </c>
      <c r="F50" s="2">
        <v>4</v>
      </c>
      <c r="G50" s="2">
        <v>0</v>
      </c>
      <c r="H50" s="2">
        <v>2</v>
      </c>
    </row>
    <row r="51" spans="1:9" x14ac:dyDescent="0.25">
      <c r="A51" s="1">
        <f t="shared" si="1"/>
        <v>45635</v>
      </c>
      <c r="B51" s="2">
        <v>5</v>
      </c>
      <c r="C51" s="2">
        <v>4</v>
      </c>
      <c r="D51" s="2">
        <v>4</v>
      </c>
      <c r="E51" s="2">
        <v>1</v>
      </c>
      <c r="F51" s="2">
        <v>2</v>
      </c>
      <c r="G51" s="2">
        <v>0</v>
      </c>
      <c r="H51" s="2">
        <v>1</v>
      </c>
    </row>
    <row r="52" spans="1:9" x14ac:dyDescent="0.25">
      <c r="A52" s="1">
        <f t="shared" si="1"/>
        <v>45642</v>
      </c>
    </row>
    <row r="53" spans="1:9" x14ac:dyDescent="0.25">
      <c r="A53" s="1">
        <f t="shared" si="1"/>
        <v>45649</v>
      </c>
    </row>
    <row r="54" spans="1:9" x14ac:dyDescent="0.25">
      <c r="A54" s="1">
        <f t="shared" si="1"/>
        <v>45656</v>
      </c>
    </row>
    <row r="55" spans="1:9" x14ac:dyDescent="0.25">
      <c r="A55" s="1">
        <f t="shared" si="1"/>
        <v>45663</v>
      </c>
      <c r="B55" s="2">
        <v>0</v>
      </c>
      <c r="C55" s="2">
        <v>0</v>
      </c>
      <c r="D55" s="2">
        <v>0</v>
      </c>
      <c r="E55" s="2">
        <v>2</v>
      </c>
      <c r="F55" s="2">
        <v>2</v>
      </c>
      <c r="G55" s="2">
        <v>0</v>
      </c>
      <c r="H55" s="2">
        <v>0</v>
      </c>
    </row>
    <row r="56" spans="1:9" x14ac:dyDescent="0.25">
      <c r="A56" s="1">
        <f t="shared" si="1"/>
        <v>45670</v>
      </c>
      <c r="B56" s="2">
        <v>1</v>
      </c>
      <c r="C56" s="2">
        <v>0</v>
      </c>
      <c r="D56" s="2">
        <v>1</v>
      </c>
      <c r="E56" s="2">
        <v>1</v>
      </c>
      <c r="F56" s="2">
        <v>3</v>
      </c>
      <c r="G56" s="2">
        <v>0</v>
      </c>
      <c r="H56" s="2">
        <v>0</v>
      </c>
    </row>
    <row r="57" spans="1:9" x14ac:dyDescent="0.25">
      <c r="A57" s="1">
        <f t="shared" si="1"/>
        <v>45677</v>
      </c>
      <c r="B57" s="2">
        <v>3.7999999999999999E-2</v>
      </c>
      <c r="C57" s="2">
        <v>6</v>
      </c>
      <c r="D57" s="2">
        <v>4</v>
      </c>
      <c r="E57" s="2">
        <v>1</v>
      </c>
      <c r="F57" s="2">
        <v>3</v>
      </c>
      <c r="G57" s="2">
        <v>0</v>
      </c>
      <c r="H57" s="2">
        <v>2</v>
      </c>
    </row>
    <row r="58" spans="1:9" x14ac:dyDescent="0.25">
      <c r="A58" s="1">
        <f t="shared" si="1"/>
        <v>45684</v>
      </c>
      <c r="B58" s="2">
        <v>-0.06</v>
      </c>
      <c r="C58" s="2">
        <v>3</v>
      </c>
      <c r="D58" s="2">
        <v>4</v>
      </c>
      <c r="E58" s="2">
        <v>0</v>
      </c>
      <c r="F58" s="2">
        <v>3</v>
      </c>
      <c r="G58" s="2">
        <v>0</v>
      </c>
      <c r="H58" s="2">
        <v>2</v>
      </c>
    </row>
    <row r="59" spans="1:9" x14ac:dyDescent="0.25">
      <c r="A59" s="1">
        <f t="shared" si="1"/>
        <v>45691</v>
      </c>
      <c r="B59" s="2">
        <v>0.51</v>
      </c>
      <c r="C59" s="2">
        <v>3</v>
      </c>
      <c r="D59" s="2">
        <v>1</v>
      </c>
      <c r="E59" s="2">
        <v>0</v>
      </c>
      <c r="F59" s="2">
        <v>3</v>
      </c>
      <c r="G59" s="2">
        <v>0</v>
      </c>
      <c r="H59" s="2">
        <v>2</v>
      </c>
      <c r="I59" s="2">
        <v>2</v>
      </c>
    </row>
    <row r="60" spans="1:9" x14ac:dyDescent="0.25">
      <c r="A60" s="1">
        <f t="shared" si="1"/>
        <v>45698</v>
      </c>
      <c r="B60" s="2">
        <v>-3.4000000000000002E-2</v>
      </c>
      <c r="C60" s="2">
        <v>2</v>
      </c>
      <c r="D60" s="2">
        <v>1</v>
      </c>
      <c r="E60" s="2">
        <v>2</v>
      </c>
      <c r="F60" s="2">
        <v>3</v>
      </c>
      <c r="G60" s="2">
        <v>3</v>
      </c>
      <c r="H60" s="2">
        <v>0</v>
      </c>
      <c r="I60" s="2">
        <v>2</v>
      </c>
    </row>
    <row r="61" spans="1:9" x14ac:dyDescent="0.25">
      <c r="A61" s="1">
        <f t="shared" si="1"/>
        <v>45705</v>
      </c>
      <c r="B61" s="2">
        <v>4.4999999999999998E-2</v>
      </c>
      <c r="C61" s="2">
        <v>2</v>
      </c>
      <c r="D61" s="2">
        <v>5</v>
      </c>
      <c r="E61" s="2">
        <v>5</v>
      </c>
      <c r="F61" s="2">
        <v>1</v>
      </c>
      <c r="G61" s="2">
        <v>3</v>
      </c>
      <c r="H61" s="2">
        <v>0</v>
      </c>
      <c r="I61" s="2">
        <v>2</v>
      </c>
    </row>
    <row r="62" spans="1:9" x14ac:dyDescent="0.25">
      <c r="A62" s="1">
        <f t="shared" si="1"/>
        <v>45712</v>
      </c>
      <c r="B62" s="2">
        <v>0.13</v>
      </c>
      <c r="C62" s="2">
        <v>2</v>
      </c>
      <c r="D62" s="2">
        <v>1</v>
      </c>
      <c r="E62" s="2">
        <v>2</v>
      </c>
      <c r="F62" s="2">
        <v>0</v>
      </c>
      <c r="G62" s="2">
        <v>3</v>
      </c>
      <c r="H62" s="2">
        <v>0</v>
      </c>
      <c r="I62" s="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F1D9D-6B87-4B59-B4F0-59603B5A4008}">
  <dimension ref="A1:DC62"/>
  <sheetViews>
    <sheetView workbookViewId="0">
      <selection activeCell="A40" sqref="A40"/>
    </sheetView>
  </sheetViews>
  <sheetFormatPr defaultColWidth="0" defaultRowHeight="15" x14ac:dyDescent="0.25"/>
  <cols>
    <col min="1" max="1" width="14.5703125" style="1" customWidth="1"/>
    <col min="2" max="2" width="10.140625" style="2" bestFit="1" customWidth="1"/>
    <col min="3" max="3" width="12.7109375" style="2" bestFit="1" customWidth="1"/>
    <col min="4" max="4" width="16.5703125" style="2" customWidth="1"/>
    <col min="5" max="5" width="11.140625" style="2" bestFit="1" customWidth="1"/>
    <col min="6" max="6" width="10.140625" style="2" bestFit="1" customWidth="1"/>
    <col min="7" max="7" width="17.85546875" style="2" bestFit="1" customWidth="1"/>
    <col min="8" max="8" width="15.28515625" style="2" customWidth="1"/>
    <col min="9" max="18" width="10.140625" style="2" bestFit="1" customWidth="1"/>
    <col min="19" max="19" width="18.42578125" style="2" bestFit="1" customWidth="1"/>
    <col min="20" max="20" width="12.7109375" style="2" bestFit="1" customWidth="1"/>
    <col min="21" max="24" width="18.42578125" style="2" bestFit="1" customWidth="1"/>
    <col min="25" max="29" width="14.85546875" style="2" bestFit="1" customWidth="1"/>
    <col min="30" max="30" width="19" style="2" bestFit="1" customWidth="1"/>
    <col min="31" max="31" width="14.85546875" style="2" bestFit="1" customWidth="1"/>
    <col min="32" max="32" width="19" style="2" bestFit="1" customWidth="1"/>
    <col min="33" max="33" width="14.85546875" style="2" bestFit="1" customWidth="1"/>
    <col min="34" max="34" width="19" style="2" bestFit="1" customWidth="1"/>
    <col min="35" max="35" width="14.85546875" style="2" bestFit="1" customWidth="1"/>
    <col min="36" max="36" width="16.42578125" style="2" bestFit="1" customWidth="1"/>
    <col min="37" max="37" width="19" style="2" bestFit="1" customWidth="1"/>
    <col min="38" max="39" width="16.42578125" style="2" bestFit="1" customWidth="1"/>
    <col min="40" max="41" width="19" style="2" bestFit="1" customWidth="1"/>
    <col min="42" max="42" width="14.85546875" style="2" bestFit="1" customWidth="1"/>
    <col min="43" max="43" width="24.140625" style="2" bestFit="1" customWidth="1"/>
    <col min="44" max="46" width="14.85546875" style="2" bestFit="1" customWidth="1"/>
    <col min="47" max="47" width="20.42578125" style="2" bestFit="1" customWidth="1"/>
    <col min="48" max="48" width="24" style="2" bestFit="1" customWidth="1"/>
    <col min="49" max="49" width="27.42578125" style="2" bestFit="1" customWidth="1"/>
    <col min="50" max="51" width="16.42578125" style="2" bestFit="1" customWidth="1"/>
    <col min="52" max="52" width="10.140625" style="2" bestFit="1" customWidth="1"/>
    <col min="53" max="53" width="13.85546875" style="2" bestFit="1" customWidth="1"/>
    <col min="54" max="54" width="10.140625" style="2" bestFit="1" customWidth="1"/>
    <col min="55" max="55" width="13.85546875" style="2" bestFit="1" customWidth="1"/>
    <col min="56" max="56" width="14.85546875" style="2" bestFit="1" customWidth="1"/>
    <col min="57" max="57" width="17.85546875" style="2" bestFit="1" customWidth="1"/>
    <col min="58" max="58" width="20.85546875" style="2" bestFit="1" customWidth="1"/>
    <col min="59" max="59" width="17.85546875" style="2" bestFit="1" customWidth="1"/>
    <col min="60" max="60" width="21.5703125" style="2" bestFit="1" customWidth="1"/>
    <col min="61" max="62" width="14.85546875" style="2" bestFit="1" customWidth="1"/>
    <col min="63" max="107" width="0" hidden="1" customWidth="1"/>
    <col min="108" max="16384" width="9.42578125" hidden="1"/>
  </cols>
  <sheetData>
    <row r="1" spans="1:62" s="3" customFormat="1" ht="45" x14ac:dyDescent="0.25">
      <c r="A1" s="10" t="s">
        <v>233</v>
      </c>
      <c r="B1" s="3" t="s">
        <v>153</v>
      </c>
      <c r="C1" s="3" t="s">
        <v>154</v>
      </c>
      <c r="D1" s="3" t="s">
        <v>155</v>
      </c>
      <c r="E1" s="3" t="s">
        <v>156</v>
      </c>
      <c r="F1" s="3" t="s">
        <v>157</v>
      </c>
      <c r="G1" s="3" t="s">
        <v>158</v>
      </c>
      <c r="H1" s="3" t="s">
        <v>159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</row>
    <row r="2" spans="1:62" x14ac:dyDescent="0.25">
      <c r="A2" s="1">
        <v>45292</v>
      </c>
    </row>
    <row r="3" spans="1:62" x14ac:dyDescent="0.25">
      <c r="A3" s="1">
        <f t="shared" ref="A3:A34" si="0">A2+7</f>
        <v>45299</v>
      </c>
    </row>
    <row r="4" spans="1:62" x14ac:dyDescent="0.25">
      <c r="A4" s="1">
        <f t="shared" si="0"/>
        <v>45306</v>
      </c>
    </row>
    <row r="5" spans="1:62" x14ac:dyDescent="0.25">
      <c r="A5" s="1">
        <f t="shared" si="0"/>
        <v>45313</v>
      </c>
    </row>
    <row r="6" spans="1:62" x14ac:dyDescent="0.25">
      <c r="A6" s="1">
        <f t="shared" si="0"/>
        <v>45320</v>
      </c>
    </row>
    <row r="7" spans="1:62" x14ac:dyDescent="0.25">
      <c r="A7" s="1">
        <f t="shared" si="0"/>
        <v>45327</v>
      </c>
    </row>
    <row r="8" spans="1:62" x14ac:dyDescent="0.25">
      <c r="A8" s="1">
        <f t="shared" si="0"/>
        <v>45334</v>
      </c>
    </row>
    <row r="9" spans="1:62" x14ac:dyDescent="0.25">
      <c r="A9" s="1">
        <f t="shared" si="0"/>
        <v>45341</v>
      </c>
    </row>
    <row r="10" spans="1:62" x14ac:dyDescent="0.25">
      <c r="A10" s="1">
        <f t="shared" si="0"/>
        <v>45348</v>
      </c>
    </row>
    <row r="11" spans="1:62" x14ac:dyDescent="0.25">
      <c r="A11" s="1">
        <f t="shared" si="0"/>
        <v>45355</v>
      </c>
    </row>
    <row r="12" spans="1:62" x14ac:dyDescent="0.25">
      <c r="A12" s="1">
        <f t="shared" si="0"/>
        <v>45362</v>
      </c>
    </row>
    <row r="13" spans="1:62" x14ac:dyDescent="0.25">
      <c r="A13" s="1">
        <f t="shared" si="0"/>
        <v>45369</v>
      </c>
    </row>
    <row r="14" spans="1:62" x14ac:dyDescent="0.25">
      <c r="A14" s="1">
        <f t="shared" si="0"/>
        <v>45376</v>
      </c>
    </row>
    <row r="15" spans="1:62" x14ac:dyDescent="0.25">
      <c r="A15" s="1">
        <f t="shared" si="0"/>
        <v>45383</v>
      </c>
    </row>
    <row r="16" spans="1:62" x14ac:dyDescent="0.25">
      <c r="A16" s="1">
        <f t="shared" si="0"/>
        <v>45390</v>
      </c>
    </row>
    <row r="17" spans="1:8" x14ac:dyDescent="0.25">
      <c r="A17" s="1">
        <f t="shared" si="0"/>
        <v>45397</v>
      </c>
    </row>
    <row r="18" spans="1:8" x14ac:dyDescent="0.25">
      <c r="A18" s="1">
        <f t="shared" si="0"/>
        <v>45404</v>
      </c>
    </row>
    <row r="19" spans="1:8" x14ac:dyDescent="0.25">
      <c r="A19" s="1">
        <f t="shared" si="0"/>
        <v>45411</v>
      </c>
    </row>
    <row r="20" spans="1:8" x14ac:dyDescent="0.25">
      <c r="A20" s="1">
        <f t="shared" si="0"/>
        <v>45418</v>
      </c>
    </row>
    <row r="21" spans="1:8" x14ac:dyDescent="0.25">
      <c r="A21" s="1">
        <f t="shared" si="0"/>
        <v>45425</v>
      </c>
    </row>
    <row r="22" spans="1:8" x14ac:dyDescent="0.25">
      <c r="A22" s="1">
        <f t="shared" si="0"/>
        <v>45432</v>
      </c>
      <c r="C22" s="2">
        <v>0.03</v>
      </c>
      <c r="E22" s="2">
        <v>0.04</v>
      </c>
      <c r="F22" s="2">
        <v>0.19</v>
      </c>
    </row>
    <row r="23" spans="1:8" x14ac:dyDescent="0.25">
      <c r="A23" s="1">
        <f t="shared" si="0"/>
        <v>45439</v>
      </c>
      <c r="C23" s="2">
        <v>0</v>
      </c>
      <c r="E23" s="2">
        <v>0</v>
      </c>
      <c r="F23" s="2">
        <v>0</v>
      </c>
    </row>
    <row r="24" spans="1:8" x14ac:dyDescent="0.25">
      <c r="A24" s="1">
        <f t="shared" si="0"/>
        <v>45446</v>
      </c>
      <c r="C24" s="2">
        <v>1</v>
      </c>
      <c r="E24" s="2">
        <v>2</v>
      </c>
      <c r="F24" s="2">
        <v>0</v>
      </c>
    </row>
    <row r="25" spans="1:8" x14ac:dyDescent="0.25">
      <c r="A25" s="1">
        <f t="shared" si="0"/>
        <v>45453</v>
      </c>
      <c r="C25" s="2">
        <v>2</v>
      </c>
      <c r="E25" s="2">
        <v>2</v>
      </c>
      <c r="F25" s="2">
        <v>0</v>
      </c>
      <c r="H25" s="2">
        <v>0</v>
      </c>
    </row>
    <row r="26" spans="1:8" x14ac:dyDescent="0.25">
      <c r="A26" s="1">
        <f t="shared" si="0"/>
        <v>45460</v>
      </c>
      <c r="C26" s="2">
        <v>0</v>
      </c>
      <c r="E26" s="2">
        <v>0</v>
      </c>
      <c r="F26" s="2">
        <v>27</v>
      </c>
      <c r="H26" s="2">
        <v>5</v>
      </c>
    </row>
    <row r="27" spans="1:8" x14ac:dyDescent="0.25">
      <c r="A27" s="1">
        <f t="shared" si="0"/>
        <v>45467</v>
      </c>
      <c r="C27" s="2">
        <v>0</v>
      </c>
      <c r="E27" s="2">
        <v>0</v>
      </c>
      <c r="F27" s="2">
        <v>71</v>
      </c>
      <c r="H27" s="2">
        <v>0</v>
      </c>
    </row>
    <row r="28" spans="1:8" x14ac:dyDescent="0.25">
      <c r="A28" s="1">
        <f t="shared" si="0"/>
        <v>45474</v>
      </c>
      <c r="C28" s="2">
        <v>0</v>
      </c>
      <c r="E28" s="2">
        <v>0</v>
      </c>
      <c r="F28" s="2">
        <v>0</v>
      </c>
      <c r="H28" s="2">
        <v>0</v>
      </c>
    </row>
    <row r="29" spans="1:8" x14ac:dyDescent="0.25">
      <c r="A29" s="1">
        <f t="shared" si="0"/>
        <v>45481</v>
      </c>
      <c r="C29" s="2">
        <v>0</v>
      </c>
      <c r="E29" s="2">
        <v>0</v>
      </c>
      <c r="F29" s="2">
        <v>0</v>
      </c>
      <c r="H29" s="2">
        <v>0</v>
      </c>
    </row>
    <row r="30" spans="1:8" x14ac:dyDescent="0.25">
      <c r="A30" s="1">
        <f t="shared" si="0"/>
        <v>45488</v>
      </c>
      <c r="B30" s="2">
        <v>6</v>
      </c>
      <c r="C30" s="2">
        <v>0</v>
      </c>
      <c r="E30" s="2">
        <v>2</v>
      </c>
      <c r="F30" s="2">
        <v>35</v>
      </c>
    </row>
    <row r="31" spans="1:8" x14ac:dyDescent="0.25">
      <c r="A31" s="1">
        <f t="shared" si="0"/>
        <v>45495</v>
      </c>
      <c r="B31" s="2">
        <v>9</v>
      </c>
      <c r="C31" s="2">
        <v>11</v>
      </c>
      <c r="E31" s="2">
        <v>2</v>
      </c>
      <c r="F31" s="2">
        <v>180</v>
      </c>
      <c r="H31" s="2">
        <v>2</v>
      </c>
    </row>
    <row r="32" spans="1:8" x14ac:dyDescent="0.25">
      <c r="A32" s="1">
        <f t="shared" si="0"/>
        <v>45502</v>
      </c>
      <c r="B32" s="2">
        <v>3</v>
      </c>
      <c r="C32" s="2">
        <v>0</v>
      </c>
      <c r="E32" s="2">
        <v>0</v>
      </c>
      <c r="F32" s="2">
        <v>4</v>
      </c>
      <c r="H32" s="2">
        <v>3</v>
      </c>
    </row>
    <row r="33" spans="1:8" x14ac:dyDescent="0.25">
      <c r="A33" s="1">
        <f t="shared" si="0"/>
        <v>45509</v>
      </c>
      <c r="B33" s="2">
        <v>7</v>
      </c>
      <c r="C33" s="2">
        <v>2</v>
      </c>
      <c r="E33" s="2">
        <v>0</v>
      </c>
      <c r="F33" s="2">
        <v>4</v>
      </c>
      <c r="H33" s="2">
        <v>0</v>
      </c>
    </row>
    <row r="34" spans="1:8" x14ac:dyDescent="0.25">
      <c r="A34" s="1">
        <f t="shared" si="0"/>
        <v>45516</v>
      </c>
      <c r="B34" s="2">
        <v>7</v>
      </c>
      <c r="C34" s="2">
        <v>1</v>
      </c>
      <c r="E34" s="2">
        <v>0</v>
      </c>
      <c r="F34" s="2">
        <v>4</v>
      </c>
    </row>
    <row r="35" spans="1:8" x14ac:dyDescent="0.25">
      <c r="A35" s="1">
        <f t="shared" ref="A35:A62" si="1">A34+7</f>
        <v>45523</v>
      </c>
      <c r="B35" s="2">
        <v>7</v>
      </c>
      <c r="C35" s="2">
        <v>3</v>
      </c>
      <c r="E35" s="2">
        <v>2</v>
      </c>
      <c r="F35" s="2">
        <v>8</v>
      </c>
      <c r="H35" s="2">
        <v>0</v>
      </c>
    </row>
    <row r="36" spans="1:8" x14ac:dyDescent="0.25">
      <c r="A36" s="1">
        <f t="shared" si="1"/>
        <v>45530</v>
      </c>
      <c r="B36" s="2">
        <v>7</v>
      </c>
      <c r="C36" s="2">
        <v>2</v>
      </c>
      <c r="E36" s="2">
        <v>1</v>
      </c>
      <c r="F36" s="2">
        <v>39</v>
      </c>
      <c r="H36" s="2">
        <v>1</v>
      </c>
    </row>
    <row r="37" spans="1:8" x14ac:dyDescent="0.25">
      <c r="A37" s="1">
        <f t="shared" si="1"/>
        <v>45537</v>
      </c>
      <c r="B37" s="2">
        <v>5</v>
      </c>
      <c r="C37" s="2">
        <v>1</v>
      </c>
      <c r="E37" s="2">
        <v>1</v>
      </c>
      <c r="F37" s="2">
        <v>28</v>
      </c>
      <c r="H37" s="2">
        <v>0</v>
      </c>
    </row>
    <row r="38" spans="1:8" x14ac:dyDescent="0.25">
      <c r="A38" s="1">
        <f t="shared" si="1"/>
        <v>45544</v>
      </c>
      <c r="B38" s="2">
        <v>7</v>
      </c>
      <c r="C38" s="2">
        <v>10</v>
      </c>
      <c r="E38" s="2">
        <v>0</v>
      </c>
      <c r="F38" s="2">
        <v>25</v>
      </c>
      <c r="G38" s="2">
        <v>2</v>
      </c>
      <c r="H38" s="2">
        <v>0</v>
      </c>
    </row>
    <row r="39" spans="1:8" x14ac:dyDescent="0.25">
      <c r="A39" s="1">
        <f t="shared" si="1"/>
        <v>45551</v>
      </c>
      <c r="B39" s="2">
        <v>10</v>
      </c>
      <c r="C39" s="2">
        <v>2</v>
      </c>
      <c r="E39" s="2">
        <v>1</v>
      </c>
      <c r="F39" s="2">
        <v>17</v>
      </c>
      <c r="G39" s="2">
        <v>6</v>
      </c>
      <c r="H39" s="2">
        <v>0</v>
      </c>
    </row>
    <row r="40" spans="1:8" x14ac:dyDescent="0.25">
      <c r="A40" s="1">
        <f t="shared" si="1"/>
        <v>45558</v>
      </c>
      <c r="B40" s="2">
        <v>7</v>
      </c>
      <c r="C40" s="2">
        <v>2</v>
      </c>
      <c r="E40" s="2">
        <v>2</v>
      </c>
      <c r="F40" s="7">
        <v>70</v>
      </c>
      <c r="G40" s="2">
        <v>1</v>
      </c>
    </row>
    <row r="41" spans="1:8" x14ac:dyDescent="0.25">
      <c r="A41" s="1">
        <f t="shared" si="1"/>
        <v>45565</v>
      </c>
      <c r="B41" s="2">
        <v>6</v>
      </c>
      <c r="C41" s="2">
        <v>2</v>
      </c>
      <c r="E41" s="2">
        <v>0</v>
      </c>
      <c r="F41" s="2">
        <v>0</v>
      </c>
      <c r="G41" s="2">
        <v>0</v>
      </c>
    </row>
    <row r="42" spans="1:8" x14ac:dyDescent="0.25">
      <c r="A42" s="1">
        <f t="shared" si="1"/>
        <v>45572</v>
      </c>
      <c r="B42" s="2">
        <v>3</v>
      </c>
      <c r="C42" s="2">
        <v>0</v>
      </c>
      <c r="E42" s="2">
        <v>0</v>
      </c>
      <c r="F42" s="2">
        <v>0</v>
      </c>
      <c r="G42" s="2">
        <v>0</v>
      </c>
    </row>
    <row r="43" spans="1:8" x14ac:dyDescent="0.25">
      <c r="A43" s="1">
        <f t="shared" si="1"/>
        <v>45579</v>
      </c>
      <c r="B43" s="2">
        <v>10</v>
      </c>
      <c r="C43" s="2">
        <v>1</v>
      </c>
      <c r="D43" s="2">
        <v>13785000</v>
      </c>
      <c r="E43" s="2">
        <v>0</v>
      </c>
      <c r="F43" s="2">
        <v>3</v>
      </c>
      <c r="G43" s="2">
        <v>0</v>
      </c>
    </row>
    <row r="44" spans="1:8" x14ac:dyDescent="0.25">
      <c r="A44" s="1">
        <f t="shared" si="1"/>
        <v>45586</v>
      </c>
      <c r="B44" s="2">
        <v>7</v>
      </c>
      <c r="C44" s="2">
        <v>3</v>
      </c>
      <c r="D44" s="2">
        <v>0</v>
      </c>
      <c r="E44" s="2">
        <v>3</v>
      </c>
      <c r="F44" s="2">
        <v>30</v>
      </c>
      <c r="G44" s="2">
        <v>2</v>
      </c>
    </row>
    <row r="45" spans="1:8" x14ac:dyDescent="0.25">
      <c r="A45" s="1">
        <f t="shared" si="1"/>
        <v>45593</v>
      </c>
      <c r="B45" s="2">
        <v>7</v>
      </c>
      <c r="C45" s="2">
        <v>3</v>
      </c>
      <c r="D45" s="2">
        <v>3115000</v>
      </c>
      <c r="E45" s="2">
        <v>2</v>
      </c>
      <c r="F45" s="2">
        <v>120</v>
      </c>
      <c r="G45" s="2">
        <v>0</v>
      </c>
    </row>
    <row r="46" spans="1:8" x14ac:dyDescent="0.25">
      <c r="A46" s="1">
        <f t="shared" si="1"/>
        <v>45600</v>
      </c>
      <c r="B46" s="2">
        <v>5</v>
      </c>
      <c r="C46" s="2">
        <v>2</v>
      </c>
      <c r="D46" s="2">
        <v>0</v>
      </c>
      <c r="E46" s="2">
        <v>0</v>
      </c>
      <c r="F46" s="2">
        <v>0</v>
      </c>
      <c r="G46" s="2">
        <v>2</v>
      </c>
    </row>
    <row r="47" spans="1:8" x14ac:dyDescent="0.25">
      <c r="A47" s="1">
        <f t="shared" si="1"/>
        <v>45607</v>
      </c>
      <c r="B47" s="2">
        <v>7</v>
      </c>
      <c r="C47" s="2">
        <v>0</v>
      </c>
      <c r="D47" s="2">
        <v>257000</v>
      </c>
      <c r="E47" s="2">
        <v>0</v>
      </c>
      <c r="F47" s="2">
        <v>2</v>
      </c>
      <c r="G47" s="2">
        <v>3</v>
      </c>
    </row>
    <row r="48" spans="1:8" x14ac:dyDescent="0.25">
      <c r="A48" s="1">
        <f t="shared" si="1"/>
        <v>45614</v>
      </c>
      <c r="B48" s="2">
        <v>4</v>
      </c>
      <c r="C48" s="2">
        <v>2</v>
      </c>
      <c r="D48" s="2">
        <v>0</v>
      </c>
      <c r="E48" s="2">
        <v>0</v>
      </c>
      <c r="F48" s="2">
        <v>1</v>
      </c>
      <c r="G48" s="2">
        <v>0</v>
      </c>
    </row>
    <row r="49" spans="1:8" x14ac:dyDescent="0.25">
      <c r="A49" s="1">
        <f t="shared" si="1"/>
        <v>45621</v>
      </c>
      <c r="B49" s="2">
        <v>5</v>
      </c>
      <c r="C49" s="2">
        <v>2</v>
      </c>
      <c r="D49" s="2">
        <v>220000</v>
      </c>
      <c r="E49" s="2">
        <v>5</v>
      </c>
      <c r="F49" s="2">
        <v>5</v>
      </c>
      <c r="G49" s="2">
        <v>2</v>
      </c>
    </row>
    <row r="50" spans="1:8" x14ac:dyDescent="0.25">
      <c r="A50" s="1">
        <f t="shared" si="1"/>
        <v>45628</v>
      </c>
      <c r="B50" s="2">
        <v>4</v>
      </c>
      <c r="C50" s="2">
        <v>1</v>
      </c>
      <c r="D50" s="2">
        <v>0</v>
      </c>
      <c r="E50" s="2">
        <v>0</v>
      </c>
      <c r="F50" s="2">
        <v>5</v>
      </c>
      <c r="G50" s="2">
        <v>0</v>
      </c>
    </row>
    <row r="51" spans="1:8" x14ac:dyDescent="0.25">
      <c r="A51" s="1">
        <f t="shared" si="1"/>
        <v>45635</v>
      </c>
      <c r="B51" s="2">
        <v>6</v>
      </c>
      <c r="C51" s="2">
        <v>10</v>
      </c>
      <c r="D51" s="2">
        <v>0</v>
      </c>
      <c r="E51" s="2">
        <v>3</v>
      </c>
      <c r="F51" s="2">
        <v>3</v>
      </c>
      <c r="G51" s="2">
        <v>1</v>
      </c>
    </row>
    <row r="52" spans="1:8" x14ac:dyDescent="0.25">
      <c r="A52" s="1">
        <f t="shared" si="1"/>
        <v>45642</v>
      </c>
    </row>
    <row r="53" spans="1:8" x14ac:dyDescent="0.25">
      <c r="A53" s="1">
        <f t="shared" si="1"/>
        <v>45649</v>
      </c>
    </row>
    <row r="54" spans="1:8" x14ac:dyDescent="0.25">
      <c r="A54" s="1">
        <f t="shared" si="1"/>
        <v>45656</v>
      </c>
    </row>
    <row r="55" spans="1:8" x14ac:dyDescent="0.25">
      <c r="A55" s="1">
        <f t="shared" si="1"/>
        <v>45663</v>
      </c>
      <c r="B55" s="2">
        <v>3</v>
      </c>
      <c r="C55" s="2">
        <v>1</v>
      </c>
      <c r="D55" s="2">
        <v>0</v>
      </c>
      <c r="E55" s="2">
        <v>0</v>
      </c>
      <c r="F55" s="2">
        <v>7</v>
      </c>
      <c r="G55" s="2">
        <v>1</v>
      </c>
    </row>
    <row r="56" spans="1:8" x14ac:dyDescent="0.25">
      <c r="A56" s="1">
        <f t="shared" si="1"/>
        <v>45670</v>
      </c>
      <c r="B56" s="2">
        <v>3</v>
      </c>
      <c r="C56" s="2">
        <v>1</v>
      </c>
      <c r="D56" s="2">
        <v>0</v>
      </c>
      <c r="E56" s="2">
        <v>0</v>
      </c>
      <c r="F56" s="2">
        <v>4</v>
      </c>
      <c r="G56" s="2">
        <v>1</v>
      </c>
    </row>
    <row r="57" spans="1:8" x14ac:dyDescent="0.25">
      <c r="A57" s="1">
        <f t="shared" si="1"/>
        <v>45677</v>
      </c>
      <c r="B57" s="2">
        <v>4</v>
      </c>
      <c r="C57" s="2">
        <v>0</v>
      </c>
      <c r="D57" s="2">
        <v>0</v>
      </c>
      <c r="E57" s="2">
        <v>0</v>
      </c>
      <c r="F57" s="2">
        <v>7</v>
      </c>
      <c r="G57" s="2">
        <v>3</v>
      </c>
    </row>
    <row r="58" spans="1:8" x14ac:dyDescent="0.25">
      <c r="A58" s="1">
        <f t="shared" si="1"/>
        <v>45684</v>
      </c>
      <c r="B58" s="2">
        <v>5</v>
      </c>
      <c r="C58" s="2">
        <v>1</v>
      </c>
      <c r="D58" s="2">
        <v>11000000</v>
      </c>
      <c r="E58" s="2">
        <v>1</v>
      </c>
      <c r="F58" s="2">
        <v>2</v>
      </c>
      <c r="G58" s="2">
        <v>1</v>
      </c>
    </row>
    <row r="59" spans="1:8" x14ac:dyDescent="0.25">
      <c r="A59" s="1">
        <f t="shared" si="1"/>
        <v>45691</v>
      </c>
      <c r="B59" s="2">
        <v>4</v>
      </c>
      <c r="C59" s="2">
        <v>1</v>
      </c>
      <c r="D59" s="2">
        <v>0</v>
      </c>
      <c r="E59" s="2">
        <v>2</v>
      </c>
      <c r="F59" s="2">
        <v>9</v>
      </c>
      <c r="G59" s="2">
        <v>0</v>
      </c>
    </row>
    <row r="60" spans="1:8" x14ac:dyDescent="0.25">
      <c r="A60" s="1">
        <f t="shared" si="1"/>
        <v>45698</v>
      </c>
      <c r="B60" s="2">
        <v>6</v>
      </c>
      <c r="C60" s="2">
        <v>0</v>
      </c>
      <c r="D60" s="2">
        <v>0</v>
      </c>
      <c r="E60" s="2">
        <v>1</v>
      </c>
      <c r="F60" s="2">
        <v>25</v>
      </c>
      <c r="G60" s="2">
        <v>2</v>
      </c>
      <c r="H60" s="2">
        <v>2</v>
      </c>
    </row>
    <row r="61" spans="1:8" x14ac:dyDescent="0.25">
      <c r="A61" s="1">
        <f t="shared" si="1"/>
        <v>45705</v>
      </c>
      <c r="B61" s="2">
        <v>4</v>
      </c>
      <c r="C61" s="2">
        <v>5</v>
      </c>
      <c r="D61" s="2">
        <v>0</v>
      </c>
      <c r="E61" s="2">
        <v>0</v>
      </c>
      <c r="F61" s="2">
        <v>28</v>
      </c>
      <c r="G61" s="2">
        <v>1</v>
      </c>
      <c r="H61" s="2">
        <v>2</v>
      </c>
    </row>
    <row r="62" spans="1:8" x14ac:dyDescent="0.25">
      <c r="A62" s="1">
        <f t="shared" si="1"/>
        <v>45712</v>
      </c>
      <c r="B62" s="2">
        <v>5</v>
      </c>
      <c r="C62" s="2">
        <v>2</v>
      </c>
      <c r="D62" s="2">
        <v>0</v>
      </c>
      <c r="E62" s="2">
        <v>1</v>
      </c>
      <c r="F62" s="2">
        <v>10</v>
      </c>
      <c r="G62" s="2">
        <v>0</v>
      </c>
      <c r="H62" s="2">
        <v>2</v>
      </c>
    </row>
  </sheetData>
  <protectedRanges>
    <protectedRange sqref="D58" name="Range1_42"/>
  </protectedRange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CF3AD-FB80-4A16-A999-2345892A286A}">
  <dimension ref="A1:DC62"/>
  <sheetViews>
    <sheetView workbookViewId="0">
      <selection activeCell="A18" sqref="A18"/>
    </sheetView>
  </sheetViews>
  <sheetFormatPr defaultColWidth="0" defaultRowHeight="15" x14ac:dyDescent="0.25"/>
  <cols>
    <col min="1" max="1" width="22.140625" style="1" customWidth="1"/>
    <col min="2" max="2" width="10.140625" style="2" bestFit="1" customWidth="1"/>
    <col min="3" max="4" width="12.7109375" style="2" bestFit="1" customWidth="1"/>
    <col min="5" max="5" width="11.140625" style="6" bestFit="1" customWidth="1"/>
    <col min="6" max="6" width="14.42578125" style="2" customWidth="1"/>
    <col min="7" max="7" width="17.85546875" style="2" bestFit="1" customWidth="1"/>
    <col min="8" max="8" width="10.140625" style="2" bestFit="1" customWidth="1"/>
    <col min="9" max="9" width="13.140625" style="2" customWidth="1"/>
    <col min="10" max="10" width="13.5703125" style="2" customWidth="1"/>
    <col min="11" max="11" width="14.42578125" style="2" customWidth="1"/>
    <col min="12" max="12" width="15.85546875" style="2" customWidth="1"/>
    <col min="13" max="13" width="12.42578125" style="2" customWidth="1"/>
    <col min="14" max="14" width="13" style="2" customWidth="1"/>
    <col min="15" max="15" width="10.140625" style="2" bestFit="1" customWidth="1"/>
    <col min="16" max="16" width="10.140625" style="9" bestFit="1" customWidth="1"/>
    <col min="17" max="18" width="10.140625" style="2" bestFit="1" customWidth="1"/>
    <col min="19" max="19" width="18.42578125" style="2" bestFit="1" customWidth="1"/>
    <col min="20" max="20" width="12.7109375" style="2" bestFit="1" customWidth="1"/>
    <col min="21" max="24" width="18.42578125" style="2" bestFit="1" customWidth="1"/>
    <col min="25" max="29" width="14.85546875" style="2" bestFit="1" customWidth="1"/>
    <col min="30" max="30" width="19" style="2" bestFit="1" customWidth="1"/>
    <col min="31" max="31" width="14.85546875" style="2" bestFit="1" customWidth="1"/>
    <col min="32" max="32" width="19" style="2" bestFit="1" customWidth="1"/>
    <col min="33" max="33" width="14.85546875" style="2" bestFit="1" customWidth="1"/>
    <col min="34" max="34" width="19" style="2" bestFit="1" customWidth="1"/>
    <col min="35" max="35" width="14.85546875" style="2" bestFit="1" customWidth="1"/>
    <col min="36" max="36" width="16.42578125" style="2" bestFit="1" customWidth="1"/>
    <col min="37" max="37" width="19" style="2" bestFit="1" customWidth="1"/>
    <col min="38" max="39" width="16.42578125" style="2" bestFit="1" customWidth="1"/>
    <col min="40" max="41" width="19" style="2" bestFit="1" customWidth="1"/>
    <col min="42" max="42" width="14.85546875" style="2" bestFit="1" customWidth="1"/>
    <col min="43" max="43" width="24.140625" style="2" bestFit="1" customWidth="1"/>
    <col min="44" max="46" width="14.85546875" style="2" bestFit="1" customWidth="1"/>
    <col min="47" max="47" width="20.42578125" style="2" bestFit="1" customWidth="1"/>
    <col min="48" max="48" width="24" style="2" bestFit="1" customWidth="1"/>
    <col min="49" max="49" width="27.42578125" style="2" bestFit="1" customWidth="1"/>
    <col min="50" max="51" width="16.42578125" style="2" bestFit="1" customWidth="1"/>
    <col min="52" max="52" width="10.140625" style="2" bestFit="1" customWidth="1"/>
    <col min="53" max="53" width="13.85546875" style="2" bestFit="1" customWidth="1"/>
    <col min="54" max="54" width="10.140625" style="2" bestFit="1" customWidth="1"/>
    <col min="55" max="55" width="13.85546875" style="2" bestFit="1" customWidth="1"/>
    <col min="56" max="56" width="14.85546875" style="2" bestFit="1" customWidth="1"/>
    <col min="57" max="57" width="17.85546875" style="2" bestFit="1" customWidth="1"/>
    <col min="58" max="58" width="20.85546875" style="2" bestFit="1" customWidth="1"/>
    <col min="59" max="59" width="17.85546875" style="2" bestFit="1" customWidth="1"/>
    <col min="60" max="60" width="21.5703125" style="2" bestFit="1" customWidth="1"/>
    <col min="61" max="62" width="14.85546875" style="2" bestFit="1" customWidth="1"/>
    <col min="63" max="107" width="0" hidden="1" customWidth="1"/>
    <col min="108" max="16384" width="9.42578125" hidden="1"/>
  </cols>
  <sheetData>
    <row r="1" spans="1:62" s="3" customFormat="1" ht="79.5" customHeight="1" x14ac:dyDescent="0.25">
      <c r="A1" s="10" t="s">
        <v>233</v>
      </c>
      <c r="B1" s="3" t="s">
        <v>160</v>
      </c>
      <c r="C1" s="3" t="s">
        <v>184</v>
      </c>
      <c r="D1" s="3" t="s">
        <v>193</v>
      </c>
      <c r="E1" s="5" t="s">
        <v>210</v>
      </c>
      <c r="F1" s="3" t="s">
        <v>211</v>
      </c>
      <c r="G1" s="3" t="s">
        <v>212</v>
      </c>
      <c r="H1" s="3" t="s">
        <v>213</v>
      </c>
      <c r="I1" s="3" t="s">
        <v>214</v>
      </c>
      <c r="J1" s="3" t="s">
        <v>220</v>
      </c>
      <c r="K1" s="3" t="s">
        <v>224</v>
      </c>
      <c r="L1" s="3" t="s">
        <v>225</v>
      </c>
      <c r="M1" s="3" t="s">
        <v>227</v>
      </c>
      <c r="N1" s="3" t="s">
        <v>228</v>
      </c>
      <c r="O1" s="3" t="s">
        <v>229</v>
      </c>
      <c r="P1" s="8" t="s">
        <v>230</v>
      </c>
      <c r="Q1" s="3" t="s">
        <v>231</v>
      </c>
      <c r="R1" s="3" t="s">
        <v>232</v>
      </c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</row>
    <row r="2" spans="1:62" x14ac:dyDescent="0.25">
      <c r="A2" s="1">
        <v>45292</v>
      </c>
    </row>
    <row r="3" spans="1:62" x14ac:dyDescent="0.25">
      <c r="A3" s="1">
        <f t="shared" ref="A3:A34" si="0">A2+7</f>
        <v>45299</v>
      </c>
    </row>
    <row r="4" spans="1:62" x14ac:dyDescent="0.25">
      <c r="A4" s="1">
        <f t="shared" si="0"/>
        <v>45306</v>
      </c>
    </row>
    <row r="5" spans="1:62" x14ac:dyDescent="0.25">
      <c r="A5" s="1">
        <f t="shared" si="0"/>
        <v>45313</v>
      </c>
    </row>
    <row r="6" spans="1:62" x14ac:dyDescent="0.25">
      <c r="A6" s="1">
        <f t="shared" si="0"/>
        <v>45320</v>
      </c>
    </row>
    <row r="7" spans="1:62" x14ac:dyDescent="0.25">
      <c r="A7" s="1">
        <f t="shared" si="0"/>
        <v>45327</v>
      </c>
    </row>
    <row r="8" spans="1:62" x14ac:dyDescent="0.25">
      <c r="A8" s="1">
        <f t="shared" si="0"/>
        <v>45334</v>
      </c>
    </row>
    <row r="9" spans="1:62" x14ac:dyDescent="0.25">
      <c r="A9" s="1">
        <f t="shared" si="0"/>
        <v>45341</v>
      </c>
    </row>
    <row r="10" spans="1:62" x14ac:dyDescent="0.25">
      <c r="A10" s="1">
        <f t="shared" si="0"/>
        <v>45348</v>
      </c>
    </row>
    <row r="11" spans="1:62" x14ac:dyDescent="0.25">
      <c r="A11" s="1">
        <f t="shared" si="0"/>
        <v>45355</v>
      </c>
    </row>
    <row r="12" spans="1:62" x14ac:dyDescent="0.25">
      <c r="A12" s="1">
        <f t="shared" si="0"/>
        <v>45362</v>
      </c>
    </row>
    <row r="13" spans="1:62" x14ac:dyDescent="0.25">
      <c r="A13" s="1">
        <f t="shared" si="0"/>
        <v>45369</v>
      </c>
    </row>
    <row r="14" spans="1:62" x14ac:dyDescent="0.25">
      <c r="A14" s="1">
        <f t="shared" si="0"/>
        <v>45376</v>
      </c>
    </row>
    <row r="15" spans="1:62" x14ac:dyDescent="0.25">
      <c r="A15" s="1">
        <f t="shared" si="0"/>
        <v>45383</v>
      </c>
    </row>
    <row r="16" spans="1:62" x14ac:dyDescent="0.25">
      <c r="A16" s="1">
        <f t="shared" si="0"/>
        <v>45390</v>
      </c>
    </row>
    <row r="17" spans="1:17" x14ac:dyDescent="0.25">
      <c r="A17" s="1">
        <f t="shared" si="0"/>
        <v>45397</v>
      </c>
    </row>
    <row r="18" spans="1:17" x14ac:dyDescent="0.25">
      <c r="A18" s="1">
        <f t="shared" si="0"/>
        <v>45404</v>
      </c>
    </row>
    <row r="19" spans="1:17" x14ac:dyDescent="0.25">
      <c r="A19" s="1">
        <f t="shared" si="0"/>
        <v>45411</v>
      </c>
    </row>
    <row r="20" spans="1:17" x14ac:dyDescent="0.25">
      <c r="A20" s="1">
        <f t="shared" si="0"/>
        <v>45418</v>
      </c>
    </row>
    <row r="21" spans="1:17" x14ac:dyDescent="0.25">
      <c r="A21" s="1">
        <f t="shared" si="0"/>
        <v>45425</v>
      </c>
    </row>
    <row r="22" spans="1:17" x14ac:dyDescent="0.25">
      <c r="A22" s="1">
        <f t="shared" si="0"/>
        <v>45432</v>
      </c>
    </row>
    <row r="23" spans="1:17" x14ac:dyDescent="0.25">
      <c r="A23" s="1">
        <f t="shared" si="0"/>
        <v>45439</v>
      </c>
    </row>
    <row r="24" spans="1:17" x14ac:dyDescent="0.25">
      <c r="A24" s="1">
        <f t="shared" si="0"/>
        <v>45446</v>
      </c>
    </row>
    <row r="25" spans="1:17" x14ac:dyDescent="0.25">
      <c r="A25" s="1">
        <f t="shared" si="0"/>
        <v>45453</v>
      </c>
    </row>
    <row r="26" spans="1:17" x14ac:dyDescent="0.25">
      <c r="A26" s="1">
        <f t="shared" si="0"/>
        <v>45460</v>
      </c>
    </row>
    <row r="27" spans="1:17" x14ac:dyDescent="0.25">
      <c r="A27" s="1">
        <f t="shared" si="0"/>
        <v>45467</v>
      </c>
      <c r="E27" s="6">
        <v>2</v>
      </c>
    </row>
    <row r="28" spans="1:17" x14ac:dyDescent="0.25">
      <c r="A28" s="1">
        <f t="shared" si="0"/>
        <v>45474</v>
      </c>
      <c r="B28" s="2" t="s">
        <v>162</v>
      </c>
      <c r="C28" s="2" t="s">
        <v>185</v>
      </c>
      <c r="D28" s="2" t="s">
        <v>194</v>
      </c>
      <c r="E28" s="6">
        <v>3</v>
      </c>
      <c r="G28" s="2">
        <v>1</v>
      </c>
      <c r="H28" s="2">
        <v>1</v>
      </c>
      <c r="I28" s="2" t="s">
        <v>187</v>
      </c>
      <c r="J28" s="2" t="s">
        <v>221</v>
      </c>
      <c r="L28" s="2">
        <v>10</v>
      </c>
      <c r="O28" s="7">
        <v>8</v>
      </c>
      <c r="P28" s="9">
        <v>0.84</v>
      </c>
    </row>
    <row r="29" spans="1:17" x14ac:dyDescent="0.25">
      <c r="A29" s="1">
        <f t="shared" si="0"/>
        <v>45481</v>
      </c>
      <c r="B29" s="2" t="s">
        <v>163</v>
      </c>
      <c r="C29" s="2" t="s">
        <v>161</v>
      </c>
      <c r="D29" s="2" t="s">
        <v>195</v>
      </c>
      <c r="E29" s="6">
        <v>2</v>
      </c>
      <c r="G29" s="2">
        <v>1</v>
      </c>
      <c r="H29" s="2">
        <v>1</v>
      </c>
      <c r="I29" s="2" t="s">
        <v>215</v>
      </c>
      <c r="J29" s="2" t="s">
        <v>207</v>
      </c>
      <c r="L29" s="2">
        <v>10</v>
      </c>
      <c r="O29" s="2">
        <v>8</v>
      </c>
      <c r="P29" s="9">
        <v>0.8</v>
      </c>
      <c r="Q29" s="2">
        <v>2</v>
      </c>
    </row>
    <row r="30" spans="1:17" x14ac:dyDescent="0.25">
      <c r="A30" s="1">
        <f t="shared" si="0"/>
        <v>45488</v>
      </c>
      <c r="B30" s="2" t="s">
        <v>164</v>
      </c>
      <c r="C30" s="2" t="s">
        <v>179</v>
      </c>
      <c r="D30" s="2" t="s">
        <v>196</v>
      </c>
      <c r="E30" s="6">
        <v>2</v>
      </c>
      <c r="G30" s="7">
        <v>0</v>
      </c>
      <c r="H30" s="7">
        <v>1</v>
      </c>
      <c r="I30" s="2" t="s">
        <v>216</v>
      </c>
      <c r="L30" s="7">
        <v>6</v>
      </c>
      <c r="O30" s="7">
        <v>5</v>
      </c>
      <c r="P30" s="9">
        <v>0.85</v>
      </c>
      <c r="Q30" s="7">
        <v>1</v>
      </c>
    </row>
    <row r="31" spans="1:17" x14ac:dyDescent="0.25">
      <c r="A31" s="1">
        <f t="shared" si="0"/>
        <v>45495</v>
      </c>
      <c r="B31" s="2" t="s">
        <v>165</v>
      </c>
      <c r="C31" s="2" t="s">
        <v>186</v>
      </c>
      <c r="D31" s="2" t="s">
        <v>197</v>
      </c>
      <c r="E31" s="6">
        <v>3</v>
      </c>
      <c r="G31" s="7">
        <v>0</v>
      </c>
      <c r="H31" s="7">
        <v>1</v>
      </c>
      <c r="I31" s="2" t="s">
        <v>216</v>
      </c>
      <c r="L31" s="7">
        <v>6</v>
      </c>
      <c r="O31" s="7">
        <v>5</v>
      </c>
      <c r="P31" s="9">
        <v>0.85</v>
      </c>
      <c r="Q31" s="7">
        <v>2</v>
      </c>
    </row>
    <row r="32" spans="1:17" x14ac:dyDescent="0.25">
      <c r="A32" s="1">
        <f t="shared" si="0"/>
        <v>45502</v>
      </c>
      <c r="B32" s="2" t="s">
        <v>166</v>
      </c>
      <c r="C32" s="2" t="s">
        <v>178</v>
      </c>
      <c r="D32" s="2" t="s">
        <v>198</v>
      </c>
      <c r="E32" s="6">
        <v>0</v>
      </c>
      <c r="G32" s="7">
        <v>0</v>
      </c>
      <c r="H32" s="7">
        <v>1</v>
      </c>
      <c r="L32" s="7">
        <v>7</v>
      </c>
      <c r="O32" s="7">
        <v>7</v>
      </c>
      <c r="P32" s="9">
        <v>0.88</v>
      </c>
      <c r="Q32" s="7">
        <v>3</v>
      </c>
    </row>
    <row r="33" spans="1:17" x14ac:dyDescent="0.25">
      <c r="A33" s="1">
        <f t="shared" si="0"/>
        <v>45509</v>
      </c>
      <c r="B33" s="2" t="s">
        <v>167</v>
      </c>
      <c r="C33" s="2" t="s">
        <v>179</v>
      </c>
      <c r="D33" s="2" t="s">
        <v>199</v>
      </c>
      <c r="E33" s="6">
        <v>16</v>
      </c>
      <c r="G33" s="7">
        <v>3</v>
      </c>
      <c r="H33" s="7">
        <v>1</v>
      </c>
      <c r="I33" s="2" t="s">
        <v>216</v>
      </c>
      <c r="J33" s="2" t="s">
        <v>222</v>
      </c>
      <c r="L33" s="7">
        <v>5</v>
      </c>
      <c r="O33" s="7">
        <v>5</v>
      </c>
      <c r="P33" s="9">
        <v>0.9</v>
      </c>
      <c r="Q33" s="7">
        <v>4</v>
      </c>
    </row>
    <row r="34" spans="1:17" x14ac:dyDescent="0.25">
      <c r="A34" s="1">
        <f t="shared" si="0"/>
        <v>45516</v>
      </c>
      <c r="B34" s="2" t="s">
        <v>168</v>
      </c>
      <c r="C34" s="2" t="s">
        <v>161</v>
      </c>
      <c r="D34" s="2" t="s">
        <v>200</v>
      </c>
      <c r="E34" s="6">
        <v>35</v>
      </c>
      <c r="G34" s="7">
        <v>0</v>
      </c>
      <c r="H34" s="7">
        <v>1</v>
      </c>
      <c r="L34" s="7">
        <v>5</v>
      </c>
      <c r="O34" s="7">
        <v>5</v>
      </c>
      <c r="P34" s="9">
        <v>0.92</v>
      </c>
      <c r="Q34" s="7">
        <v>5</v>
      </c>
    </row>
    <row r="35" spans="1:17" x14ac:dyDescent="0.25">
      <c r="A35" s="1">
        <f t="shared" ref="A35:A62" si="1">A34+7</f>
        <v>45523</v>
      </c>
      <c r="B35" s="2" t="s">
        <v>169</v>
      </c>
      <c r="C35" s="2" t="s">
        <v>161</v>
      </c>
      <c r="D35" s="2" t="s">
        <v>201</v>
      </c>
      <c r="E35" s="6">
        <v>15</v>
      </c>
      <c r="G35" s="7">
        <v>0</v>
      </c>
      <c r="H35" s="7">
        <v>1</v>
      </c>
      <c r="I35" s="2" t="s">
        <v>187</v>
      </c>
      <c r="L35" s="7">
        <v>7</v>
      </c>
      <c r="O35" s="7">
        <v>6</v>
      </c>
      <c r="P35" s="9">
        <v>0.9</v>
      </c>
      <c r="Q35" s="7">
        <v>6</v>
      </c>
    </row>
    <row r="36" spans="1:17" x14ac:dyDescent="0.25">
      <c r="A36" s="1">
        <f t="shared" si="1"/>
        <v>45530</v>
      </c>
      <c r="B36" s="2" t="s">
        <v>170</v>
      </c>
      <c r="C36" s="2" t="s">
        <v>187</v>
      </c>
      <c r="D36" s="2" t="s">
        <v>202</v>
      </c>
      <c r="E36" s="6">
        <v>454</v>
      </c>
      <c r="F36" s="7">
        <v>0</v>
      </c>
      <c r="G36" s="7">
        <v>0</v>
      </c>
      <c r="H36" s="7">
        <v>1</v>
      </c>
      <c r="I36" s="2" t="s">
        <v>217</v>
      </c>
      <c r="L36" s="7">
        <v>6</v>
      </c>
      <c r="O36" s="7">
        <v>6</v>
      </c>
      <c r="P36" s="9">
        <v>0.91</v>
      </c>
      <c r="Q36" s="7">
        <v>5</v>
      </c>
    </row>
    <row r="37" spans="1:17" x14ac:dyDescent="0.25">
      <c r="A37" s="1">
        <f t="shared" si="1"/>
        <v>45537</v>
      </c>
      <c r="B37" s="2" t="s">
        <v>165</v>
      </c>
      <c r="C37" s="2" t="s">
        <v>187</v>
      </c>
      <c r="D37" s="2" t="s">
        <v>200</v>
      </c>
      <c r="E37" s="6">
        <v>403</v>
      </c>
      <c r="F37" s="7">
        <v>151</v>
      </c>
      <c r="G37" s="7">
        <v>0</v>
      </c>
      <c r="H37" s="7">
        <v>0</v>
      </c>
      <c r="I37" s="2" t="s">
        <v>187</v>
      </c>
      <c r="L37" s="7">
        <v>9</v>
      </c>
      <c r="O37" s="7">
        <v>8</v>
      </c>
      <c r="P37" s="9">
        <v>0.93</v>
      </c>
      <c r="Q37" s="7">
        <v>4</v>
      </c>
    </row>
    <row r="38" spans="1:17" x14ac:dyDescent="0.25">
      <c r="A38" s="1">
        <f t="shared" si="1"/>
        <v>45544</v>
      </c>
      <c r="B38" s="2" t="s">
        <v>171</v>
      </c>
      <c r="C38" s="2" t="s">
        <v>161</v>
      </c>
      <c r="D38" s="2" t="s">
        <v>203</v>
      </c>
      <c r="E38" s="6">
        <v>220</v>
      </c>
      <c r="F38" s="7">
        <v>70</v>
      </c>
      <c r="G38" s="7">
        <v>0</v>
      </c>
      <c r="H38" s="7">
        <v>0</v>
      </c>
      <c r="I38" s="2" t="s">
        <v>215</v>
      </c>
      <c r="L38" s="7">
        <v>8</v>
      </c>
      <c r="O38" s="7">
        <v>8</v>
      </c>
      <c r="P38" s="9">
        <v>0.95</v>
      </c>
      <c r="Q38" s="7">
        <v>4</v>
      </c>
    </row>
    <row r="39" spans="1:17" x14ac:dyDescent="0.25">
      <c r="A39" s="1">
        <f t="shared" si="1"/>
        <v>45551</v>
      </c>
      <c r="B39" s="2" t="s">
        <v>172</v>
      </c>
      <c r="C39" s="2" t="s">
        <v>179</v>
      </c>
      <c r="D39" s="2" t="s">
        <v>204</v>
      </c>
      <c r="E39" s="6">
        <v>205</v>
      </c>
      <c r="F39" s="7">
        <v>58</v>
      </c>
      <c r="G39" s="7">
        <v>0</v>
      </c>
      <c r="H39" s="7">
        <v>0</v>
      </c>
      <c r="I39" s="2" t="s">
        <v>187</v>
      </c>
      <c r="J39" s="2" t="s">
        <v>223</v>
      </c>
      <c r="L39" s="7">
        <v>6</v>
      </c>
      <c r="O39" s="7">
        <v>6</v>
      </c>
      <c r="P39" s="9">
        <v>0.92</v>
      </c>
      <c r="Q39" s="7">
        <v>5</v>
      </c>
    </row>
    <row r="40" spans="1:17" x14ac:dyDescent="0.25">
      <c r="A40" s="1">
        <f t="shared" si="1"/>
        <v>45558</v>
      </c>
    </row>
    <row r="41" spans="1:17" x14ac:dyDescent="0.25">
      <c r="A41" s="1">
        <f t="shared" si="1"/>
        <v>45565</v>
      </c>
      <c r="L41" s="2" t="s">
        <v>226</v>
      </c>
    </row>
    <row r="42" spans="1:17" x14ac:dyDescent="0.25">
      <c r="A42" s="1">
        <f t="shared" si="1"/>
        <v>45572</v>
      </c>
      <c r="B42" s="2" t="s">
        <v>173</v>
      </c>
      <c r="C42" s="2" t="s">
        <v>179</v>
      </c>
      <c r="D42" s="2" t="s">
        <v>205</v>
      </c>
      <c r="E42" s="7">
        <v>6</v>
      </c>
      <c r="F42" s="7">
        <v>5</v>
      </c>
      <c r="G42" s="7">
        <v>0</v>
      </c>
      <c r="H42" s="7">
        <v>0</v>
      </c>
      <c r="I42" s="2" t="s">
        <v>216</v>
      </c>
      <c r="L42" s="7">
        <v>0</v>
      </c>
      <c r="O42" s="7">
        <v>0</v>
      </c>
      <c r="P42" s="9">
        <v>0</v>
      </c>
      <c r="Q42" s="7">
        <v>6</v>
      </c>
    </row>
    <row r="43" spans="1:17" x14ac:dyDescent="0.25">
      <c r="A43" s="1">
        <f t="shared" si="1"/>
        <v>45579</v>
      </c>
      <c r="B43" s="2" t="s">
        <v>174</v>
      </c>
      <c r="C43" s="2" t="s">
        <v>188</v>
      </c>
      <c r="D43" s="2" t="s">
        <v>206</v>
      </c>
      <c r="E43" s="7">
        <v>3</v>
      </c>
      <c r="F43" s="7">
        <v>2</v>
      </c>
      <c r="G43" s="7">
        <v>0</v>
      </c>
      <c r="H43" s="7">
        <v>0</v>
      </c>
      <c r="L43" s="7">
        <v>5</v>
      </c>
      <c r="O43" s="7">
        <v>5</v>
      </c>
      <c r="P43" s="9">
        <v>0.78</v>
      </c>
      <c r="Q43" s="7">
        <v>4</v>
      </c>
    </row>
    <row r="44" spans="1:17" x14ac:dyDescent="0.25">
      <c r="A44" s="1">
        <f t="shared" si="1"/>
        <v>45586</v>
      </c>
      <c r="B44" s="2" t="s">
        <v>175</v>
      </c>
      <c r="C44" s="2" t="s">
        <v>189</v>
      </c>
      <c r="D44" s="2" t="s">
        <v>206</v>
      </c>
      <c r="E44" s="7">
        <v>0</v>
      </c>
      <c r="F44" s="7">
        <v>4</v>
      </c>
      <c r="G44" s="7">
        <v>0</v>
      </c>
      <c r="H44" s="7">
        <v>0</v>
      </c>
      <c r="L44" s="7">
        <v>6</v>
      </c>
      <c r="O44" s="7">
        <v>6</v>
      </c>
      <c r="P44" s="9">
        <v>0.85</v>
      </c>
      <c r="Q44" s="7">
        <v>4</v>
      </c>
    </row>
    <row r="45" spans="1:17" x14ac:dyDescent="0.25">
      <c r="A45" s="1">
        <f t="shared" si="1"/>
        <v>45593</v>
      </c>
      <c r="B45" s="2" t="s">
        <v>176</v>
      </c>
      <c r="C45" s="2" t="s">
        <v>190</v>
      </c>
      <c r="D45" s="2" t="s">
        <v>207</v>
      </c>
      <c r="E45" s="7">
        <v>1</v>
      </c>
      <c r="F45" s="7">
        <v>1</v>
      </c>
      <c r="G45" s="7">
        <v>0</v>
      </c>
      <c r="H45" s="7">
        <v>0</v>
      </c>
      <c r="I45" s="2" t="s">
        <v>218</v>
      </c>
      <c r="L45" s="7">
        <v>7</v>
      </c>
      <c r="O45" s="7">
        <v>7</v>
      </c>
      <c r="P45" s="9">
        <v>0.9</v>
      </c>
      <c r="Q45" s="7">
        <v>4</v>
      </c>
    </row>
    <row r="46" spans="1:17" x14ac:dyDescent="0.25">
      <c r="A46" s="1">
        <f t="shared" si="1"/>
        <v>45600</v>
      </c>
      <c r="B46" s="2" t="s">
        <v>177</v>
      </c>
      <c r="C46" s="2" t="s">
        <v>182</v>
      </c>
      <c r="D46" s="2" t="s">
        <v>207</v>
      </c>
      <c r="E46" s="7">
        <v>5</v>
      </c>
      <c r="F46" s="7">
        <v>7</v>
      </c>
      <c r="G46" s="7">
        <v>0</v>
      </c>
      <c r="H46" s="7">
        <v>0</v>
      </c>
      <c r="I46" s="2" t="s">
        <v>218</v>
      </c>
      <c r="L46" s="7">
        <v>7</v>
      </c>
      <c r="O46" s="7">
        <v>6</v>
      </c>
      <c r="P46" s="9">
        <v>0.85</v>
      </c>
      <c r="Q46" s="7">
        <v>5</v>
      </c>
    </row>
    <row r="47" spans="1:17" x14ac:dyDescent="0.25">
      <c r="A47" s="1">
        <f t="shared" si="1"/>
        <v>45607</v>
      </c>
      <c r="B47" s="2" t="s">
        <v>178</v>
      </c>
      <c r="D47" s="2" t="s">
        <v>206</v>
      </c>
      <c r="E47" s="7">
        <v>2</v>
      </c>
      <c r="F47" s="7">
        <v>7</v>
      </c>
      <c r="G47" s="7">
        <v>0</v>
      </c>
      <c r="H47" s="7">
        <v>0</v>
      </c>
      <c r="I47" s="2" t="s">
        <v>216</v>
      </c>
      <c r="L47" s="7">
        <v>10</v>
      </c>
      <c r="O47" s="7">
        <v>10</v>
      </c>
      <c r="P47" s="9">
        <v>0.72</v>
      </c>
      <c r="Q47" s="7">
        <v>7</v>
      </c>
    </row>
    <row r="48" spans="1:17" x14ac:dyDescent="0.25">
      <c r="A48" s="1">
        <f t="shared" si="1"/>
        <v>45614</v>
      </c>
      <c r="B48" s="2" t="s">
        <v>179</v>
      </c>
      <c r="C48" s="2" t="s">
        <v>183</v>
      </c>
      <c r="D48" s="2" t="s">
        <v>208</v>
      </c>
      <c r="E48" s="7">
        <v>0</v>
      </c>
      <c r="F48" s="7">
        <v>5</v>
      </c>
      <c r="G48" s="7">
        <v>0</v>
      </c>
      <c r="H48" s="7">
        <v>0</v>
      </c>
      <c r="L48" s="7">
        <v>5</v>
      </c>
      <c r="O48" s="7">
        <v>3</v>
      </c>
      <c r="P48" s="9">
        <v>0.8</v>
      </c>
      <c r="Q48" s="7">
        <v>3</v>
      </c>
    </row>
    <row r="49" spans="1:17" x14ac:dyDescent="0.25">
      <c r="A49" s="1">
        <f t="shared" si="1"/>
        <v>45621</v>
      </c>
      <c r="B49" s="2" t="s">
        <v>161</v>
      </c>
      <c r="C49" s="2" t="s">
        <v>183</v>
      </c>
      <c r="D49" s="2" t="s">
        <v>206</v>
      </c>
      <c r="E49" s="7">
        <v>4</v>
      </c>
      <c r="F49" s="7">
        <v>5</v>
      </c>
      <c r="G49" s="7">
        <v>0</v>
      </c>
      <c r="H49" s="7">
        <v>0</v>
      </c>
      <c r="I49" s="2" t="s">
        <v>216</v>
      </c>
      <c r="L49" s="7">
        <v>6</v>
      </c>
      <c r="O49" s="7">
        <v>5</v>
      </c>
      <c r="P49" s="9">
        <v>0.82</v>
      </c>
      <c r="Q49" s="7">
        <v>7</v>
      </c>
    </row>
    <row r="50" spans="1:17" x14ac:dyDescent="0.25">
      <c r="A50" s="1">
        <f t="shared" si="1"/>
        <v>45628</v>
      </c>
      <c r="B50" s="2" t="s">
        <v>175</v>
      </c>
      <c r="C50" s="2" t="s">
        <v>172</v>
      </c>
      <c r="D50" s="2" t="s">
        <v>207</v>
      </c>
      <c r="E50" s="7">
        <v>2</v>
      </c>
      <c r="F50" s="7">
        <v>4</v>
      </c>
      <c r="G50" s="7">
        <v>0</v>
      </c>
      <c r="H50" s="7">
        <v>0</v>
      </c>
      <c r="I50" s="2" t="s">
        <v>219</v>
      </c>
      <c r="L50" s="7">
        <v>10</v>
      </c>
      <c r="O50" s="7">
        <v>9</v>
      </c>
      <c r="P50" s="9">
        <v>0.85</v>
      </c>
      <c r="Q50" s="7">
        <v>7</v>
      </c>
    </row>
    <row r="51" spans="1:17" x14ac:dyDescent="0.25">
      <c r="A51" s="1">
        <f t="shared" si="1"/>
        <v>45635</v>
      </c>
      <c r="B51" s="2" t="s">
        <v>178</v>
      </c>
      <c r="C51" s="2" t="s">
        <v>172</v>
      </c>
      <c r="D51" s="2" t="s">
        <v>206</v>
      </c>
      <c r="E51" s="7">
        <v>3</v>
      </c>
      <c r="F51" s="7">
        <v>1</v>
      </c>
      <c r="G51" s="7">
        <v>0</v>
      </c>
      <c r="H51" s="7">
        <v>0</v>
      </c>
      <c r="I51" s="2" t="s">
        <v>219</v>
      </c>
      <c r="L51" s="7">
        <v>13</v>
      </c>
      <c r="O51" s="7">
        <v>12</v>
      </c>
      <c r="P51" s="9">
        <v>0.8</v>
      </c>
      <c r="Q51" s="7">
        <v>8</v>
      </c>
    </row>
    <row r="52" spans="1:17" x14ac:dyDescent="0.25">
      <c r="A52" s="1">
        <f t="shared" si="1"/>
        <v>45642</v>
      </c>
    </row>
    <row r="53" spans="1:17" x14ac:dyDescent="0.25">
      <c r="A53" s="1">
        <f t="shared" si="1"/>
        <v>45649</v>
      </c>
    </row>
    <row r="54" spans="1:17" x14ac:dyDescent="0.25">
      <c r="A54" s="1">
        <f t="shared" si="1"/>
        <v>45656</v>
      </c>
    </row>
    <row r="55" spans="1:17" x14ac:dyDescent="0.25">
      <c r="A55" s="1">
        <f t="shared" si="1"/>
        <v>45663</v>
      </c>
      <c r="B55" s="2" t="s">
        <v>235</v>
      </c>
      <c r="C55" s="2" t="s">
        <v>161</v>
      </c>
      <c r="D55" s="2" t="s">
        <v>208</v>
      </c>
      <c r="E55" s="6">
        <v>5</v>
      </c>
      <c r="F55" s="2">
        <v>2</v>
      </c>
      <c r="G55" s="2">
        <v>0</v>
      </c>
      <c r="H55" s="2">
        <v>0</v>
      </c>
      <c r="I55" s="2" t="s">
        <v>219</v>
      </c>
      <c r="J55" s="2">
        <v>0</v>
      </c>
      <c r="K55" s="2">
        <v>10</v>
      </c>
      <c r="L55" s="2">
        <v>7</v>
      </c>
      <c r="O55" s="2">
        <v>7</v>
      </c>
      <c r="P55" s="9">
        <v>0.85</v>
      </c>
      <c r="Q55" s="2">
        <v>7</v>
      </c>
    </row>
    <row r="56" spans="1:17" x14ac:dyDescent="0.25">
      <c r="A56" s="1">
        <f t="shared" si="1"/>
        <v>45670</v>
      </c>
      <c r="B56" s="2" t="s">
        <v>180</v>
      </c>
      <c r="C56" s="2" t="s">
        <v>185</v>
      </c>
      <c r="D56" s="2" t="s">
        <v>207</v>
      </c>
      <c r="E56" s="6">
        <v>2</v>
      </c>
      <c r="F56" s="7">
        <v>2</v>
      </c>
      <c r="G56" s="2">
        <v>0</v>
      </c>
      <c r="H56" s="2">
        <v>0</v>
      </c>
      <c r="I56" s="2" t="s">
        <v>218</v>
      </c>
      <c r="J56" s="2">
        <v>0</v>
      </c>
      <c r="K56" s="2">
        <v>10</v>
      </c>
      <c r="L56" s="2">
        <v>11</v>
      </c>
      <c r="O56" s="7">
        <v>7</v>
      </c>
      <c r="P56" s="9">
        <v>0.86</v>
      </c>
      <c r="Q56" s="7">
        <v>6</v>
      </c>
    </row>
    <row r="57" spans="1:17" x14ac:dyDescent="0.25">
      <c r="A57" s="1">
        <f t="shared" si="1"/>
        <v>45677</v>
      </c>
      <c r="B57" s="2" t="s">
        <v>181</v>
      </c>
      <c r="C57" s="2" t="s">
        <v>191</v>
      </c>
      <c r="D57" s="2" t="s">
        <v>208</v>
      </c>
      <c r="E57" s="6">
        <v>6</v>
      </c>
      <c r="F57" s="7">
        <v>5</v>
      </c>
      <c r="G57" s="2">
        <v>1</v>
      </c>
      <c r="H57" s="2">
        <v>1</v>
      </c>
      <c r="I57" s="2" t="s">
        <v>216</v>
      </c>
      <c r="J57" s="2">
        <v>0</v>
      </c>
      <c r="K57" s="2">
        <v>20</v>
      </c>
      <c r="L57" s="2">
        <v>20</v>
      </c>
      <c r="M57" s="2">
        <v>9</v>
      </c>
      <c r="N57" s="2">
        <v>8</v>
      </c>
      <c r="O57" s="7">
        <v>17</v>
      </c>
      <c r="P57" s="9">
        <v>0.9</v>
      </c>
      <c r="Q57" s="2">
        <v>11</v>
      </c>
    </row>
    <row r="58" spans="1:17" x14ac:dyDescent="0.25">
      <c r="A58" s="1">
        <f t="shared" si="1"/>
        <v>45684</v>
      </c>
      <c r="B58" s="2" t="s">
        <v>182</v>
      </c>
      <c r="C58" s="2" t="s">
        <v>179</v>
      </c>
      <c r="D58" s="2" t="s">
        <v>206</v>
      </c>
      <c r="E58" s="6">
        <v>3</v>
      </c>
      <c r="F58" s="2">
        <v>4</v>
      </c>
      <c r="G58" s="2">
        <v>0</v>
      </c>
      <c r="H58" s="2">
        <v>0</v>
      </c>
      <c r="I58" s="2" t="s">
        <v>218</v>
      </c>
      <c r="J58" s="2">
        <v>0</v>
      </c>
      <c r="K58" s="2">
        <v>12</v>
      </c>
      <c r="L58" s="2">
        <v>10</v>
      </c>
      <c r="M58" s="2">
        <v>5</v>
      </c>
      <c r="N58" s="2">
        <v>5</v>
      </c>
      <c r="O58" s="7">
        <v>9</v>
      </c>
      <c r="P58" s="9">
        <v>0.9</v>
      </c>
      <c r="Q58" s="2">
        <v>5</v>
      </c>
    </row>
    <row r="59" spans="1:17" x14ac:dyDescent="0.25">
      <c r="A59" s="1">
        <f t="shared" si="1"/>
        <v>45691</v>
      </c>
      <c r="B59" s="2" t="s">
        <v>175</v>
      </c>
      <c r="C59" s="2" t="s">
        <v>178</v>
      </c>
      <c r="D59" s="2" t="s">
        <v>207</v>
      </c>
      <c r="E59" s="6">
        <v>3</v>
      </c>
      <c r="F59" s="7">
        <v>2</v>
      </c>
      <c r="G59" s="2">
        <v>0</v>
      </c>
      <c r="H59" s="2">
        <v>1</v>
      </c>
      <c r="I59" s="2" t="s">
        <v>219</v>
      </c>
      <c r="J59" s="2">
        <v>0</v>
      </c>
      <c r="K59" s="2">
        <v>9</v>
      </c>
      <c r="L59" s="2">
        <v>12</v>
      </c>
      <c r="M59" s="2">
        <v>6</v>
      </c>
      <c r="N59" s="2">
        <v>4</v>
      </c>
      <c r="O59" s="2">
        <v>9</v>
      </c>
      <c r="P59" s="9">
        <v>0.92</v>
      </c>
      <c r="Q59" s="7">
        <v>8</v>
      </c>
    </row>
    <row r="60" spans="1:17" x14ac:dyDescent="0.25">
      <c r="A60" s="1">
        <f t="shared" si="1"/>
        <v>45698</v>
      </c>
      <c r="B60" s="2" t="s">
        <v>183</v>
      </c>
      <c r="C60" s="2" t="s">
        <v>175</v>
      </c>
      <c r="D60" s="2" t="s">
        <v>209</v>
      </c>
      <c r="E60" s="6">
        <v>8</v>
      </c>
      <c r="F60" s="2">
        <v>5</v>
      </c>
      <c r="G60" s="2">
        <v>1</v>
      </c>
      <c r="H60" s="2">
        <v>0</v>
      </c>
      <c r="I60" s="2" t="s">
        <v>216</v>
      </c>
      <c r="J60" s="2" t="s">
        <v>198</v>
      </c>
      <c r="K60" s="2">
        <v>12</v>
      </c>
      <c r="L60" s="2">
        <v>10</v>
      </c>
      <c r="M60" s="2">
        <v>4</v>
      </c>
      <c r="N60" s="2">
        <v>6</v>
      </c>
      <c r="O60" s="2">
        <v>10</v>
      </c>
      <c r="P60" s="9">
        <v>0.85</v>
      </c>
      <c r="Q60" s="2">
        <v>10</v>
      </c>
    </row>
    <row r="61" spans="1:17" x14ac:dyDescent="0.25">
      <c r="A61" s="1">
        <f t="shared" si="1"/>
        <v>45705</v>
      </c>
      <c r="B61" s="2" t="s">
        <v>172</v>
      </c>
      <c r="C61" s="2" t="s">
        <v>192</v>
      </c>
      <c r="D61" s="2" t="s">
        <v>207</v>
      </c>
      <c r="E61" s="6">
        <v>9</v>
      </c>
      <c r="F61" s="2">
        <v>6</v>
      </c>
      <c r="G61" s="2">
        <v>2</v>
      </c>
      <c r="H61" s="2">
        <v>0</v>
      </c>
      <c r="I61" s="2" t="s">
        <v>216</v>
      </c>
      <c r="J61" s="2" t="s">
        <v>208</v>
      </c>
      <c r="K61" s="2">
        <v>13</v>
      </c>
      <c r="L61" s="2">
        <v>11</v>
      </c>
      <c r="M61" s="2">
        <v>5</v>
      </c>
      <c r="N61" s="2">
        <v>6</v>
      </c>
      <c r="O61" s="2">
        <v>11</v>
      </c>
      <c r="P61" s="9">
        <v>0.85</v>
      </c>
      <c r="Q61" s="2">
        <v>10</v>
      </c>
    </row>
    <row r="62" spans="1:17" x14ac:dyDescent="0.25">
      <c r="A62" s="1">
        <f t="shared" si="1"/>
        <v>45712</v>
      </c>
      <c r="B62" s="2" t="s">
        <v>165</v>
      </c>
      <c r="C62" s="2" t="s">
        <v>170</v>
      </c>
      <c r="D62" s="2" t="s">
        <v>207</v>
      </c>
      <c r="E62" s="6">
        <v>5</v>
      </c>
      <c r="F62" s="2">
        <v>2</v>
      </c>
      <c r="G62" s="2">
        <v>0</v>
      </c>
      <c r="H62" s="2">
        <v>0</v>
      </c>
      <c r="I62" s="2" t="s">
        <v>219</v>
      </c>
      <c r="J62" s="2">
        <v>0</v>
      </c>
      <c r="K62" s="2">
        <v>14</v>
      </c>
      <c r="L62" s="2">
        <v>22</v>
      </c>
      <c r="M62" s="7">
        <v>9</v>
      </c>
      <c r="N62" s="2">
        <v>13</v>
      </c>
      <c r="O62" s="2">
        <v>20</v>
      </c>
      <c r="P62" s="9">
        <v>0.95</v>
      </c>
      <c r="Q62" s="2">
        <v>11</v>
      </c>
    </row>
  </sheetData>
  <protectedRanges>
    <protectedRange sqref="B56" name="Range1_1_2"/>
    <protectedRange sqref="C56" name="Range1_1_3"/>
    <protectedRange sqref="F56" name="Range1_1_4"/>
    <protectedRange sqref="I56" name="Range1_1_5"/>
    <protectedRange sqref="O56" name="Range1_1_6"/>
    <protectedRange sqref="P56" name="Range1_1_7"/>
    <protectedRange sqref="Q56" name="Range1_1_8"/>
    <protectedRange sqref="E57" name="Range1_1_9"/>
    <protectedRange sqref="F57" name="Range1_1_10"/>
    <protectedRange sqref="O57" name="Range1_1_11"/>
    <protectedRange sqref="P57" name="Range1_1_12"/>
    <protectedRange sqref="Q57" name="Range1_1_13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FINANCE</vt:lpstr>
      <vt:lpstr>SALES TEAM (TIER 3)</vt:lpstr>
      <vt:lpstr>SALES TEAM (TIER 2)</vt:lpstr>
      <vt:lpstr>SOURCING TEAM</vt:lpstr>
      <vt:lpstr>PRODUCT MARKETING</vt:lpstr>
      <vt:lpstr>SALES MARKETING</vt:lpstr>
      <vt:lpstr>CLIENT SUCCESS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Priscilla Bassey</dc:creator>
  <cp:lastModifiedBy>PC</cp:lastModifiedBy>
  <dcterms:created xsi:type="dcterms:W3CDTF">2025-03-04T13:08:41Z</dcterms:created>
  <dcterms:modified xsi:type="dcterms:W3CDTF">2025-03-13T16:01:56Z</dcterms:modified>
</cp:coreProperties>
</file>